
<file path=[Content_Types].xml><?xml version="1.0" encoding="utf-8"?>
<Types xmlns="http://schemas.openxmlformats.org/package/2006/content-type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Ex1.xml" ContentType="application/vnd.ms-office.chartex+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3"/>
  <workbookPr codeName="ThisWorkbook" defaultThemeVersion="166925"/>
  <mc:AlternateContent xmlns:mc="http://schemas.openxmlformats.org/markup-compatibility/2006">
    <mc:Choice Requires="x15">
      <x15ac:absPath xmlns:x15ac="http://schemas.microsoft.com/office/spreadsheetml/2010/11/ac" url="/Users/robinmatton/Dropbox (EVConsult)/EVConsult BV nieuw/1. Projects/2. Active Projects/19076 PIANOo update TCO tools/Definitief/Oplevering 2.1/Oplevering 2.1 Spellingcheck/"/>
    </mc:Choice>
  </mc:AlternateContent>
  <xr:revisionPtr revIDLastSave="0" documentId="13_ncr:1_{2932866F-5A90-894D-8AE2-9460DF147495}" xr6:coauthVersionLast="36" xr6:coauthVersionMax="38" xr10:uidLastSave="{00000000-0000-0000-0000-000000000000}"/>
  <bookViews>
    <workbookView xWindow="0" yWindow="460" windowWidth="28800" windowHeight="16460" xr2:uid="{366D6076-8B9E-F745-8D16-C4CE7EC8C73A}"/>
  </bookViews>
  <sheets>
    <sheet name="0. Introductie DV" sheetId="41" r:id="rId1"/>
    <sheet name="0. Introductie DGV" sheetId="40" state="veryHidden" r:id="rId2"/>
    <sheet name="1a. Invoer - BESTAAND" sheetId="17" r:id="rId3"/>
    <sheet name="1b. Invoer - NIEUW" sheetId="32" r:id="rId4"/>
    <sheet name="2. Invoer parameters" sheetId="18" r:id="rId5"/>
    <sheet name="3. Dashboard" sheetId="21" r:id="rId6"/>
    <sheet name="4. Analyse" sheetId="5" r:id="rId7"/>
    <sheet name="5. Vervolg" sheetId="42" r:id="rId8"/>
    <sheet name="Parameters" sheetId="12" state="veryHidden" r:id="rId9"/>
    <sheet name="Output TCO" sheetId="15" state="veryHidden" r:id="rId10"/>
    <sheet name="Named ranges" sheetId="39" state="veryHidden" r:id="rId11"/>
    <sheet name="_fossiel_specials" sheetId="37" state="veryHidden" r:id="rId12"/>
    <sheet name="_BEV_specials" sheetId="43" state="veryHidden" r:id="rId13"/>
    <sheet name="_BEV_LCV" sheetId="29" state="veryHidden" r:id="rId14"/>
    <sheet name="_FCEV_specials" sheetId="36" state="veryHidden" r:id="rId15"/>
    <sheet name="_FCEV_minibus" sheetId="35" state="veryHidden" r:id="rId16"/>
    <sheet name="_FCEV_LCV's " sheetId="33" state="veryHidden" r:id="rId17"/>
    <sheet name="_fossiel_minibus" sheetId="25" state="veryHidden" r:id="rId18"/>
    <sheet name="_FCEV_pers" sheetId="34" state="hidden" r:id="rId19"/>
    <sheet name="_BEV_Pers" sheetId="28" state="veryHidden" r:id="rId20"/>
    <sheet name="_BEV_minibus" sheetId="30" state="veryHidden" r:id="rId21"/>
    <sheet name="_CE_Delft" sheetId="38" state="veryHidden" r:id="rId22"/>
    <sheet name="_fossiel_pers" sheetId="9" state="veryHidden" r:id="rId23"/>
    <sheet name="_fossiel_LCV" sheetId="8" state="veryHidden" r:id="rId24"/>
    <sheet name="_CNG" sheetId="27" state="veryHidden" r:id="rId25"/>
    <sheet name="_BEV persoon+bestel" sheetId="11" state="veryHidden" r:id="rId26"/>
    <sheet name="Input drop-down menu's" sheetId="4" state="veryHidden" r:id="rId27"/>
    <sheet name="Verkoopcijfers" sheetId="10" state="veryHidden" r:id="rId28"/>
  </sheets>
  <externalReferences>
    <externalReference r:id="rId29"/>
    <externalReference r:id="rId30"/>
    <externalReference r:id="rId31"/>
    <externalReference r:id="rId32"/>
    <externalReference r:id="rId33"/>
    <externalReference r:id="rId34"/>
  </externalReferences>
  <definedNames>
    <definedName name="_aantal_km_jaarlijks_vuilniswagens">Parameters!$C$19</definedName>
    <definedName name="_aantal_voertuig_per_laadpunt">'2. Invoer parameters'!#REF!</definedName>
    <definedName name="_aantal_voertuig_per_laadpunt_berek">Parameters!$B$696</definedName>
    <definedName name="_actieve_dagen_per_jaar">'2. Invoer parameters'!$C$35</definedName>
    <definedName name="_actieve_uren_per_dag">'2. Invoer parameters'!#REF!</definedName>
    <definedName name="_CAPEX_laadpunt_22kW">Parameters!$B$683</definedName>
    <definedName name="_CAPEX_laadpunt_22kW_turn_key">Parameters!$B$678</definedName>
    <definedName name="_CAPEX_laadpunt_22kW_turn_key_max">Parameters!$B$680</definedName>
    <definedName name="_CAPEX_laadpunt_22kW_turn_key_min">Parameters!$B$679</definedName>
    <definedName name="_capex_net">'2. Invoer parameters'!$C$342</definedName>
    <definedName name="_CAPEX_overig_22kW">Parameters!$B$685</definedName>
    <definedName name="_CO2_prijs">'[1]2. Invoer parameters'!$C$174</definedName>
    <definedName name="_extra_capex_CNG_tov_benzine" localSheetId="12">[2]_CNG!$C$33</definedName>
    <definedName name="_extra_capex_CNG_tov_benzine" localSheetId="14">[2]_CNG!$C$33</definedName>
    <definedName name="_extra_capex_CNG_tov_benzine" localSheetId="1">[3]_CNG!$C$32</definedName>
    <definedName name="_extra_capex_CNG_tov_benzine" localSheetId="7">[3]_CNG!$C$32</definedName>
    <definedName name="_extra_capex_CNG_tov_benzine">_CNG!$C$33</definedName>
    <definedName name="_xlnm._FilterDatabase" localSheetId="25" hidden="1">'_BEV persoon+bestel'!$A$2:$O$21</definedName>
    <definedName name="_xlnm._FilterDatabase" localSheetId="13" hidden="1">_BEV_LCV!$A$3:$BJ$60</definedName>
    <definedName name="_xlnm._FilterDatabase" localSheetId="20" hidden="1">_BEV_minibus!$A$1:$AS$19</definedName>
    <definedName name="_xlnm._FilterDatabase" localSheetId="19" hidden="1">_BEV_Pers!$A$3:$AQ$73</definedName>
    <definedName name="_xlnm._FilterDatabase" localSheetId="10" hidden="1">'Named ranges'!$A$1:$B$1035</definedName>
    <definedName name="_gem_snelheid_veegmachines">'Output TCO'!$E$125</definedName>
    <definedName name="_input_aantal_voertuig_per_laadpunt">'2. Invoer parameters'!$C$334</definedName>
    <definedName name="_laadtijd_buiten_pauze">'2. Invoer parameters'!$C$33</definedName>
    <definedName name="_looptijd_kippers">Parameters!$C$27</definedName>
    <definedName name="_looptijd_veegmachines">Parameters!$C$27</definedName>
    <definedName name="_looptijd_vuilniswagens">Parameters!$C$27</definedName>
    <definedName name="_MIA_max_bestel" localSheetId="12">[2]Parameters!$B$452</definedName>
    <definedName name="_MIA_max_bestel" localSheetId="14">[2]Parameters!$B$452</definedName>
    <definedName name="_MIA_max_bestel">Parameters!$B$632</definedName>
    <definedName name="_MIA_max_bestel_H2">Parameters!$B$634</definedName>
    <definedName name="_MIA_max_pers" localSheetId="12">[2]Parameters!$B$451</definedName>
    <definedName name="_MIA_max_pers" localSheetId="14">[2]Parameters!$B$451</definedName>
    <definedName name="_MIA_max_pers">Parameters!$B$630</definedName>
    <definedName name="_MIA_max_pers_9_elek">Parameters!$B$631</definedName>
    <definedName name="_MIA_max_personen_H2">Parameters!$B$633</definedName>
    <definedName name="_MIA_perc" localSheetId="12">[2]Parameters!$D$449</definedName>
    <definedName name="_MIA_perc" localSheetId="14">[2]Parameters!$D$449</definedName>
    <definedName name="_MIA_perc">Parameters!$C$630</definedName>
    <definedName name="_MIA_perc_bestel_elek">Parameters!$C$632</definedName>
    <definedName name="_MIA_perc_bestel_taxi_H2">Parameters!$C$634</definedName>
    <definedName name="_MIA_perc_pers_9_elek">Parameters!$C$631</definedName>
    <definedName name="_MIA_perc_pers_H2">Parameters!$C$633</definedName>
    <definedName name="_MIA_perc_veegmachine">Parameters!$C$636</definedName>
    <definedName name="_MIA_perc_vrachtwagen">Parameters!$C$635</definedName>
    <definedName name="_Ombouwkosten_bestel_personen">Parameters!$C$703</definedName>
    <definedName name="_Ombouwkosten_rolstoel_groot" localSheetId="12">'[2]2. Invoer parameters'!$D$206</definedName>
    <definedName name="_Ombouwkosten_rolstoel_groot" localSheetId="14">'[2]2. Invoer parameters'!$D$206</definedName>
    <definedName name="_Ombouwkosten_rolstoel_groot" localSheetId="1">'[3]2. Invoer parameters'!$D$171</definedName>
    <definedName name="_Ombouwkosten_rolstoel_groot" localSheetId="7">'[3]2. Invoer parameters'!$D$171</definedName>
    <definedName name="_Ombouwkosten_rolstoel_groot">Parameters!$C$701</definedName>
    <definedName name="_Ombouwkosten_rolstoel_groot_ZE">Parameters!$C$702</definedName>
    <definedName name="_Ombouwkosten_rolstoel_klein">'[3]2. Invoer parameters'!$D$172</definedName>
    <definedName name="_OPEX_laadpunt_22kW_jaar">Parameters!$B$694</definedName>
    <definedName name="_OPEX_stallingskosten_per_maand" localSheetId="1">[3]Parameters!$B$366</definedName>
    <definedName name="_OPEX_stallingskosten_per_maand" localSheetId="7">[3]Parameters!$B$366</definedName>
    <definedName name="_OPEX_stallingskosten_per_maand">Parameters!#REF!</definedName>
    <definedName name="_periodiek_net">'2. Invoer parameters'!$C$343</definedName>
    <definedName name="_restwaarde_perc_laadpunten">'2. Invoer parameters'!$C$345</definedName>
    <definedName name="_schadekosten_per_bedrijfsuur_veegwagen">Parameters!$D$600</definedName>
    <definedName name="_schadekosten_per_km" localSheetId="12">[2]Parameters!$B$441</definedName>
    <definedName name="_schadekosten_per_km" localSheetId="14">[2]Parameters!$B$441</definedName>
    <definedName name="_schadekosten_per_km" localSheetId="1">[3]Parameters!$B$331</definedName>
    <definedName name="_schadekosten_per_km" localSheetId="7">[3]Parameters!$B$331</definedName>
    <definedName name="_schadekosten_per_km">Parameters!$B$590</definedName>
    <definedName name="_schadekosten_per_km_huisvuilwagen">Parameters!$C$600</definedName>
    <definedName name="_schadekosten_per_km_veegvuilwagen">Parameters!$B$600</definedName>
    <definedName name="_uurloon_chauffeur">'2. Invoer parameters'!$C$34</definedName>
    <definedName name="_venootbelasting_perc" localSheetId="12">[2]Parameters!$D$450</definedName>
    <definedName name="_venootbelasting_perc" localSheetId="14">[2]Parameters!$D$450</definedName>
    <definedName name="_venootbelasting_perc">Parameters!$B$627</definedName>
    <definedName name="_verh_H2_accu_A">Parameters!$AD$111</definedName>
    <definedName name="_verh_H2_accu_B">Parameters!$AD$112</definedName>
    <definedName name="_verh_H2_accu_bestel_groot">Parameters!$AD$129</definedName>
    <definedName name="_verh_H2_accu_bestel_klein">Parameters!$AD$127</definedName>
    <definedName name="_verh_H2_accu_bestel_middel">Parameters!$AD$128</definedName>
    <definedName name="_verh_H2_accu_C">Parameters!$AD$113</definedName>
    <definedName name="_verh_H2_accu_D">Parameters!$AD$114</definedName>
    <definedName name="_verh_H2_accu_E">Parameters!$AD$115</definedName>
    <definedName name="_verh_H2_accu_F">Parameters!$AD$116</definedName>
    <definedName name="_verh_H2_accu_J">Parameters!$AD$117</definedName>
    <definedName name="_verh_H2_accu_K">Parameters!$AD$118</definedName>
    <definedName name="_verh_H2_accu_L">Parameters!$AD$119</definedName>
    <definedName name="_verh_H2_accu_M">Parameters!$AD$120</definedName>
    <definedName name="_verh_H2_accu_taxi_groot">Parameters!$AD$124</definedName>
    <definedName name="_verh_H2_accu_taxi_klein">Parameters!$AD$122</definedName>
    <definedName name="_verh_H2_accu_taxi_middel">Parameters!$AD$123</definedName>
    <definedName name="_verh_H2_accu_taxi_rolstoelbus">Parameters!$AD$125</definedName>
    <definedName name="_verh_H2_accu_veegvuilwagen">Parameters!$AD$131</definedName>
    <definedName name="_verh_H2_accu_veegwagen">Parameters!$AD$133</definedName>
    <definedName name="_verh_H2_accu_vuilniswagen">Parameters!$AD$132</definedName>
    <definedName name="_verzekering_variabel">Parameters!$F$589</definedName>
    <definedName name="_verzekering_vast">Parameters!$E$589</definedName>
    <definedName name="_xlchart.v1.0" hidden="1">'Output TCO'!$B$132:$C$143</definedName>
    <definedName name="_xlchart.v1.1" hidden="1">'Output TCO'!$E$131</definedName>
    <definedName name="_xlchart.v1.2" hidden="1">'Output TCO'!$E$132:$E$143</definedName>
    <definedName name="aantal_km_jaarlijks_vuilniswagens_old">Parameters!$C$19</definedName>
    <definedName name="BPM_belasting" localSheetId="12">'[2]2. Invoer parameters'!$C$10</definedName>
    <definedName name="BPM_belasting" localSheetId="14">'[2]2. Invoer parameters'!$C$10</definedName>
    <definedName name="BPM_belasting" localSheetId="1">'[3]2. Invoer parameters'!$C$12</definedName>
    <definedName name="BPM_belasting" localSheetId="7">'[3]2. Invoer parameters'!$C$12</definedName>
    <definedName name="BPM_belasting">'2. Invoer parameters'!$C$11</definedName>
    <definedName name="BPM_benz_A" localSheetId="12">[2]Parameters!$K$35</definedName>
    <definedName name="BPM_benz_A" localSheetId="14">[2]Parameters!$K$35</definedName>
    <definedName name="BPM_benz_A" localSheetId="1">[3]Parameters!$L$27</definedName>
    <definedName name="BPM_benz_A" localSheetId="0">[4]Parameters!$J$22</definedName>
    <definedName name="BPM_benz_A" localSheetId="7">[3]Parameters!$L$27</definedName>
    <definedName name="BPM_benz_A">Parameters!$L$35</definedName>
    <definedName name="BPM_benz_B" localSheetId="12">[2]Parameters!$K$36</definedName>
    <definedName name="BPM_benz_B" localSheetId="14">[2]Parameters!$K$36</definedName>
    <definedName name="BPM_benz_B" localSheetId="1">[3]Parameters!$L$28</definedName>
    <definedName name="BPM_benz_B" localSheetId="0">[4]Parameters!$J$23</definedName>
    <definedName name="BPM_benz_B" localSheetId="7">[3]Parameters!$L$28</definedName>
    <definedName name="BPM_benz_B">Parameters!$L$36</definedName>
    <definedName name="BPM_benz_bestel_groot" localSheetId="12">[2]Parameters!$K$53</definedName>
    <definedName name="BPM_benz_bestel_groot" localSheetId="14">[2]Parameters!$K$53</definedName>
    <definedName name="BPM_benz_bestel_groot">Parameters!$L$53</definedName>
    <definedName name="BPM_benz_bestel_klein" localSheetId="12">[2]Parameters!$K$51</definedName>
    <definedName name="BPM_benz_bestel_klein" localSheetId="14">[2]Parameters!$K$51</definedName>
    <definedName name="BPM_benz_bestel_klein">Parameters!$L$51</definedName>
    <definedName name="BPM_benz_bestel_middel" localSheetId="12">[2]Parameters!$K$52</definedName>
    <definedName name="BPM_benz_bestel_middel" localSheetId="14">[2]Parameters!$K$52</definedName>
    <definedName name="BPM_benz_bestel_middel">Parameters!$L$52</definedName>
    <definedName name="BPM_benz_C" localSheetId="12">[2]Parameters!$K$37</definedName>
    <definedName name="BPM_benz_C" localSheetId="14">[2]Parameters!$K$37</definedName>
    <definedName name="BPM_benz_C" localSheetId="1">[3]Parameters!$L$29</definedName>
    <definedName name="BPM_benz_C" localSheetId="0">[4]Parameters!$J$24</definedName>
    <definedName name="BPM_benz_C" localSheetId="7">[3]Parameters!$L$29</definedName>
    <definedName name="BPM_benz_C">Parameters!$L$37</definedName>
    <definedName name="BPM_benz_D" localSheetId="12">[2]Parameters!$K$38</definedName>
    <definedName name="BPM_benz_D" localSheetId="14">[2]Parameters!$K$38</definedName>
    <definedName name="BPM_benz_D" localSheetId="1">[3]Parameters!$L$30</definedName>
    <definedName name="BPM_benz_D" localSheetId="0">[4]Parameters!$J$25</definedName>
    <definedName name="BPM_benz_D" localSheetId="7">[3]Parameters!$L$30</definedName>
    <definedName name="BPM_benz_D">Parameters!$L$38</definedName>
    <definedName name="BPM_benz_E" localSheetId="12">[2]Parameters!$K$39</definedName>
    <definedName name="BPM_benz_E" localSheetId="14">[2]Parameters!$K$39</definedName>
    <definedName name="BPM_benz_E" localSheetId="1">[3]Parameters!$L$31</definedName>
    <definedName name="BPM_benz_E" localSheetId="0">[4]Parameters!$J$26</definedName>
    <definedName name="BPM_benz_E" localSheetId="7">[3]Parameters!$L$31</definedName>
    <definedName name="BPM_benz_E">Parameters!$L$39</definedName>
    <definedName name="BPM_benz_F" localSheetId="12">[2]Parameters!$K$40</definedName>
    <definedName name="BPM_benz_F" localSheetId="14">[2]Parameters!$K$40</definedName>
    <definedName name="BPM_benz_F" localSheetId="1">[3]Parameters!$L$32</definedName>
    <definedName name="BPM_benz_F" localSheetId="0">[4]Parameters!$J$27</definedName>
    <definedName name="BPM_benz_F" localSheetId="7">[3]Parameters!$L$32</definedName>
    <definedName name="BPM_benz_F">Parameters!$L$40</definedName>
    <definedName name="BPM_benz_J" localSheetId="12">[2]Parameters!$K$41</definedName>
    <definedName name="BPM_benz_J" localSheetId="14">[2]Parameters!$K$41</definedName>
    <definedName name="BPM_benz_J">Parameters!$L$41</definedName>
    <definedName name="BPM_benz_K" localSheetId="12">[2]Parameters!$K$42</definedName>
    <definedName name="BPM_benz_K" localSheetId="14">[2]Parameters!$K$42</definedName>
    <definedName name="BPM_benz_K">Parameters!$L$42</definedName>
    <definedName name="BPM_benz_L" localSheetId="12">[2]Parameters!$K$43</definedName>
    <definedName name="BPM_benz_L" localSheetId="14">[2]Parameters!$K$43</definedName>
    <definedName name="BPM_benz_L" localSheetId="1">[3]Parameters!$L$34</definedName>
    <definedName name="BPM_benz_L" localSheetId="0">[4]Parameters!$J$29</definedName>
    <definedName name="BPM_benz_L" localSheetId="7">[3]Parameters!$L$34</definedName>
    <definedName name="BPM_benz_L">Parameters!$L$43</definedName>
    <definedName name="BPM_benz_M" localSheetId="12">[2]Parameters!$K$44</definedName>
    <definedName name="BPM_benz_M" localSheetId="14">[2]Parameters!$K$44</definedName>
    <definedName name="BPM_benz_M" localSheetId="1">[3]Parameters!$L$35</definedName>
    <definedName name="BPM_benz_M" localSheetId="0">[4]Parameters!$J$30</definedName>
    <definedName name="BPM_benz_M" localSheetId="7">[3]Parameters!$L$35</definedName>
    <definedName name="BPM_benz_M">Parameters!$L$44</definedName>
    <definedName name="BPM_benz_rolstoelbus" localSheetId="12">[2]Parameters!$K$49</definedName>
    <definedName name="BPM_benz_rolstoelbus" localSheetId="14">[2]Parameters!$K$49</definedName>
    <definedName name="BPM_benz_rolstoelbus" localSheetId="1">[3]Parameters!$L$39</definedName>
    <definedName name="BPM_benz_rolstoelbus" localSheetId="7">[3]Parameters!$L$39</definedName>
    <definedName name="BPM_benz_rolstoelbus">Parameters!$L$49</definedName>
    <definedName name="BPM_benz_taxibus_groot" localSheetId="12">[2]Parameters!$K$48</definedName>
    <definedName name="BPM_benz_taxibus_groot" localSheetId="14">[2]Parameters!$K$48</definedName>
    <definedName name="BPM_benz_taxibus_groot" localSheetId="1">[3]Parameters!$L$38</definedName>
    <definedName name="BPM_benz_taxibus_groot" localSheetId="7">[3]Parameters!$L$38</definedName>
    <definedName name="BPM_benz_taxibus_groot">Parameters!$L$48</definedName>
    <definedName name="BPM_benz_taxibus_klein" localSheetId="12">[2]Parameters!$K$46</definedName>
    <definedName name="BPM_benz_taxibus_klein" localSheetId="14">[2]Parameters!$K$46</definedName>
    <definedName name="BPM_benz_taxibus_klein" localSheetId="1">[3]Parameters!$L$37</definedName>
    <definedName name="BPM_benz_taxibus_klein" localSheetId="7">[3]Parameters!$L$37</definedName>
    <definedName name="BPM_benz_taxibus_klein">Parameters!$L$46</definedName>
    <definedName name="BPM_benz_taxibus_middel" localSheetId="12">[2]Parameters!$K$47</definedName>
    <definedName name="BPM_benz_taxibus_middel" localSheetId="14">[2]Parameters!$K$47</definedName>
    <definedName name="BPM_benz_taxibus_middel">Parameters!$L$47</definedName>
    <definedName name="BPM_BEV" localSheetId="12">[2]Parameters!$D$271</definedName>
    <definedName name="BPM_BEV" localSheetId="14">[2]Parameters!$D$271</definedName>
    <definedName name="BPM_BEV" localSheetId="1">[3]Parameters!$C$228</definedName>
    <definedName name="BPM_BEV" localSheetId="0">[4]Parameters!$C$188</definedName>
    <definedName name="BPM_BEV" localSheetId="7">[3]Parameters!$C$228</definedName>
    <definedName name="BPM_BEV">Parameters!$D$341</definedName>
    <definedName name="BPM_BEV_A">Parameters!$L$83</definedName>
    <definedName name="BPM_BEV_B">Parameters!$L$84</definedName>
    <definedName name="BPM_BEV_bestel_groot">Parameters!$L$101</definedName>
    <definedName name="BPM_BEV_bestel_klein">Parameters!$L$99</definedName>
    <definedName name="BPM_BEV_bestel_middel">Parameters!$L$100</definedName>
    <definedName name="BPM_BEV_C">Parameters!$L$85</definedName>
    <definedName name="BPM_BEV_D">Parameters!$L$86</definedName>
    <definedName name="BPM_BEV_E">Parameters!$L$87</definedName>
    <definedName name="BPM_BEV_F">Parameters!$L$88</definedName>
    <definedName name="BPM_BEV_J">Parameters!$L$89</definedName>
    <definedName name="BPM_BEV_K">Parameters!$L$90</definedName>
    <definedName name="BPM_BEV_L">Parameters!$L$91</definedName>
    <definedName name="BPM_BEV_M">Parameters!$L$92</definedName>
    <definedName name="BPM_BEV_taxibus_Groot">Parameters!$L$96</definedName>
    <definedName name="BPM_BEV_taxibus_Groot_Ombouw" localSheetId="12">[2]Parameters!#REF!</definedName>
    <definedName name="BPM_BEV_taxibus_Groot_Ombouw" localSheetId="14">[2]Parameters!#REF!</definedName>
    <definedName name="BPM_BEV_taxibus_Groot_Ombouw" localSheetId="3">Parameters!#REF!</definedName>
    <definedName name="BPM_BEV_taxibus_Groot_Ombouw">Parameters!#REF!</definedName>
    <definedName name="BPM_BEV_taxibus_klein">Parameters!$L$94</definedName>
    <definedName name="BPM_BEV_taxibus_middel">Parameters!$L$95</definedName>
    <definedName name="BPM_BEV_taxibus_Rolstoelbus">Parameters!$L$97</definedName>
    <definedName name="BPM_BEV_taxibus_Rolstoelbus_Ombouw" localSheetId="12">[2]Parameters!#REF!</definedName>
    <definedName name="BPM_BEV_taxibus_Rolstoelbus_Ombouw" localSheetId="14">[2]Parameters!#REF!</definedName>
    <definedName name="BPM_BEV_taxibus_Rolstoelbus_Ombouw" localSheetId="3">Parameters!#REF!</definedName>
    <definedName name="BPM_BEV_taxibus_Rolstoelbus_Ombouw">Parameters!#REF!</definedName>
    <definedName name="BPM_BEV_veegvuilwagen">Parameters!$L$103</definedName>
    <definedName name="BPM_BEV_veegwagen">Parameters!$L$105</definedName>
    <definedName name="BPM_BEV_vuilniswagen">Parameters!$L$104</definedName>
    <definedName name="BPM_CNG_A" localSheetId="12">[2]Parameters!$K$59</definedName>
    <definedName name="BPM_CNG_A" localSheetId="14">[2]Parameters!$K$59</definedName>
    <definedName name="BPM_CNG_A" localSheetId="1">[3]Parameters!$L$49</definedName>
    <definedName name="BPM_CNG_A" localSheetId="7">[3]Parameters!$L$49</definedName>
    <definedName name="BPM_CNG_A">Parameters!$L$59</definedName>
    <definedName name="BPM_CNG_B" localSheetId="12">[2]Parameters!$K$60</definedName>
    <definedName name="BPM_CNG_B" localSheetId="14">[2]Parameters!$K$60</definedName>
    <definedName name="BPM_CNG_B" localSheetId="1">[3]Parameters!$L$50</definedName>
    <definedName name="BPM_CNG_B" localSheetId="7">[3]Parameters!$L$50</definedName>
    <definedName name="BPM_CNG_B">Parameters!$L$60</definedName>
    <definedName name="BPM_CNG_bestel_groot" localSheetId="12">[2]Parameters!$K$77</definedName>
    <definedName name="BPM_CNG_bestel_groot" localSheetId="14">[2]Parameters!$K$77</definedName>
    <definedName name="BPM_CNG_bestel_groot">Parameters!$L$77</definedName>
    <definedName name="BPM_CNG_bestel_klein" localSheetId="12">[2]Parameters!$K$75</definedName>
    <definedName name="BPM_CNG_bestel_klein" localSheetId="14">[2]Parameters!$K$75</definedName>
    <definedName name="BPM_CNG_bestel_klein">Parameters!$L$75</definedName>
    <definedName name="BPM_CNG_bestel_middel" localSheetId="12">[2]Parameters!$K$76</definedName>
    <definedName name="BPM_CNG_bestel_middel" localSheetId="14">[2]Parameters!$K$76</definedName>
    <definedName name="BPM_CNG_bestel_middel">Parameters!$L$76</definedName>
    <definedName name="BPM_CNG_C" localSheetId="12">[2]Parameters!$K$61</definedName>
    <definedName name="BPM_CNG_C" localSheetId="14">[2]Parameters!$K$61</definedName>
    <definedName name="BPM_CNG_C" localSheetId="1">[3]Parameters!$L$51</definedName>
    <definedName name="BPM_CNG_C" localSheetId="7">[3]Parameters!$L$51</definedName>
    <definedName name="BPM_CNG_C">Parameters!$L$61</definedName>
    <definedName name="BPM_CNG_D" localSheetId="12">[2]Parameters!$K$62</definedName>
    <definedName name="BPM_CNG_D" localSheetId="14">[2]Parameters!$K$62</definedName>
    <definedName name="BPM_CNG_D" localSheetId="1">[3]Parameters!$L$52</definedName>
    <definedName name="BPM_CNG_D" localSheetId="7">[3]Parameters!$L$52</definedName>
    <definedName name="BPM_CNG_D">Parameters!$L$62</definedName>
    <definedName name="BPM_CNG_E" localSheetId="12">[2]Parameters!$K$63</definedName>
    <definedName name="BPM_CNG_E" localSheetId="14">[2]Parameters!$K$63</definedName>
    <definedName name="BPM_CNG_E" localSheetId="1">[3]Parameters!$L$53</definedName>
    <definedName name="BPM_CNG_E" localSheetId="7">[3]Parameters!$L$53</definedName>
    <definedName name="BPM_CNG_E">Parameters!$L$63</definedName>
    <definedName name="BPM_CNG_F" localSheetId="12">[2]Parameters!$K$64</definedName>
    <definedName name="BPM_CNG_F" localSheetId="14">[2]Parameters!$K$64</definedName>
    <definedName name="BPM_CNG_F" localSheetId="1">[3]Parameters!$L$54</definedName>
    <definedName name="BPM_CNG_F" localSheetId="7">[3]Parameters!$L$54</definedName>
    <definedName name="BPM_CNG_F">Parameters!$L$64</definedName>
    <definedName name="BPM_CNG_J" localSheetId="12">[2]Parameters!$K$65</definedName>
    <definedName name="BPM_CNG_J" localSheetId="14">[2]Parameters!$K$65</definedName>
    <definedName name="BPM_CNG_J">Parameters!$L$65</definedName>
    <definedName name="BPM_CNG_K" localSheetId="12">[2]Parameters!$K$66</definedName>
    <definedName name="BPM_CNG_K" localSheetId="14">[2]Parameters!$K$66</definedName>
    <definedName name="BPM_CNG_K">Parameters!$L$66</definedName>
    <definedName name="BPM_CNG_L" localSheetId="12">[2]Parameters!$K$67</definedName>
    <definedName name="BPM_CNG_L" localSheetId="14">[2]Parameters!$K$67</definedName>
    <definedName name="BPM_CNG_L" localSheetId="1">[3]Parameters!$L$56</definedName>
    <definedName name="BPM_CNG_L" localSheetId="7">[3]Parameters!$L$56</definedName>
    <definedName name="BPM_CNG_L">Parameters!$L$67</definedName>
    <definedName name="BPM_CNG_M" localSheetId="12">[2]Parameters!$K$68</definedName>
    <definedName name="BPM_CNG_M" localSheetId="14">[2]Parameters!$K$68</definedName>
    <definedName name="BPM_CNG_M" localSheetId="1">[3]Parameters!$L$57</definedName>
    <definedName name="BPM_CNG_M" localSheetId="7">[3]Parameters!$L$57</definedName>
    <definedName name="BPM_CNG_M">Parameters!$L$68</definedName>
    <definedName name="BPM_CNG_rolstoelbus" localSheetId="12">[2]Parameters!$K$73</definedName>
    <definedName name="BPM_CNG_rolstoelbus" localSheetId="14">[2]Parameters!$K$73</definedName>
    <definedName name="BPM_CNG_rolstoelbus" localSheetId="1">[3]Parameters!$L$61</definedName>
    <definedName name="BPM_CNG_rolstoelbus" localSheetId="7">[3]Parameters!$L$61</definedName>
    <definedName name="BPM_CNG_rolstoelbus">Parameters!$L$73</definedName>
    <definedName name="BPM_CNG_taxibus_groot" localSheetId="12">[2]Parameters!$K$72</definedName>
    <definedName name="BPM_CNG_taxibus_groot" localSheetId="14">[2]Parameters!$K$72</definedName>
    <definedName name="BPM_CNG_taxibus_groot" localSheetId="1">[3]Parameters!$L$60</definedName>
    <definedName name="BPM_CNG_taxibus_groot" localSheetId="7">[3]Parameters!$L$60</definedName>
    <definedName name="BPM_CNG_taxibus_groot">Parameters!$L$72</definedName>
    <definedName name="BPM_CNG_taxibus_klein" localSheetId="12">[2]Parameters!$K$70</definedName>
    <definedName name="BPM_CNG_taxibus_klein" localSheetId="14">[2]Parameters!$K$70</definedName>
    <definedName name="BPM_CNG_taxibus_klein" localSheetId="1">[3]Parameters!$L$59</definedName>
    <definedName name="BPM_CNG_taxibus_klein" localSheetId="7">[3]Parameters!$L$59</definedName>
    <definedName name="BPM_CNG_taxibus_klein">Parameters!$L$70</definedName>
    <definedName name="BPM_CNG_taxibus_middel" localSheetId="12">[2]Parameters!$K$71</definedName>
    <definedName name="BPM_CNG_taxibus_middel" localSheetId="14">[2]Parameters!$K$71</definedName>
    <definedName name="BPM_CNG_taxibus_middel">Parameters!$L$71</definedName>
    <definedName name="BPM_die_A">Parameters!$L$7</definedName>
    <definedName name="BPM_die_B" localSheetId="12">[2]Parameters!$K$8</definedName>
    <definedName name="BPM_die_B" localSheetId="14">[2]Parameters!$K$8</definedName>
    <definedName name="BPM_die_B" localSheetId="1">[3]Parameters!$L$6</definedName>
    <definedName name="BPM_die_B" localSheetId="0">[4]Parameters!$J$6</definedName>
    <definedName name="BPM_die_B" localSheetId="7">[3]Parameters!$L$6</definedName>
    <definedName name="BPM_die_B">Parameters!$L$8</definedName>
    <definedName name="BPM_die_bestel_groot" localSheetId="12">[2]Parameters!$K$25</definedName>
    <definedName name="BPM_die_bestel_groot" localSheetId="14">[2]Parameters!$K$25</definedName>
    <definedName name="BPM_die_bestel_groot" localSheetId="0">[4]Parameters!$J$16</definedName>
    <definedName name="BPM_die_bestel_groot">Parameters!$L$25</definedName>
    <definedName name="BPM_die_bestel_klein" localSheetId="12">[2]Parameters!$K$23</definedName>
    <definedName name="BPM_die_bestel_klein" localSheetId="14">[2]Parameters!$K$23</definedName>
    <definedName name="BPM_die_bestel_klein" localSheetId="0">[4]Parameters!$J$14</definedName>
    <definedName name="BPM_die_bestel_klein">Parameters!$L$23</definedName>
    <definedName name="BPM_die_bestel_middel" localSheetId="12">[2]Parameters!$K$24</definedName>
    <definedName name="BPM_die_bestel_middel" localSheetId="14">[2]Parameters!$K$24</definedName>
    <definedName name="BPM_die_bestel_middel" localSheetId="0">[4]Parameters!$J$15</definedName>
    <definedName name="BPM_die_bestel_middel">Parameters!$L$24</definedName>
    <definedName name="BPM_die_C" localSheetId="12">[2]Parameters!$K$9</definedName>
    <definedName name="BPM_die_C" localSheetId="14">[2]Parameters!$K$9</definedName>
    <definedName name="BPM_die_C" localSheetId="1">[3]Parameters!$L$7</definedName>
    <definedName name="BPM_die_C" localSheetId="0">[4]Parameters!$J$7</definedName>
    <definedName name="BPM_die_C" localSheetId="7">[3]Parameters!$L$7</definedName>
    <definedName name="BPM_die_C">Parameters!$L$9</definedName>
    <definedName name="BPM_die_D" localSheetId="12">[2]Parameters!$K$10</definedName>
    <definedName name="BPM_die_D" localSheetId="14">[2]Parameters!$K$10</definedName>
    <definedName name="BPM_die_D" localSheetId="1">[3]Parameters!$L$8</definedName>
    <definedName name="BPM_die_D" localSheetId="0">[4]Parameters!$J$8</definedName>
    <definedName name="BPM_die_D" localSheetId="7">[3]Parameters!$L$8</definedName>
    <definedName name="BPM_die_D">Parameters!$L$10</definedName>
    <definedName name="BPM_die_E" localSheetId="12">[2]Parameters!$K$11</definedName>
    <definedName name="BPM_die_E" localSheetId="14">[2]Parameters!$K$11</definedName>
    <definedName name="BPM_die_E" localSheetId="1">[3]Parameters!$L$9</definedName>
    <definedName name="BPM_die_E" localSheetId="0">[4]Parameters!$J$9</definedName>
    <definedName name="BPM_die_E" localSheetId="7">[3]Parameters!$L$9</definedName>
    <definedName name="BPM_die_E">Parameters!$L$11</definedName>
    <definedName name="BPM_die_F" localSheetId="12">[2]Parameters!$K$12</definedName>
    <definedName name="BPM_die_F" localSheetId="14">[2]Parameters!$K$12</definedName>
    <definedName name="BPM_die_F" localSheetId="1">[3]Parameters!$L$10</definedName>
    <definedName name="BPM_die_F" localSheetId="0">[4]Parameters!$J$10</definedName>
    <definedName name="BPM_die_F" localSheetId="7">[3]Parameters!$L$10</definedName>
    <definedName name="BPM_die_F">Parameters!$L$12</definedName>
    <definedName name="BPM_die_G" localSheetId="12">[2]Parameters!#REF!</definedName>
    <definedName name="BPM_die_G" localSheetId="14">[2]Parameters!#REF!</definedName>
    <definedName name="BPM_die_G">Parameters!#REF!</definedName>
    <definedName name="BPM_die_H" localSheetId="12">[2]Parameters!#REF!</definedName>
    <definedName name="BPM_die_H" localSheetId="14">[2]Parameters!#REF!</definedName>
    <definedName name="BPM_die_H">Parameters!#REF!</definedName>
    <definedName name="BPM_die_I" localSheetId="12">[2]Parameters!#REF!</definedName>
    <definedName name="BPM_die_I" localSheetId="14">[2]Parameters!#REF!</definedName>
    <definedName name="BPM_die_I">Parameters!#REF!</definedName>
    <definedName name="BPM_die_J" localSheetId="12">[2]Parameters!$K$13</definedName>
    <definedName name="BPM_die_J" localSheetId="14">[2]Parameters!$K$13</definedName>
    <definedName name="BPM_die_J">Parameters!$L$13</definedName>
    <definedName name="BPM_die_K" localSheetId="12">[2]Parameters!$K$14</definedName>
    <definedName name="BPM_die_K" localSheetId="14">[2]Parameters!$K$14</definedName>
    <definedName name="BPM_die_K">Parameters!$L$14</definedName>
    <definedName name="BPM_die_L" localSheetId="12">[2]Parameters!$K$15</definedName>
    <definedName name="BPM_die_L" localSheetId="14">[2]Parameters!$K$15</definedName>
    <definedName name="BPM_die_L" localSheetId="1">[3]Parameters!$L$12</definedName>
    <definedName name="BPM_die_L" localSheetId="0">[4]Parameters!$J$12</definedName>
    <definedName name="BPM_die_L" localSheetId="7">[3]Parameters!$L$12</definedName>
    <definedName name="BPM_die_L">Parameters!$L$15</definedName>
    <definedName name="BPM_die_M" localSheetId="12">[2]Parameters!$K$16</definedName>
    <definedName name="BPM_die_M" localSheetId="14">[2]Parameters!$K$16</definedName>
    <definedName name="BPM_die_M" localSheetId="1">[3]Parameters!$L$13</definedName>
    <definedName name="BPM_die_M" localSheetId="0">[4]Parameters!$J$13</definedName>
    <definedName name="BPM_die_M" localSheetId="7">[3]Parameters!$L$13</definedName>
    <definedName name="BPM_die_M">Parameters!$L$16</definedName>
    <definedName name="BPM_die_rolstoelbus" localSheetId="12">[2]Parameters!$K$21</definedName>
    <definedName name="BPM_die_rolstoelbus" localSheetId="14">[2]Parameters!$K$21</definedName>
    <definedName name="BPM_die_rolstoelbus" localSheetId="1">[3]Parameters!$L$17</definedName>
    <definedName name="BPM_die_rolstoelbus" localSheetId="7">[3]Parameters!$L$17</definedName>
    <definedName name="BPM_die_rolstoelbus">Parameters!$L$21</definedName>
    <definedName name="BPM_die_specials_G">[2]Parameters!#REF!</definedName>
    <definedName name="BPM_die_specials_H">[2]Parameters!#REF!</definedName>
    <definedName name="BPM_die_specials_I">[2]Parameters!#REF!</definedName>
    <definedName name="BPM_die_taxibus_groot" localSheetId="12">[2]Parameters!$K$20</definedName>
    <definedName name="BPM_die_taxibus_groot" localSheetId="14">[2]Parameters!$K$20</definedName>
    <definedName name="BPM_die_taxibus_groot" localSheetId="1">[3]Parameters!$L$16</definedName>
    <definedName name="BPM_die_taxibus_groot" localSheetId="7">[3]Parameters!$L$16</definedName>
    <definedName name="BPM_die_taxibus_groot">Parameters!$L$20</definedName>
    <definedName name="BPM_die_taxibus_klein" localSheetId="12">[2]Parameters!$K$18</definedName>
    <definedName name="BPM_die_taxibus_klein" localSheetId="14">[2]Parameters!$K$18</definedName>
    <definedName name="BPM_die_taxibus_klein" localSheetId="1">[3]Parameters!$L$15</definedName>
    <definedName name="BPM_die_taxibus_klein" localSheetId="7">[3]Parameters!$L$15</definedName>
    <definedName name="BPM_die_taxibus_klein">Parameters!$L$18</definedName>
    <definedName name="BPM_die_taxibus_middel" localSheetId="12">[2]Parameters!$K$19</definedName>
    <definedName name="BPM_die_taxibus_middel" localSheetId="14">[2]Parameters!$K$19</definedName>
    <definedName name="BPM_die_taxibus_middel">Parameters!$L$19</definedName>
    <definedName name="BPM_die_veegvuilwagen">Parameters!$L$27</definedName>
    <definedName name="BPM_die_veegwagen">Parameters!$L$29</definedName>
    <definedName name="BPM_die_vuilniswagen">Parameters!$L$28</definedName>
    <definedName name="BPM_FCEV">Parameters!$E$341</definedName>
    <definedName name="BPM_FCEV_A">Parameters!$L$111</definedName>
    <definedName name="BPM_FCEV_B">Parameters!$L$112</definedName>
    <definedName name="BPM_FCEV_bestel_groot">Parameters!$L$129</definedName>
    <definedName name="BPM_FCEV_bestel_klein">Parameters!$L$127</definedName>
    <definedName name="BPM_FCEV_bestel_middel">Parameters!$L$128</definedName>
    <definedName name="BPM_FCEV_C">Parameters!$L$113</definedName>
    <definedName name="BPM_FCEV_D">Parameters!$L$114</definedName>
    <definedName name="BPM_FCEV_E">Parameters!$L$115</definedName>
    <definedName name="BPM_FCEV_F">Parameters!$L$116</definedName>
    <definedName name="BPM_FCEV_J">Parameters!$L$117</definedName>
    <definedName name="BPM_FCEV_K">Parameters!$L$118</definedName>
    <definedName name="BPM_FCEV_L">Parameters!$L$119</definedName>
    <definedName name="BPM_FCEV_M">Parameters!$L$120</definedName>
    <definedName name="BPM_FCEV_rolstoel">Parameters!$L$125</definedName>
    <definedName name="BPM_FCEV_specials">[2]Parameters!#REF!</definedName>
    <definedName name="BPM_FCEV_specials_Rolstoelbus_Ombouw">[2]Parameters!#REF!</definedName>
    <definedName name="BPM_FCEV_taxi_groot">Parameters!$L$124</definedName>
    <definedName name="BPM_FCEV_taxi_klein">Parameters!$L$122</definedName>
    <definedName name="BPM_FCEV_taxi_middel">Parameters!$L$123</definedName>
    <definedName name="BPM_FCEV_veegvuilwagen">Parameters!$L$131</definedName>
    <definedName name="BPM_FCEV_veegwagen">Parameters!$L$133</definedName>
    <definedName name="BPM_FCEV_vuilniswagen">Parameters!$L$132</definedName>
    <definedName name="Bruto_cat_BEV_A">Parameters!$N$83</definedName>
    <definedName name="Bruto_cat_BEV_B">Parameters!$N$84</definedName>
    <definedName name="Bruto_cat_BEV_bestel_groot">Parameters!$N$101</definedName>
    <definedName name="Bruto_cat_BEV_bestel_klein">Parameters!$N$99</definedName>
    <definedName name="Bruto_cat_BEV_bestel_middel">Parameters!$N$100</definedName>
    <definedName name="Bruto_cat_BEV_C">Parameters!$N$85</definedName>
    <definedName name="Bruto_cat_BEV_D">Parameters!$N$86</definedName>
    <definedName name="Bruto_cat_BEV_E">Parameters!$N$87</definedName>
    <definedName name="Bruto_cat_BEV_F">Parameters!$N$88</definedName>
    <definedName name="Bruto_cat_BEV_J">Parameters!$N$89</definedName>
    <definedName name="Bruto_cat_BEV_L">Parameters!$N$91</definedName>
    <definedName name="Bruto_cat_BEV_M">Parameters!$N$92</definedName>
    <definedName name="Bruto_cat_BEV_veegvuilwagen">Parameters!$N$103</definedName>
    <definedName name="Bruto_cat_BEV_veegwagen">Parameters!$N$105</definedName>
    <definedName name="Bruto_cat_BEV_vuilniswagen">Parameters!$N$104</definedName>
    <definedName name="BTW" localSheetId="12">[2]Parameters!$B$193</definedName>
    <definedName name="BTW" localSheetId="14">[2]Parameters!$B$193</definedName>
    <definedName name="BTW" localSheetId="1">[3]Parameters!$B$153</definedName>
    <definedName name="BTW" localSheetId="0">[4]Parameters!$B$115</definedName>
    <definedName name="BTW" localSheetId="7">[3]Parameters!$B$153</definedName>
    <definedName name="BTW">Parameters!$B$227</definedName>
    <definedName name="BTW_BEV_Pers">[5]Aannames!$B$4</definedName>
    <definedName name="BTW_Pers_BEV">[6]Aannames!$B$4</definedName>
    <definedName name="BTW_verrekening" localSheetId="12">'[2]2. Invoer parameters'!$C$8</definedName>
    <definedName name="BTW_verrekening" localSheetId="14">'[2]2. Invoer parameters'!$C$8</definedName>
    <definedName name="BTW_verrekening" localSheetId="1">'[3]2. Invoer parameters'!$C$10</definedName>
    <definedName name="BTW_verrekening" localSheetId="0">'[4]2. Invoer parameters'!$C$9</definedName>
    <definedName name="BTW_verrekening" localSheetId="7">'[3]2. Invoer parameters'!$C$10</definedName>
    <definedName name="BTW_verrekening">'2. Invoer parameters'!$C$9</definedName>
    <definedName name="cat_prijs_net_benz_A" localSheetId="12">[2]_fossiel_pers!$J$25</definedName>
    <definedName name="cat_prijs_net_benz_A" localSheetId="14">[2]_fossiel_pers!$J$25</definedName>
    <definedName name="cat_prijs_net_benz_A" localSheetId="1">[3]_Personenauto!$H$25</definedName>
    <definedName name="cat_prijs_net_benz_A" localSheetId="0">[4]_Personenauto!$H$25</definedName>
    <definedName name="cat_prijs_net_benz_A" localSheetId="7">[3]_Personenauto!$H$25</definedName>
    <definedName name="cat_prijs_net_benz_A">_fossiel_pers!$J$25</definedName>
    <definedName name="cat_prijs_net_benz_B" localSheetId="12">[2]_fossiel_pers!$J$44</definedName>
    <definedName name="cat_prijs_net_benz_B" localSheetId="14">[2]_fossiel_pers!$J$44</definedName>
    <definedName name="cat_prijs_net_benz_B" localSheetId="1">[3]_Personenauto!$H$44</definedName>
    <definedName name="cat_prijs_net_benz_B" localSheetId="0">[4]_Personenauto!$H$44</definedName>
    <definedName name="cat_prijs_net_benz_B" localSheetId="7">[3]_Personenauto!$H$44</definedName>
    <definedName name="cat_prijs_net_benz_B">_fossiel_pers!$J$44</definedName>
    <definedName name="cat_prijs_net_benz_bestel_klein">_fossiel_LCV!$N$116</definedName>
    <definedName name="cat_prijs_net_benz_C" localSheetId="12">[2]_fossiel_pers!$J$64</definedName>
    <definedName name="cat_prijs_net_benz_C" localSheetId="14">[2]_fossiel_pers!$J$64</definedName>
    <definedName name="cat_prijs_net_benz_C" localSheetId="1">[3]_Personenauto!$H$64</definedName>
    <definedName name="cat_prijs_net_benz_C" localSheetId="0">[4]_Personenauto!$H$64</definedName>
    <definedName name="cat_prijs_net_benz_C" localSheetId="7">[3]_Personenauto!$H$64</definedName>
    <definedName name="cat_prijs_net_benz_C">_fossiel_pers!$J$64</definedName>
    <definedName name="cat_prijs_net_benz_D" localSheetId="12">[2]_fossiel_pers!$J$84</definedName>
    <definedName name="cat_prijs_net_benz_D" localSheetId="14">[2]_fossiel_pers!$J$84</definedName>
    <definedName name="cat_prijs_net_benz_D" localSheetId="1">[3]_Personenauto!$H$84</definedName>
    <definedName name="cat_prijs_net_benz_D" localSheetId="0">[4]_Personenauto!$H$84</definedName>
    <definedName name="cat_prijs_net_benz_D" localSheetId="7">[3]_Personenauto!$H$84</definedName>
    <definedName name="cat_prijs_net_benz_D">_fossiel_pers!$J$84</definedName>
    <definedName name="cat_prijs_net_benz_E" localSheetId="12">[2]_fossiel_pers!$J$104</definedName>
    <definedName name="cat_prijs_net_benz_E" localSheetId="14">[2]_fossiel_pers!$J$104</definedName>
    <definedName name="cat_prijs_net_benz_E" localSheetId="1">[3]_Personenauto!$H$104</definedName>
    <definedName name="cat_prijs_net_benz_E" localSheetId="0">[4]_Personenauto!$H$104</definedName>
    <definedName name="cat_prijs_net_benz_E" localSheetId="7">[3]_Personenauto!$H$104</definedName>
    <definedName name="cat_prijs_net_benz_E">_fossiel_pers!$J$104</definedName>
    <definedName name="cat_prijs_net_benz_F" localSheetId="12">[2]_fossiel_pers!$J$124</definedName>
    <definedName name="cat_prijs_net_benz_F" localSheetId="14">[2]_fossiel_pers!$J$124</definedName>
    <definedName name="cat_prijs_net_benz_F" localSheetId="1">[3]_Personenauto!$H$124</definedName>
    <definedName name="cat_prijs_net_benz_F" localSheetId="0">[4]_Personenauto!$H$124</definedName>
    <definedName name="cat_prijs_net_benz_F" localSheetId="7">[3]_Personenauto!$H$124</definedName>
    <definedName name="cat_prijs_net_benz_F">_fossiel_pers!$J$124</definedName>
    <definedName name="cat_prijs_net_benz_groot_taxibus">_fossiel_minibus!$I$98</definedName>
    <definedName name="cat_prijs_net_benz_grote_taxibus">[3]_Taxibussen!$G$49</definedName>
    <definedName name="cat_prijs_net_benz_J" localSheetId="12">[2]_fossiel_pers!$J$144</definedName>
    <definedName name="cat_prijs_net_benz_J" localSheetId="14">[2]_fossiel_pers!$J$144</definedName>
    <definedName name="cat_prijs_net_benz_J" localSheetId="1">[3]_Personenauto!$H$144</definedName>
    <definedName name="cat_prijs_net_benz_J" localSheetId="0">[4]_Personenauto!$H$144</definedName>
    <definedName name="cat_prijs_net_benz_J" localSheetId="7">[3]_Personenauto!$H$144</definedName>
    <definedName name="cat_prijs_net_benz_J">_fossiel_pers!$J$144</definedName>
    <definedName name="cat_prijs_net_benz_kleine_taxibus" localSheetId="12">[2]_fossiel_minibus!$I$29</definedName>
    <definedName name="cat_prijs_net_benz_kleine_taxibus" localSheetId="14">[2]_fossiel_minibus!$I$29</definedName>
    <definedName name="cat_prijs_net_benz_kleine_taxibus" localSheetId="1">[3]_Taxibussen!$G$22</definedName>
    <definedName name="cat_prijs_net_benz_kleine_taxibus" localSheetId="7">[3]_Taxibussen!$G$22</definedName>
    <definedName name="cat_prijs_net_benz_kleine_taxibus">_fossiel_minibus!$I$29</definedName>
    <definedName name="cat_prijs_net_benz_L" localSheetId="12">[2]_fossiel_pers!$J$164</definedName>
    <definedName name="cat_prijs_net_benz_L" localSheetId="14">[2]_fossiel_pers!$J$164</definedName>
    <definedName name="cat_prijs_net_benz_L" localSheetId="1">[3]_Personenauto!$H$164</definedName>
    <definedName name="cat_prijs_net_benz_L" localSheetId="0">[4]_Personenauto!$H$164</definedName>
    <definedName name="cat_prijs_net_benz_L" localSheetId="7">[3]_Personenauto!$H$164</definedName>
    <definedName name="cat_prijs_net_benz_L">_fossiel_pers!$J$164</definedName>
    <definedName name="cat_prijs_net_benz_M" localSheetId="12">[2]_fossiel_pers!$J$184</definedName>
    <definedName name="cat_prijs_net_benz_M" localSheetId="14">[2]_fossiel_pers!$J$184</definedName>
    <definedName name="cat_prijs_net_benz_M" localSheetId="1">[3]_Personenauto!$H$184</definedName>
    <definedName name="cat_prijs_net_benz_M" localSheetId="0">[4]_Personenauto!$H$184</definedName>
    <definedName name="cat_prijs_net_benz_M" localSheetId="7">[3]_Personenauto!$H$184</definedName>
    <definedName name="cat_prijs_net_benz_M">_fossiel_pers!$J$184</definedName>
    <definedName name="cat_prijs_net_benz_middel_taxibus">_fossiel_minibus!$I$63</definedName>
    <definedName name="cat_prijs_net_benz_rolstoelbus" localSheetId="1">[3]_Taxibussen!$G$75</definedName>
    <definedName name="cat_prijs_net_benz_rolstoelbus" localSheetId="7">[3]_Taxibussen!$G$75</definedName>
    <definedName name="cat_prijs_net_benz_rolstoelbus">_fossiel_minibus!$I$130</definedName>
    <definedName name="cat_prijs_net_BEV_rolstoelbus" localSheetId="1">[3]_Taxibussen!$I$87</definedName>
    <definedName name="cat_prijs_net_BEV_rolstoelbus" localSheetId="7">[3]_Taxibussen!$I$87</definedName>
    <definedName name="cat_prijs_net_BEV_rolstoelbus">_BEV_minibus!$K$28</definedName>
    <definedName name="cat_prijs_net_CNG_bestel_groot" localSheetId="12">[2]_fossiel_LCV!$N$181</definedName>
    <definedName name="cat_prijs_net_CNG_bestel_groot" localSheetId="14">[2]_fossiel_LCV!$N$181</definedName>
    <definedName name="cat_prijs_net_CNG_bestel_groot">_fossiel_LCV!$N$181</definedName>
    <definedName name="cat_prijs_net_CNG_groot_taxibus" localSheetId="12">[2]_fossiel_minibus!$I$109</definedName>
    <definedName name="cat_prijs_net_CNG_groot_taxibus" localSheetId="14">[2]_fossiel_minibus!$I$109</definedName>
    <definedName name="cat_prijs_net_CNG_groot_taxibus">_fossiel_minibus!$I$109</definedName>
    <definedName name="cat_prijs_net_die_bestel_groot" localSheetId="12">[2]_fossiel_LCV!$N$82</definedName>
    <definedName name="cat_prijs_net_die_bestel_groot" localSheetId="14">[2]_fossiel_LCV!$N$82</definedName>
    <definedName name="cat_prijs_net_die_bestel_groot" localSheetId="1">[3]_Bestelbus!$K$76</definedName>
    <definedName name="cat_prijs_net_die_bestel_groot" localSheetId="0">[4]_Bestelbus!$K$76</definedName>
    <definedName name="cat_prijs_net_die_bestel_groot" localSheetId="7">[3]_Bestelbus!$K$76</definedName>
    <definedName name="cat_prijs_net_die_bestel_groot">_fossiel_LCV!$N$82</definedName>
    <definedName name="cat_prijs_net_die_bestel_klein" localSheetId="12">[2]_fossiel_LCV!$N$34</definedName>
    <definedName name="cat_prijs_net_die_bestel_klein" localSheetId="14">[2]_fossiel_LCV!$N$34</definedName>
    <definedName name="cat_prijs_net_die_bestel_klein" localSheetId="1">[3]_Bestelbus!$K$28</definedName>
    <definedName name="cat_prijs_net_die_bestel_klein" localSheetId="0">[4]_Bestelbus!$K$28</definedName>
    <definedName name="cat_prijs_net_die_bestel_klein" localSheetId="7">[3]_Bestelbus!$K$28</definedName>
    <definedName name="cat_prijs_net_die_bestel_klein">_fossiel_LCV!$N$34</definedName>
    <definedName name="cat_prijs_net_die_bestel_middel" localSheetId="12">[2]_fossiel_LCV!$N$58</definedName>
    <definedName name="cat_prijs_net_die_bestel_middel" localSheetId="14">[2]_fossiel_LCV!$N$58</definedName>
    <definedName name="cat_prijs_net_die_bestel_middel" localSheetId="1">[3]_Bestelbus!$K$52</definedName>
    <definedName name="cat_prijs_net_die_bestel_middel" localSheetId="0">[4]_Bestelbus!$K$52</definedName>
    <definedName name="cat_prijs_net_die_bestel_middel" localSheetId="7">[3]_Bestelbus!$K$52</definedName>
    <definedName name="cat_prijs_net_die_bestel_middel">_fossiel_LCV!$N$58</definedName>
    <definedName name="cat_prijs_net_die_groot_taxibus" localSheetId="12">[2]_fossiel_minibus!$I$88</definedName>
    <definedName name="cat_prijs_net_die_groot_taxibus" localSheetId="14">[2]_fossiel_minibus!$I$88</definedName>
    <definedName name="cat_prijs_net_die_groot_taxibus">_fossiel_minibus!$I$88</definedName>
    <definedName name="cat_prijs_net_die_middel_taxibus" localSheetId="12">[2]_fossiel_minibus!$I$53</definedName>
    <definedName name="cat_prijs_net_die_middel_taxibus" localSheetId="14">[2]_fossiel_minibus!$I$53</definedName>
    <definedName name="cat_prijs_net_die_middel_taxibus">_fossiel_minibus!$I$53</definedName>
    <definedName name="cat_prijs_net_die_veegwagen">_fossiel_specials!$I$35</definedName>
    <definedName name="cat_prijs_net_die_vuilniswagen">_fossiel_specials!$I$24</definedName>
    <definedName name="cat_prijs_net_dies_A">_fossiel_pers!$J$33</definedName>
    <definedName name="cat_prijs_net_dies_B" localSheetId="12">[2]_fossiel_pers!$J$53</definedName>
    <definedName name="cat_prijs_net_dies_B" localSheetId="14">[2]_fossiel_pers!$J$53</definedName>
    <definedName name="cat_prijs_net_dies_B" localSheetId="1">[3]_Personenauto!$H$53</definedName>
    <definedName name="cat_prijs_net_dies_B" localSheetId="0">[4]_Personenauto!$H$53</definedName>
    <definedName name="cat_prijs_net_dies_B" localSheetId="7">[3]_Personenauto!$H$53</definedName>
    <definedName name="cat_prijs_net_dies_B">_fossiel_pers!$J$53</definedName>
    <definedName name="cat_prijs_net_dies_C" localSheetId="12">[2]_fossiel_pers!$J$73</definedName>
    <definedName name="cat_prijs_net_dies_C" localSheetId="14">[2]_fossiel_pers!$J$73</definedName>
    <definedName name="cat_prijs_net_dies_C" localSheetId="1">[3]_Personenauto!$H$73</definedName>
    <definedName name="cat_prijs_net_dies_C" localSheetId="0">[4]_Personenauto!$H$73</definedName>
    <definedName name="cat_prijs_net_dies_C" localSheetId="7">[3]_Personenauto!$H$73</definedName>
    <definedName name="cat_prijs_net_dies_C">_fossiel_pers!$J$73</definedName>
    <definedName name="cat_prijs_net_dies_D" localSheetId="12">[2]_fossiel_pers!$J$93</definedName>
    <definedName name="cat_prijs_net_dies_D" localSheetId="14">[2]_fossiel_pers!$J$93</definedName>
    <definedName name="cat_prijs_net_dies_D" localSheetId="1">[3]_Personenauto!$H$93</definedName>
    <definedName name="cat_prijs_net_dies_D" localSheetId="0">[4]_Personenauto!$H$93</definedName>
    <definedName name="cat_prijs_net_dies_D" localSheetId="7">[3]_Personenauto!$H$93</definedName>
    <definedName name="cat_prijs_net_dies_D">_fossiel_pers!$J$93</definedName>
    <definedName name="cat_prijs_net_dies_E" localSheetId="12">[2]_fossiel_pers!$J$113</definedName>
    <definedName name="cat_prijs_net_dies_E" localSheetId="14">[2]_fossiel_pers!$J$113</definedName>
    <definedName name="cat_prijs_net_dies_E" localSheetId="1">[3]_Personenauto!$H$113</definedName>
    <definedName name="cat_prijs_net_dies_E" localSheetId="0">[4]_Personenauto!$H$113</definedName>
    <definedName name="cat_prijs_net_dies_E" localSheetId="7">[3]_Personenauto!$H$113</definedName>
    <definedName name="cat_prijs_net_dies_E">_fossiel_pers!$J$113</definedName>
    <definedName name="cat_prijs_net_dies_F" localSheetId="12">[2]_fossiel_pers!$J$133</definedName>
    <definedName name="cat_prijs_net_dies_F" localSheetId="14">[2]_fossiel_pers!$J$133</definedName>
    <definedName name="cat_prijs_net_dies_F" localSheetId="1">[3]_Personenauto!$H$133</definedName>
    <definedName name="cat_prijs_net_dies_F" localSheetId="0">[4]_Personenauto!$H$133</definedName>
    <definedName name="cat_prijs_net_dies_F" localSheetId="7">[3]_Personenauto!$H$133</definedName>
    <definedName name="cat_prijs_net_dies_F">_fossiel_pers!$J$133</definedName>
    <definedName name="cat_prijs_net_dies_grote_taxibus">[3]_Taxibussen!$G$38</definedName>
    <definedName name="cat_prijs_net_dies_J" localSheetId="12">[2]_fossiel_pers!$J$153</definedName>
    <definedName name="cat_prijs_net_dies_J" localSheetId="14">[2]_fossiel_pers!$J$153</definedName>
    <definedName name="cat_prijs_net_dies_J" localSheetId="1">[3]_Personenauto!$H$153</definedName>
    <definedName name="cat_prijs_net_dies_J" localSheetId="0">[4]_Personenauto!$H$153</definedName>
    <definedName name="cat_prijs_net_dies_J" localSheetId="7">[3]_Personenauto!$H$153</definedName>
    <definedName name="cat_prijs_net_dies_J">_fossiel_pers!$J$153</definedName>
    <definedName name="cat_prijs_net_dies_kleine_taxibus" localSheetId="12">[2]_fossiel_minibus!$I$17</definedName>
    <definedName name="cat_prijs_net_dies_kleine_taxibus" localSheetId="14">[2]_fossiel_minibus!$I$17</definedName>
    <definedName name="cat_prijs_net_dies_kleine_taxibus" localSheetId="1">[3]_Taxibussen!$G$11</definedName>
    <definedName name="cat_prijs_net_dies_kleine_taxibus" localSheetId="7">[3]_Taxibussen!$G$11</definedName>
    <definedName name="cat_prijs_net_dies_kleine_taxibus">_fossiel_minibus!$I$17</definedName>
    <definedName name="cat_prijs_net_dies_L" localSheetId="12">[2]_fossiel_pers!$J$173</definedName>
    <definedName name="cat_prijs_net_dies_L" localSheetId="14">[2]_fossiel_pers!$J$173</definedName>
    <definedName name="cat_prijs_net_dies_L" localSheetId="1">[3]_Personenauto!$H$173</definedName>
    <definedName name="cat_prijs_net_dies_L" localSheetId="0">[4]_Personenauto!$H$173</definedName>
    <definedName name="cat_prijs_net_dies_L" localSheetId="7">[3]_Personenauto!$H$173</definedName>
    <definedName name="cat_prijs_net_dies_L">_fossiel_pers!$J$173</definedName>
    <definedName name="cat_prijs_net_dies_M" localSheetId="12">[2]_fossiel_pers!$J$193</definedName>
    <definedName name="cat_prijs_net_dies_M" localSheetId="14">[2]_fossiel_pers!$J$193</definedName>
    <definedName name="cat_prijs_net_dies_M" localSheetId="1">[3]_Personenauto!$H$193</definedName>
    <definedName name="cat_prijs_net_dies_M" localSheetId="0">[4]_Personenauto!$H$193</definedName>
    <definedName name="cat_prijs_net_dies_M" localSheetId="7">[3]_Personenauto!$H$193</definedName>
    <definedName name="cat_prijs_net_dies_M">_fossiel_pers!$J$193</definedName>
    <definedName name="cat_prijs_net_dies_rolstoelbus" localSheetId="12">[2]_fossiel_minibus!$I$121</definedName>
    <definedName name="cat_prijs_net_dies_rolstoelbus" localSheetId="14">[2]_fossiel_minibus!$I$121</definedName>
    <definedName name="cat_prijs_net_dies_rolstoelbus" localSheetId="1">[3]_Taxibussen!$G$64</definedName>
    <definedName name="cat_prijs_net_dies_rolstoelbus" localSheetId="7">[3]_Taxibussen!$G$64</definedName>
    <definedName name="cat_prijs_net_dies_rolstoelbus">_fossiel_minibus!$I$121</definedName>
    <definedName name="cat_prijs_net_dies_veegvuilwagen">_fossiel_specials!$I$13</definedName>
    <definedName name="cat_prijs_net_dies_veegwagen">_fossiel_specials!$I$35</definedName>
    <definedName name="cat_prijs_net_dies_vuilniswagen">_fossiel_specials!$I$24</definedName>
    <definedName name="Efac_benz_TTW" localSheetId="12">[2]Parameters!$D$159</definedName>
    <definedName name="Efac_benz_TTW" localSheetId="14">[2]Parameters!$D$159</definedName>
    <definedName name="Efac_benz_TTW" localSheetId="1">[3]Parameters!$C$122</definedName>
    <definedName name="Efac_benz_TTW" localSheetId="0">[4]Parameters!$C$82</definedName>
    <definedName name="Efac_benz_TTW" localSheetId="7">[3]Parameters!$C$122</definedName>
    <definedName name="Efac_benz_TTW">Parameters!$D$193</definedName>
    <definedName name="Efac_benz_WTT">Parameters!$E$193</definedName>
    <definedName name="Efac_benz_WTW" localSheetId="12">[2]Parameters!$B$159</definedName>
    <definedName name="Efac_benz_WTW" localSheetId="14">[2]Parameters!$B$159</definedName>
    <definedName name="Efac_benz_WTW" localSheetId="1">[3]Parameters!$B$122</definedName>
    <definedName name="Efac_benz_WTW" localSheetId="0">[4]Parameters!$B$82</definedName>
    <definedName name="Efac_benz_WTW" localSheetId="7">[3]Parameters!$B$122</definedName>
    <definedName name="Efac_benz_WTW">Parameters!$B$193</definedName>
    <definedName name="Efac_bio_CNG_TTW" localSheetId="12">[2]Parameters!$D$169</definedName>
    <definedName name="Efac_bio_CNG_TTW" localSheetId="14">[2]Parameters!$D$169</definedName>
    <definedName name="Efac_bio_CNG_TTW" localSheetId="1">[3]Parameters!$C$129</definedName>
    <definedName name="Efac_bio_CNG_TTW" localSheetId="7">[3]Parameters!$C$129</definedName>
    <definedName name="Efac_bio_CNG_TTW">Parameters!$D$203</definedName>
    <definedName name="Efac_bio_CNG_WTT" localSheetId="12">[2]Parameters!$E$169</definedName>
    <definedName name="Efac_bio_CNG_WTT" localSheetId="14">[2]Parameters!$E$169</definedName>
    <definedName name="Efac_bio_CNG_WTT" localSheetId="1">[3]Parameters!$D$129</definedName>
    <definedName name="Efac_bio_CNG_WTT" localSheetId="7">[3]Parameters!$D$129</definedName>
    <definedName name="Efac_bio_CNG_WTT">Parameters!$E$203</definedName>
    <definedName name="Efac_bio_CNG_WTW" localSheetId="12">[2]Parameters!$B$169</definedName>
    <definedName name="Efac_bio_CNG_WTW" localSheetId="14">[2]Parameters!$B$169</definedName>
    <definedName name="Efac_bio_CNG_WTW" localSheetId="1">[3]Parameters!$B$129</definedName>
    <definedName name="Efac_bio_CNG_WTW" localSheetId="7">[3]Parameters!$B$129</definedName>
    <definedName name="Efac_bio_CNG_WTW">Parameters!$B$203</definedName>
    <definedName name="Efac_CNG_berekening_TTW" localSheetId="12">[2]Parameters!$D$170</definedName>
    <definedName name="Efac_CNG_berekening_TTW" localSheetId="14">[2]Parameters!$D$170</definedName>
    <definedName name="Efac_CNG_berekening_TTW" localSheetId="1">[3]Parameters!$C$130</definedName>
    <definedName name="Efac_CNG_berekening_TTW" localSheetId="7">[3]Parameters!$C$130</definedName>
    <definedName name="Efac_CNG_berekening_TTW">Parameters!$D$204</definedName>
    <definedName name="Efac_CNG_berekening_WTT">Parameters!$E$204</definedName>
    <definedName name="Efac_CNG_berekening_WTW" localSheetId="12">[2]Parameters!$B$170</definedName>
    <definedName name="Efac_CNG_berekening_WTW" localSheetId="14">[2]Parameters!$B$170</definedName>
    <definedName name="Efac_CNG_berekening_WTW" localSheetId="1">[3]Parameters!$B$130</definedName>
    <definedName name="Efac_CNG_berekening_WTW" localSheetId="7">[3]Parameters!$B$130</definedName>
    <definedName name="Efac_CNG_berekening_WTW">Parameters!$B$204</definedName>
    <definedName name="Efac_CNG_TTW" localSheetId="12">[2]Parameters!$D$168</definedName>
    <definedName name="Efac_CNG_TTW" localSheetId="14">[2]Parameters!$D$168</definedName>
    <definedName name="Efac_CNG_TTW" localSheetId="1">[3]Parameters!$C$128</definedName>
    <definedName name="Efac_CNG_TTW" localSheetId="7">[3]Parameters!$C$128</definedName>
    <definedName name="Efac_CNG_TTW">Parameters!$D$202</definedName>
    <definedName name="Efac_CNG_WTT" localSheetId="12">[2]Parameters!$E$168</definedName>
    <definedName name="Efac_CNG_WTT" localSheetId="14">[2]Parameters!$E$168</definedName>
    <definedName name="Efac_CNG_WTT" localSheetId="1">[3]Parameters!$D$128</definedName>
    <definedName name="Efac_CNG_WTT" localSheetId="7">[3]Parameters!$D$128</definedName>
    <definedName name="Efac_CNG_WTT">Parameters!$E$202</definedName>
    <definedName name="Efac_CNG_WTW" localSheetId="12">[2]Parameters!$B$168</definedName>
    <definedName name="Efac_CNG_WTW" localSheetId="14">[2]Parameters!$B$168</definedName>
    <definedName name="Efac_CNG_WTW" localSheetId="1">[3]Parameters!$B$128</definedName>
    <definedName name="Efac_CNG_WTW" localSheetId="7">[3]Parameters!$B$128</definedName>
    <definedName name="Efac_CNG_WTW">Parameters!$B$202</definedName>
    <definedName name="Efac_die_TTW" localSheetId="12">[2]Parameters!$D$160</definedName>
    <definedName name="Efac_die_TTW" localSheetId="14">[2]Parameters!$D$160</definedName>
    <definedName name="Efac_die_TTW" localSheetId="1">[3]Parameters!$C$123</definedName>
    <definedName name="Efac_die_TTW" localSheetId="0">[4]Parameters!$C$83</definedName>
    <definedName name="Efac_die_TTW" localSheetId="7">[3]Parameters!$C$123</definedName>
    <definedName name="Efac_die_TTW">Parameters!$D$194</definedName>
    <definedName name="Efac_die_WTT">Parameters!$E$194</definedName>
    <definedName name="Efac_die_WTW" localSheetId="12">[2]Parameters!$B$160</definedName>
    <definedName name="Efac_die_WTW" localSheetId="14">[2]Parameters!$B$160</definedName>
    <definedName name="Efac_die_WTW" localSheetId="1">[3]Parameters!$B$123</definedName>
    <definedName name="Efac_die_WTW" localSheetId="0">[4]Parameters!$B$83</definedName>
    <definedName name="Efac_die_WTW" localSheetId="7">[3]Parameters!$B$123</definedName>
    <definedName name="Efac_die_WTW">Parameters!$B$194</definedName>
    <definedName name="Efac_elek_berekening_TTW" localSheetId="12">[2]Parameters!$D$164</definedName>
    <definedName name="Efac_elek_berekening_TTW" localSheetId="14">[2]Parameters!$D$164</definedName>
    <definedName name="Efac_elek_berekening_TTW" localSheetId="1">[3]Parameters!$C$127</definedName>
    <definedName name="Efac_elek_berekening_TTW" localSheetId="0">[4]Parameters!$C$88</definedName>
    <definedName name="Efac_elek_berekening_TTW" localSheetId="7">[3]Parameters!$C$127</definedName>
    <definedName name="Efac_elek_berekening_TTW">Parameters!$D$198</definedName>
    <definedName name="Efac_elek_berekening_WTW" localSheetId="12">[2]Parameters!$B$164</definedName>
    <definedName name="Efac_elek_berekening_WTW" localSheetId="14">[2]Parameters!$B$164</definedName>
    <definedName name="Efac_elek_berekening_WTW" localSheetId="1">[3]Parameters!$B$127</definedName>
    <definedName name="Efac_elek_berekening_WTW" localSheetId="0">[4]Parameters!$B$88</definedName>
    <definedName name="Efac_elek_berekening_WTW" localSheetId="7">[3]Parameters!$B$127</definedName>
    <definedName name="Efac_elek_berekening_WTW">Parameters!$B$198</definedName>
    <definedName name="Efac_elek_grijs_TTW" localSheetId="12">[2]Parameters!$D$162</definedName>
    <definedName name="Efac_elek_grijs_TTW" localSheetId="14">[2]Parameters!$D$162</definedName>
    <definedName name="Efac_elek_grijs_TTW" localSheetId="1">[3]Parameters!$C$125</definedName>
    <definedName name="Efac_elek_grijs_TTW" localSheetId="0">[4]Parameters!$C$85</definedName>
    <definedName name="Efac_elek_grijs_TTW" localSheetId="7">[3]Parameters!$C$125</definedName>
    <definedName name="Efac_elek_grijs_TTW">Parameters!$D$196</definedName>
    <definedName name="Efac_elek_grijs_WTT">Parameters!$E$196</definedName>
    <definedName name="Efac_elek_grijs_WTW" localSheetId="12">[2]Parameters!$B$162</definedName>
    <definedName name="Efac_elek_grijs_WTW" localSheetId="14">[2]Parameters!$B$162</definedName>
    <definedName name="Efac_elek_grijs_WTW" localSheetId="1">[3]Parameters!$B$125</definedName>
    <definedName name="Efac_elek_grijs_WTW" localSheetId="0">[4]Parameters!$B$85</definedName>
    <definedName name="Efac_elek_grijs_WTW" localSheetId="7">[3]Parameters!$B$125</definedName>
    <definedName name="Efac_elek_grijs_WTW">Parameters!$B$196</definedName>
    <definedName name="Efac_elek_groen_TTW" localSheetId="12">[2]Parameters!$D$163</definedName>
    <definedName name="Efac_elek_groen_TTW" localSheetId="14">[2]Parameters!$D$163</definedName>
    <definedName name="Efac_elek_groen_TTW" localSheetId="1">[3]Parameters!$C$126</definedName>
    <definedName name="Efac_elek_groen_TTW" localSheetId="0">[4]Parameters!$C$86</definedName>
    <definedName name="Efac_elek_groen_TTW" localSheetId="7">[3]Parameters!$C$126</definedName>
    <definedName name="Efac_elek_groen_TTW">Parameters!$D$197</definedName>
    <definedName name="Efac_elek_groen_WTT">Parameters!$E$197</definedName>
    <definedName name="Efac_elek_groen_WTW" localSheetId="12">[2]Parameters!$B$163</definedName>
    <definedName name="Efac_elek_groen_WTW" localSheetId="14">[2]Parameters!$B$163</definedName>
    <definedName name="Efac_elek_groen_WTW" localSheetId="1">[3]Parameters!$B$126</definedName>
    <definedName name="Efac_elek_groen_WTW" localSheetId="0">[4]Parameters!$B$86</definedName>
    <definedName name="Efac_elek_groen_WTW" localSheetId="7">[3]Parameters!$B$126</definedName>
    <definedName name="Efac_elek_groen_WTW">Parameters!$B$197</definedName>
    <definedName name="Efac_elek_mix_TTW" localSheetId="12">[2]Parameters!$D$161</definedName>
    <definedName name="Efac_elek_mix_TTW" localSheetId="14">[2]Parameters!$D$161</definedName>
    <definedName name="Efac_elek_mix_TTW" localSheetId="1">[3]Parameters!$C$124</definedName>
    <definedName name="Efac_elek_mix_TTW" localSheetId="0">[4]Parameters!$C$84</definedName>
    <definedName name="Efac_elek_mix_TTW" localSheetId="7">[3]Parameters!$C$124</definedName>
    <definedName name="Efac_elek_mix_TTW">Parameters!$D$195</definedName>
    <definedName name="Efac_elek_mix_WTT">Parameters!$E$195</definedName>
    <definedName name="Efac_elek_mix_WTW" localSheetId="12">[2]Parameters!$B$161</definedName>
    <definedName name="Efac_elek_mix_WTW" localSheetId="14">[2]Parameters!$B$161</definedName>
    <definedName name="Efac_elek_mix_WTW" localSheetId="1">[3]Parameters!$B$124</definedName>
    <definedName name="Efac_elek_mix_WTW" localSheetId="0">[4]Parameters!$B$84</definedName>
    <definedName name="Efac_elek_mix_WTW" localSheetId="7">[3]Parameters!$B$124</definedName>
    <definedName name="Efac_elek_mix_WTW">Parameters!$B$195</definedName>
    <definedName name="Efac_H2_berekening_TTW">Parameters!$D$201</definedName>
    <definedName name="Efac_H2_berekening_WTW" localSheetId="12">[2]Parameters!$B$167</definedName>
    <definedName name="Efac_H2_berekening_WTW" localSheetId="14">[2]Parameters!$B$167</definedName>
    <definedName name="Efac_H2_berekening_WTW">Parameters!$B$201</definedName>
    <definedName name="Efac_H2_TTW_grijs">Parameters!$D$199</definedName>
    <definedName name="Efac_H2_TTW_groen">Parameters!$D$200</definedName>
    <definedName name="Efac_H2_WTW_grijs" localSheetId="12">[2]Parameters!$B$165</definedName>
    <definedName name="Efac_H2_WTW_grijs" localSheetId="14">[2]Parameters!$B$165</definedName>
    <definedName name="Efac_H2_WTW_grijs">Parameters!$B$199</definedName>
    <definedName name="Efac_H2_WTW_groen" localSheetId="12">[2]Parameters!$B$166</definedName>
    <definedName name="Efac_H2_WTW_groen" localSheetId="14">[2]Parameters!$B$166</definedName>
    <definedName name="Efac_H2_WTW_groen">Parameters!$B$200</definedName>
    <definedName name="Euro_ton_CO2" localSheetId="12">'[2]2. Invoer parameters'!$C$215</definedName>
    <definedName name="Euro_ton_CO2" localSheetId="14">'[2]2. Invoer parameters'!$C$215</definedName>
    <definedName name="Euro_ton_CO2" localSheetId="1">'[3]2. Invoer parameters'!$C$180</definedName>
    <definedName name="Euro_ton_CO2" localSheetId="7">'[3]2. Invoer parameters'!$C$180</definedName>
    <definedName name="Euro_ton_CO2">Parameters!$B$664</definedName>
    <definedName name="Factor_verbruik_benzine_diesel">Parameters!$Z$35</definedName>
    <definedName name="Factor_verbruik_CNG_diesel" localSheetId="12">[2]_CNG!$F$6</definedName>
    <definedName name="Factor_verbruik_CNG_diesel" localSheetId="14">[2]_CNG!$F$6</definedName>
    <definedName name="Factor_verbruik_CNG_diesel" localSheetId="1">[3]_CNG!$F$6</definedName>
    <definedName name="Factor_verbruik_CNG_diesel" localSheetId="7">[3]_CNG!$F$6</definedName>
    <definedName name="Factor_verbruik_CNG_diesel">_CNG!$F$6</definedName>
    <definedName name="Factor_WLTP_NEDC">_BEV_Pers!$D$96</definedName>
    <definedName name="gCO2_km_benz_A" localSheetId="12">[2]_fossiel_pers!$E$25</definedName>
    <definedName name="gCO2_km_benz_A" localSheetId="14">[2]_fossiel_pers!$E$25</definedName>
    <definedName name="gCO2_km_benz_A" localSheetId="1">[3]_Personenauto!$E$25</definedName>
    <definedName name="gCO2_km_benz_A" localSheetId="0">[4]_Personenauto!$E$25</definedName>
    <definedName name="gCO2_km_benz_A" localSheetId="7">[3]_Personenauto!$E$25</definedName>
    <definedName name="gCO2_km_benz_A">_fossiel_pers!$E$25</definedName>
    <definedName name="gCO2_km_benz_B" localSheetId="12">[2]_fossiel_pers!$E$44</definedName>
    <definedName name="gCO2_km_benz_B" localSheetId="14">[2]_fossiel_pers!$E$44</definedName>
    <definedName name="gCO2_km_benz_B" localSheetId="1">[3]_Personenauto!$E$44</definedName>
    <definedName name="gCO2_km_benz_B" localSheetId="0">[4]_Personenauto!$E$44</definedName>
    <definedName name="gCO2_km_benz_B" localSheetId="7">[3]_Personenauto!$E$44</definedName>
    <definedName name="gCO2_km_benz_B">_fossiel_pers!$E$44</definedName>
    <definedName name="gCO2_km_benz_C" localSheetId="12">[2]_fossiel_pers!$E$64</definedName>
    <definedName name="gCO2_km_benz_C" localSheetId="14">[2]_fossiel_pers!$E$64</definedName>
    <definedName name="gCO2_km_benz_C" localSheetId="1">[3]_Personenauto!$E$64</definedName>
    <definedName name="gCO2_km_benz_C" localSheetId="0">[4]_Personenauto!$E$64</definedName>
    <definedName name="gCO2_km_benz_C" localSheetId="7">[3]_Personenauto!$E$64</definedName>
    <definedName name="gCO2_km_benz_C">_fossiel_pers!$E$64</definedName>
    <definedName name="gCO2_km_benz_D" localSheetId="12">[2]_fossiel_pers!$E$84</definedName>
    <definedName name="gCO2_km_benz_D" localSheetId="14">[2]_fossiel_pers!$E$84</definedName>
    <definedName name="gCO2_km_benz_D" localSheetId="1">[3]_Personenauto!$E$84</definedName>
    <definedName name="gCO2_km_benz_D" localSheetId="0">[4]_Personenauto!$E$84</definedName>
    <definedName name="gCO2_km_benz_D" localSheetId="7">[3]_Personenauto!$E$84</definedName>
    <definedName name="gCO2_km_benz_D">_fossiel_pers!$E$84</definedName>
    <definedName name="gCO2_km_benz_E" localSheetId="12">[2]_fossiel_pers!$E$104</definedName>
    <definedName name="gCO2_km_benz_E" localSheetId="14">[2]_fossiel_pers!$E$104</definedName>
    <definedName name="gCO2_km_benz_E" localSheetId="1">[3]_Personenauto!$E$104</definedName>
    <definedName name="gCO2_km_benz_E" localSheetId="0">[4]_Personenauto!$E$104</definedName>
    <definedName name="gCO2_km_benz_E" localSheetId="7">[3]_Personenauto!$E$104</definedName>
    <definedName name="gCO2_km_benz_E">_fossiel_pers!$E$104</definedName>
    <definedName name="gCO2_km_benz_F" localSheetId="12">[2]_fossiel_pers!$E$124</definedName>
    <definedName name="gCO2_km_benz_F" localSheetId="14">[2]_fossiel_pers!$E$124</definedName>
    <definedName name="gCO2_km_benz_F" localSheetId="1">[3]_Personenauto!$E$124</definedName>
    <definedName name="gCO2_km_benz_F" localSheetId="0">[4]_Personenauto!$E$124</definedName>
    <definedName name="gCO2_km_benz_F" localSheetId="7">[3]_Personenauto!$E$124</definedName>
    <definedName name="gCO2_km_benz_F">_fossiel_pers!$E$124</definedName>
    <definedName name="gCO2_km_benz_groot_taxibus">_fossiel_minibus!$D$98</definedName>
    <definedName name="gCO2_km_benz_J" localSheetId="12">[2]_fossiel_pers!$E$144</definedName>
    <definedName name="gCO2_km_benz_J" localSheetId="14">[2]_fossiel_pers!$E$144</definedName>
    <definedName name="gCO2_km_benz_J" localSheetId="1">[3]_Personenauto!$E$144</definedName>
    <definedName name="gCO2_km_benz_J" localSheetId="0">[4]_Personenauto!$E$144</definedName>
    <definedName name="gCO2_km_benz_J" localSheetId="7">[3]_Personenauto!$E$144</definedName>
    <definedName name="gCO2_km_benz_J">_fossiel_pers!$E$144</definedName>
    <definedName name="gCO2_km_benz_kleine_taxibus" localSheetId="12">[2]_fossiel_minibus!$D$29</definedName>
    <definedName name="gCO2_km_benz_kleine_taxibus" localSheetId="14">[2]_fossiel_minibus!$D$29</definedName>
    <definedName name="gCO2_km_benz_kleine_taxibus">_fossiel_minibus!$D$29</definedName>
    <definedName name="gCO2_km_benz_L" localSheetId="12">[2]_fossiel_pers!$E$164</definedName>
    <definedName name="gCO2_km_benz_L" localSheetId="14">[2]_fossiel_pers!$E$164</definedName>
    <definedName name="gCO2_km_benz_L" localSheetId="1">[3]_Personenauto!$E$164</definedName>
    <definedName name="gCO2_km_benz_L" localSheetId="0">[4]_Personenauto!$E$164</definedName>
    <definedName name="gCO2_km_benz_L" localSheetId="7">[3]_Personenauto!$E$164</definedName>
    <definedName name="gCO2_km_benz_L">_fossiel_pers!$E$164</definedName>
    <definedName name="gCO2_km_benz_M" localSheetId="12">[2]_fossiel_pers!$E$184</definedName>
    <definedName name="gCO2_km_benz_M" localSheetId="14">[2]_fossiel_pers!$E$184</definedName>
    <definedName name="gCO2_km_benz_M" localSheetId="1">[3]_Personenauto!$E$184</definedName>
    <definedName name="gCO2_km_benz_M" localSheetId="0">[4]_Personenauto!$E$184</definedName>
    <definedName name="gCO2_km_benz_M" localSheetId="7">[3]_Personenauto!$E$184</definedName>
    <definedName name="gCO2_km_benz_M">_fossiel_pers!$E$184</definedName>
    <definedName name="gCO2_km_benz_middel_taxibus">_fossiel_minibus!$D$63</definedName>
    <definedName name="gCO2_km_benz_rolstoelbus">_fossiel_minibus!$D$130</definedName>
    <definedName name="gCO2_km_bestel_benz_klein" localSheetId="12">[2]_fossiel_LCV!$F$116</definedName>
    <definedName name="gCO2_km_bestel_benz_klein" localSheetId="14">[2]_fossiel_LCV!$F$116</definedName>
    <definedName name="gCO2_km_bestel_benz_klein">_fossiel_LCV!$F$116</definedName>
    <definedName name="gCO2_km_bestel_CNG_groot">_fossiel_LCV!$F$181</definedName>
    <definedName name="gCO2_km_bestel_CNG_klein">_fossiel_LCV!$F$159</definedName>
    <definedName name="gCO2_km_bestel_dies_groot" localSheetId="12">[2]_fossiel_LCV!$F$82</definedName>
    <definedName name="gCO2_km_bestel_dies_groot" localSheetId="14">[2]_fossiel_LCV!$F$82</definedName>
    <definedName name="gCO2_km_bestel_dies_groot" localSheetId="1">[3]_Bestelbus!$E$76</definedName>
    <definedName name="gCO2_km_bestel_dies_groot" localSheetId="0">[4]_Bestelbus!$E$76</definedName>
    <definedName name="gCO2_km_bestel_dies_groot" localSheetId="7">[3]_Bestelbus!$E$76</definedName>
    <definedName name="gCO2_km_bestel_dies_groot">_fossiel_LCV!$F$82</definedName>
    <definedName name="gCO2_km_bestel_dies_klein" localSheetId="12">[2]_fossiel_LCV!$F$34</definedName>
    <definedName name="gCO2_km_bestel_dies_klein" localSheetId="14">[2]_fossiel_LCV!$F$34</definedName>
    <definedName name="gCO2_km_bestel_dies_klein" localSheetId="1">[3]_Bestelbus!$E$28</definedName>
    <definedName name="gCO2_km_bestel_dies_klein" localSheetId="0">[4]_Bestelbus!$E$28</definedName>
    <definedName name="gCO2_km_bestel_dies_klein" localSheetId="7">[3]_Bestelbus!$E$28</definedName>
    <definedName name="gCO2_km_bestel_dies_klein">_fossiel_LCV!$F$34</definedName>
    <definedName name="gCO2_km_bestel_dies_middel" localSheetId="12">[2]_fossiel_LCV!$F$58</definedName>
    <definedName name="gCO2_km_bestel_dies_middel" localSheetId="14">[2]_fossiel_LCV!$F$58</definedName>
    <definedName name="gCO2_km_bestel_dies_middel" localSheetId="1">[3]_Bestelbus!$E$52</definedName>
    <definedName name="gCO2_km_bestel_dies_middel" localSheetId="0">[4]_Bestelbus!$E$52</definedName>
    <definedName name="gCO2_km_bestel_dies_middel" localSheetId="7">[3]_Bestelbus!$E$52</definedName>
    <definedName name="gCO2_km_bestel_dies_middel">_fossiel_LCV!$F$58</definedName>
    <definedName name="gCO2_km_die_A">_fossiel_pers!$E$33</definedName>
    <definedName name="gCO2_km_die_B" localSheetId="12">[2]_fossiel_pers!$E$53</definedName>
    <definedName name="gCO2_km_die_B" localSheetId="14">[2]_fossiel_pers!$E$53</definedName>
    <definedName name="gCO2_km_die_B" localSheetId="1">[3]_Personenauto!$E$53</definedName>
    <definedName name="gCO2_km_die_B" localSheetId="0">[4]_Personenauto!$E$53</definedName>
    <definedName name="gCO2_km_die_B" localSheetId="7">[3]_Personenauto!$E$53</definedName>
    <definedName name="gCO2_km_die_B">_fossiel_pers!$E$53</definedName>
    <definedName name="gCO2_km_die_C" localSheetId="12">[2]_fossiel_pers!$E$73</definedName>
    <definedName name="gCO2_km_die_C" localSheetId="14">[2]_fossiel_pers!$E$73</definedName>
    <definedName name="gCO2_km_die_C" localSheetId="1">[3]_Personenauto!$E$73</definedName>
    <definedName name="gCO2_km_die_C" localSheetId="0">[4]_Personenauto!$E$73</definedName>
    <definedName name="gCO2_km_die_C" localSheetId="7">[3]_Personenauto!$E$73</definedName>
    <definedName name="gCO2_km_die_C">_fossiel_pers!$E$73</definedName>
    <definedName name="gCO2_km_die_D" localSheetId="12">[2]_fossiel_pers!$E$93</definedName>
    <definedName name="gCO2_km_die_D" localSheetId="14">[2]_fossiel_pers!$E$93</definedName>
    <definedName name="gCO2_km_die_D" localSheetId="1">[3]_Personenauto!$E$93</definedName>
    <definedName name="gCO2_km_die_D" localSheetId="0">[4]_Personenauto!$E$93</definedName>
    <definedName name="gCO2_km_die_D" localSheetId="7">[3]_Personenauto!$E$93</definedName>
    <definedName name="gCO2_km_die_D">_fossiel_pers!$E$93</definedName>
    <definedName name="gCO2_km_die_E" localSheetId="12">[2]_fossiel_pers!$E$113</definedName>
    <definedName name="gCO2_km_die_E" localSheetId="14">[2]_fossiel_pers!$E$113</definedName>
    <definedName name="gCO2_km_die_E" localSheetId="1">[3]_Personenauto!$E$113</definedName>
    <definedName name="gCO2_km_die_E" localSheetId="0">[4]_Personenauto!$E$113</definedName>
    <definedName name="gCO2_km_die_E" localSheetId="7">[3]_Personenauto!$E$113</definedName>
    <definedName name="gCO2_km_die_E">_fossiel_pers!$E$113</definedName>
    <definedName name="gCO2_km_die_F" localSheetId="12">[2]_fossiel_pers!$E$133</definedName>
    <definedName name="gCO2_km_die_F" localSheetId="14">[2]_fossiel_pers!$E$133</definedName>
    <definedName name="gCO2_km_die_F" localSheetId="1">[3]_Personenauto!$E$133</definedName>
    <definedName name="gCO2_km_die_F" localSheetId="0">[4]_Personenauto!$E$133</definedName>
    <definedName name="gCO2_km_die_F" localSheetId="7">[3]_Personenauto!$E$133</definedName>
    <definedName name="gCO2_km_die_F">_fossiel_pers!$E$133</definedName>
    <definedName name="gCO2_km_die_groot_taxibus" localSheetId="12">[2]_fossiel_minibus!$D$88</definedName>
    <definedName name="gCO2_km_die_groot_taxibus" localSheetId="14">[2]_fossiel_minibus!$D$88</definedName>
    <definedName name="gCO2_km_die_groot_taxibus">_fossiel_minibus!$D$88</definedName>
    <definedName name="gCO2_km_die_grote_taxibus">[3]_Taxibussen!$D$38</definedName>
    <definedName name="gCO2_km_die_J" localSheetId="12">[2]_fossiel_pers!$E$153</definedName>
    <definedName name="gCO2_km_die_J" localSheetId="14">[2]_fossiel_pers!$E$153</definedName>
    <definedName name="gCO2_km_die_J" localSheetId="1">[3]_Personenauto!$E$153</definedName>
    <definedName name="gCO2_km_die_J" localSheetId="0">[4]_Personenauto!$E$153</definedName>
    <definedName name="gCO2_km_die_J" localSheetId="7">[3]_Personenauto!$E$153</definedName>
    <definedName name="gCO2_km_die_J">_fossiel_pers!$E$153</definedName>
    <definedName name="gCO2_km_die_kleine_taxibus" localSheetId="12">[2]_fossiel_minibus!$D$17</definedName>
    <definedName name="gCO2_km_die_kleine_taxibus" localSheetId="14">[2]_fossiel_minibus!$D$17</definedName>
    <definedName name="gCO2_km_die_kleine_taxibus" localSheetId="1">[3]_Taxibussen!$D$11</definedName>
    <definedName name="gCO2_km_die_kleine_taxibus" localSheetId="7">[3]_Taxibussen!$D$11</definedName>
    <definedName name="gCO2_km_die_kleine_taxibus">_fossiel_minibus!$D$17</definedName>
    <definedName name="gCO2_km_die_L" localSheetId="12">[2]_fossiel_pers!$E$173</definedName>
    <definedName name="gCO2_km_die_L" localSheetId="14">[2]_fossiel_pers!$E$173</definedName>
    <definedName name="gCO2_km_die_L" localSheetId="1">[3]_Personenauto!$E$173</definedName>
    <definedName name="gCO2_km_die_L" localSheetId="0">[4]_Personenauto!$E$173</definedName>
    <definedName name="gCO2_km_die_L" localSheetId="7">[3]_Personenauto!$E$173</definedName>
    <definedName name="gCO2_km_die_L">_fossiel_pers!$E$173</definedName>
    <definedName name="gCO2_km_die_M" localSheetId="12">[2]_fossiel_pers!$E$193</definedName>
    <definedName name="gCO2_km_die_M" localSheetId="14">[2]_fossiel_pers!$E$193</definedName>
    <definedName name="gCO2_km_die_M" localSheetId="1">[3]_Personenauto!$E$193</definedName>
    <definedName name="gCO2_km_die_M" localSheetId="0">[4]_Personenauto!$E$193</definedName>
    <definedName name="gCO2_km_die_M" localSheetId="7">[3]_Personenauto!$E$193</definedName>
    <definedName name="gCO2_km_die_M">_fossiel_pers!$E$193</definedName>
    <definedName name="gCO2_km_die_middel_taxibus" localSheetId="12">[2]_fossiel_minibus!$D$53</definedName>
    <definedName name="gCO2_km_die_middel_taxibus" localSheetId="14">[2]_fossiel_minibus!$D$53</definedName>
    <definedName name="gCO2_km_die_middel_taxibus">_fossiel_minibus!$D$53</definedName>
    <definedName name="gCO2_km_die_rolstoelbus" localSheetId="12">[2]_fossiel_minibus!$D$121</definedName>
    <definedName name="gCO2_km_die_rolstoelbus" localSheetId="14">[2]_fossiel_minibus!$D$121</definedName>
    <definedName name="gCO2_km_die_rolstoelbus" localSheetId="1">[3]_Taxibussen!$D$64</definedName>
    <definedName name="gCO2_km_die_rolstoelbus" localSheetId="7">[3]_Taxibussen!$D$64</definedName>
    <definedName name="gCO2_km_die_rolstoelbus">_fossiel_minibus!$D$121</definedName>
    <definedName name="gCO2_km_die_veegvuilwagen">_fossiel_specials!$D$13</definedName>
    <definedName name="gCO2_km_die_veegwagen">_fossiel_specials!$D$35</definedName>
    <definedName name="gCO2_km_die_vuilniswagen">_fossiel_specials!$D$24</definedName>
    <definedName name="gem_verbr_benz_A">Parameters!$F$35</definedName>
    <definedName name="gem_verbr_benz_B">Parameters!$F$36</definedName>
    <definedName name="gem_verbr_benz_bestel_groot" localSheetId="12">[2]Parameters!$F$53</definedName>
    <definedName name="gem_verbr_benz_bestel_groot" localSheetId="14">[2]Parameters!$F$53</definedName>
    <definedName name="gem_verbr_benz_bestel_groot">Parameters!$F$53</definedName>
    <definedName name="gem_verbr_benz_bestel_klein" localSheetId="12">[2]Parameters!$F$51</definedName>
    <definedName name="gem_verbr_benz_bestel_klein" localSheetId="14">[2]Parameters!$F$51</definedName>
    <definedName name="gem_verbr_benz_bestel_klein">Parameters!$F$51</definedName>
    <definedName name="gem_verbr_benz_bestel_middel" localSheetId="12">[2]Parameters!$F$52</definedName>
    <definedName name="gem_verbr_benz_bestel_middel" localSheetId="14">[2]Parameters!$F$52</definedName>
    <definedName name="gem_verbr_benz_bestel_middel">Parameters!$F$52</definedName>
    <definedName name="gem_verbr_benz_C">Parameters!$F$37</definedName>
    <definedName name="gem_verbr_benz_D">Parameters!$F$38</definedName>
    <definedName name="gem_verbr_benz_E">Parameters!$F$39</definedName>
    <definedName name="gem_verbr_benz_F">Parameters!$F$40</definedName>
    <definedName name="gem_verbr_benz_J" localSheetId="12">[2]Parameters!$F$41</definedName>
    <definedName name="gem_verbr_benz_J" localSheetId="14">[2]Parameters!$F$41</definedName>
    <definedName name="gem_verbr_benz_J">Parameters!$F$41</definedName>
    <definedName name="gem_verbr_benz_K" localSheetId="12">[2]Parameters!$F$42</definedName>
    <definedName name="gem_verbr_benz_K" localSheetId="14">[2]Parameters!$F$42</definedName>
    <definedName name="gem_verbr_benz_K">Parameters!$F$42</definedName>
    <definedName name="gem_verbr_benz_L">Parameters!$F$43</definedName>
    <definedName name="gem_verbr_benz_M">Parameters!$F$44</definedName>
    <definedName name="gem_verbr_benz_taxi_groot">Parameters!$F$48</definedName>
    <definedName name="gem_verbr_benz_taxi_klein" localSheetId="12">[2]Parameters!$F$46</definedName>
    <definedName name="gem_verbr_benz_taxi_klein" localSheetId="14">[2]Parameters!$F$46</definedName>
    <definedName name="gem_verbr_benz_taxi_klein">Parameters!$F$46</definedName>
    <definedName name="gem_verbr_benz_taxi_middel" localSheetId="12">[2]Parameters!$F$47</definedName>
    <definedName name="gem_verbr_benz_taxi_middel" localSheetId="14">[2]Parameters!$F$47</definedName>
    <definedName name="gem_verbr_benz_taxi_middel">Parameters!$F$47</definedName>
    <definedName name="gem_verbr_benz_taxi_rolstoel">Parameters!$F$49</definedName>
    <definedName name="gem_verbr_BEV_A">Parameters!$F$83</definedName>
    <definedName name="gem_verbr_BEV_B">Parameters!$F$84</definedName>
    <definedName name="gem_verbr_BEV_bestel_groot">Parameters!$F$101</definedName>
    <definedName name="gem_verbr_BEV_bestel_klein">Parameters!$F$99</definedName>
    <definedName name="gem_verbr_BEV_bestel_middel">Parameters!$F$100</definedName>
    <definedName name="gem_verbr_BEV_C">Parameters!$F$85</definedName>
    <definedName name="gem_verbr_BEV_D">Parameters!$F$86</definedName>
    <definedName name="gem_verbr_BEV_E">Parameters!$F$87</definedName>
    <definedName name="gem_verbr_BEV_F">Parameters!$F$88</definedName>
    <definedName name="gem_verbr_BEV_J">Parameters!$F$89</definedName>
    <definedName name="gem_verbr_BEV_K">Parameters!$F$90</definedName>
    <definedName name="gem_verbr_BEV_L">Parameters!$F$91</definedName>
    <definedName name="gem_verbr_BEV_M">Parameters!$F$92</definedName>
    <definedName name="gem_verbr_BEV_rolstoel">Parameters!$F$97</definedName>
    <definedName name="gem_verbr_BEV_taxi_groot">Parameters!$F$96</definedName>
    <definedName name="gem_verbr_BEV_taxi_klein">Parameters!$F$94</definedName>
    <definedName name="gem_verbr_BEV_taxi_middel">Parameters!$F$95</definedName>
    <definedName name="gem_verbr_BEV_veegvuilwagen">Parameters!$F$103</definedName>
    <definedName name="gem_verbr_BEV_veegwagen">Parameters!$F$105</definedName>
    <definedName name="gem_verbr_BEV_vuilniswagen">Parameters!$F$104</definedName>
    <definedName name="gem_verbr_CNG_A">Parameters!$F$59</definedName>
    <definedName name="gem_verbr_CNG_B">Parameters!$F$60</definedName>
    <definedName name="gem_verbr_CNG_bestel_groot" localSheetId="12">[2]Parameters!$F$77</definedName>
    <definedName name="gem_verbr_CNG_bestel_groot" localSheetId="14">[2]Parameters!$F$77</definedName>
    <definedName name="gem_verbr_CNG_bestel_groot">Parameters!$F$77</definedName>
    <definedName name="gem_verbr_CNG_bestel_klein" localSheetId="12">[2]Parameters!$F$75</definedName>
    <definedName name="gem_verbr_CNG_bestel_klein" localSheetId="14">[2]Parameters!$F$75</definedName>
    <definedName name="gem_verbr_CNG_bestel_klein">Parameters!$F$75</definedName>
    <definedName name="gem_verbr_CNG_bestel_middel" localSheetId="12">[2]Parameters!$F$76</definedName>
    <definedName name="gem_verbr_CNG_bestel_middel" localSheetId="14">[2]Parameters!$F$76</definedName>
    <definedName name="gem_verbr_CNG_bestel_middel">Parameters!$F$76</definedName>
    <definedName name="gem_verbr_CNG_C">Parameters!$F$61</definedName>
    <definedName name="gem_verbr_CNG_D">Parameters!$F$62</definedName>
    <definedName name="gem_verbr_CNG_E">Parameters!$F$63</definedName>
    <definedName name="gem_verbr_CNG_F">Parameters!$F$64</definedName>
    <definedName name="gem_verbr_CNG_J" localSheetId="12">[2]Parameters!$F$65</definedName>
    <definedName name="gem_verbr_CNG_J" localSheetId="14">[2]Parameters!$F$65</definedName>
    <definedName name="gem_verbr_CNG_J">Parameters!$F$65</definedName>
    <definedName name="gem_verbr_CNG_K" localSheetId="12">[2]Parameters!$F$66</definedName>
    <definedName name="gem_verbr_CNG_K" localSheetId="14">[2]Parameters!$F$66</definedName>
    <definedName name="gem_verbr_CNG_K">Parameters!$F$66</definedName>
    <definedName name="gem_verbr_CNG_L">Parameters!$F$67</definedName>
    <definedName name="gem_verbr_CNG_M">Parameters!$F$68</definedName>
    <definedName name="gem_verbr_CNG_taxi_groot">Parameters!$F$72</definedName>
    <definedName name="gem_verbr_CNG_taxi_klein" localSheetId="12">[2]Parameters!$F$70</definedName>
    <definedName name="gem_verbr_CNG_taxi_klein" localSheetId="14">[2]Parameters!$F$70</definedName>
    <definedName name="gem_verbr_CNG_taxi_klein">Parameters!$F$70</definedName>
    <definedName name="gem_verbr_CNG_taxi_middel" localSheetId="12">[2]Parameters!$F$71</definedName>
    <definedName name="gem_verbr_CNG_taxi_middel" localSheetId="14">[2]Parameters!$F$71</definedName>
    <definedName name="gem_verbr_CNG_taxi_middel">Parameters!$F$71</definedName>
    <definedName name="gem_verbr_CNG_taxi_rolstoel">Parameters!$F$73</definedName>
    <definedName name="gem_verbr_die_A">Parameters!$F$7</definedName>
    <definedName name="gem_verbr_die_B">Parameters!$F$8</definedName>
    <definedName name="gem_verbr_die_bestel_groot" localSheetId="12">[2]Parameters!$F$25</definedName>
    <definedName name="gem_verbr_die_bestel_groot" localSheetId="14">[2]Parameters!$F$25</definedName>
    <definedName name="gem_verbr_die_bestel_groot">Parameters!$F$25</definedName>
    <definedName name="gem_verbr_die_bestel_klein" localSheetId="12">[2]Parameters!$F$23</definedName>
    <definedName name="gem_verbr_die_bestel_klein" localSheetId="14">[2]Parameters!$F$23</definedName>
    <definedName name="gem_verbr_die_bestel_klein">Parameters!$F$23</definedName>
    <definedName name="gem_verbr_die_bestel_middel" localSheetId="12">[2]Parameters!$F$24</definedName>
    <definedName name="gem_verbr_die_bestel_middel" localSheetId="14">[2]Parameters!$F$24</definedName>
    <definedName name="gem_verbr_die_bestel_middel">Parameters!$F$24</definedName>
    <definedName name="gem_verbr_die_C">Parameters!$F$9</definedName>
    <definedName name="gem_verbr_die_D">Parameters!$F$10</definedName>
    <definedName name="gem_verbr_die_E">Parameters!$F$11</definedName>
    <definedName name="gem_verbr_die_F">Parameters!$F$12</definedName>
    <definedName name="gem_verbr_die_G" localSheetId="12">[2]Parameters!#REF!</definedName>
    <definedName name="gem_verbr_die_G" localSheetId="14">[2]Parameters!#REF!</definedName>
    <definedName name="gem_verbr_die_G">Parameters!#REF!</definedName>
    <definedName name="gem_verbr_die_H" localSheetId="12">[2]Parameters!#REF!</definedName>
    <definedName name="gem_verbr_die_H" localSheetId="14">[2]Parameters!#REF!</definedName>
    <definedName name="gem_verbr_die_H">Parameters!#REF!</definedName>
    <definedName name="gem_verbr_die_I" localSheetId="12">[2]Parameters!#REF!</definedName>
    <definedName name="gem_verbr_die_I" localSheetId="14">[2]Parameters!#REF!</definedName>
    <definedName name="gem_verbr_die_I">Parameters!#REF!</definedName>
    <definedName name="gem_verbr_die_J">Parameters!$F$13</definedName>
    <definedName name="gem_verbr_die_K" localSheetId="12">[2]Parameters!$F$14</definedName>
    <definedName name="gem_verbr_die_K" localSheetId="14">[2]Parameters!$F$14</definedName>
    <definedName name="gem_verbr_die_K">Parameters!$F$14</definedName>
    <definedName name="gem_verbr_die_L">Parameters!$F$15</definedName>
    <definedName name="gem_verbr_die_M">Parameters!$F$16</definedName>
    <definedName name="gem_verbr_die_taxi_groot">Parameters!$F$20</definedName>
    <definedName name="gem_verbr_die_taxi_klein" localSheetId="12">[2]Parameters!$F$18</definedName>
    <definedName name="gem_verbr_die_taxi_klein" localSheetId="14">[2]Parameters!$F$18</definedName>
    <definedName name="gem_verbr_die_taxi_klein">Parameters!$F$18</definedName>
    <definedName name="gem_verbr_die_taxi_middel" localSheetId="12">[2]Parameters!$F$19</definedName>
    <definedName name="gem_verbr_die_taxi_middel" localSheetId="14">[2]Parameters!$F$19</definedName>
    <definedName name="gem_verbr_die_taxi_middel">Parameters!$F$19</definedName>
    <definedName name="gem_verbr_die_taxi_rolstoel">Parameters!$F$21</definedName>
    <definedName name="gem_verbr_die_veegmachine">[2]Parameters!#REF!</definedName>
    <definedName name="gem_verbr_die_veegvuilwagen">Parameters!$F$27</definedName>
    <definedName name="gem_verbr_die_veegwagen">Parameters!$F$29</definedName>
    <definedName name="gem_verbr_die_vuilniswagen">Parameters!$F$28</definedName>
    <definedName name="gem_verbr_FCEV_A_Elek">Parameters!$G$111</definedName>
    <definedName name="gem_verbr_FCEV_A_H2">Parameters!$F$111</definedName>
    <definedName name="gem_verbr_FCEV_B_Elek">Parameters!$G$112</definedName>
    <definedName name="gem_verbr_FCEV_B_H2">Parameters!$F$112</definedName>
    <definedName name="gem_verbr_FCEV_bestel_groot_Elek">Parameters!$G$129</definedName>
    <definedName name="gem_verbr_FCEV_bestel_groot_H2">Parameters!$F$129</definedName>
    <definedName name="gem_verbr_FCEV_bestel_klein_Elek">Parameters!$G$127</definedName>
    <definedName name="gem_verbr_FCEV_bestel_klein_H2">Parameters!$F$127</definedName>
    <definedName name="gem_verbr_FCEV_bestel_middel_Elek">Parameters!$G$128</definedName>
    <definedName name="gem_verbr_FCEV_bestel_middel_H2">Parameters!$F$128</definedName>
    <definedName name="gem_verbr_FCEV_C_Elek">Parameters!$G$113</definedName>
    <definedName name="gem_verbr_FCEV_C_H2">Parameters!$F$113</definedName>
    <definedName name="gem_verbr_FCEV_D_Elek">Parameters!$G$114</definedName>
    <definedName name="gem_verbr_FCEV_D_H2">Parameters!$F$114</definedName>
    <definedName name="gem_verbr_FCEV_E_Elek">Parameters!$G$115</definedName>
    <definedName name="gem_verbr_FCEV_E_H2">Parameters!$F$115</definedName>
    <definedName name="gem_verbr_FCEV_F_Elek">Parameters!$G$116</definedName>
    <definedName name="gem_verbr_FCEV_F_H2">Parameters!$F$116</definedName>
    <definedName name="gem_verbr_FCEV_J_Elek">Parameters!$G$117</definedName>
    <definedName name="gem_verbr_FCEV_J_H2">Parameters!$F$117</definedName>
    <definedName name="gem_verbr_FCEV_K_Elek">Parameters!$G$118</definedName>
    <definedName name="gem_verbr_FCEV_K_H2">Parameters!$F$118</definedName>
    <definedName name="gem_verbr_FCEV_L_Elek">Parameters!$G$119</definedName>
    <definedName name="gem_verbr_FCEV_L_H2">Parameters!$F$119</definedName>
    <definedName name="gem_verbr_FCEV_M_Elek">Parameters!$G$120</definedName>
    <definedName name="gem_verbr_FCEV_M_H2">Parameters!$F$120</definedName>
    <definedName name="gem_verbr_FCEV_rolstoel_Elek">Parameters!$G$125</definedName>
    <definedName name="gem_verbr_FCEV_rolstoel_H2">Parameters!$F$125</definedName>
    <definedName name="gem_verbr_FCEV_taxi_groot_Elek">Parameters!$G$124</definedName>
    <definedName name="gem_verbr_FCEV_taxi_groot_H2">Parameters!$F$124</definedName>
    <definedName name="gem_verbr_FCEV_taxi_klein_Elek">Parameters!$G$122</definedName>
    <definedName name="gem_verbr_FCEV_taxi_klein_H2">Parameters!$F$122</definedName>
    <definedName name="gem_verbr_FCEV_taxi_middel_Elek">Parameters!$G$123</definedName>
    <definedName name="gem_verbr_FCEV_taxi_middel_H2">Parameters!$F$123</definedName>
    <definedName name="gem_verbr_FCEV_veegvuilwagen_Elek">Parameters!$G$131</definedName>
    <definedName name="gem_verbr_FCEV_veegvuilwagen_H2">Parameters!$F$131</definedName>
    <definedName name="gem_verbr_FCEV_veegwagen_Elek">Parameters!$G$133</definedName>
    <definedName name="gem_verbr_FCEV_veegwagen_H2">Parameters!$F$133</definedName>
    <definedName name="gem_verbr_FCEV_vuilniswagen_Elek">Parameters!$G$132</definedName>
    <definedName name="gem_verbr_FCEV_vuilniswagen_H2">Parameters!$F$132</definedName>
    <definedName name="gem_verh_accu_H2">Parameters!$AC$135</definedName>
    <definedName name="input_MRB_benz_A" localSheetId="12">[2]Parameters!$P$35</definedName>
    <definedName name="input_MRB_benz_A" localSheetId="14">[2]Parameters!$P$35</definedName>
    <definedName name="input_MRB_benz_A" localSheetId="1">[3]Parameters!$R$27</definedName>
    <definedName name="input_MRB_benz_A" localSheetId="7">[3]Parameters!$R$27</definedName>
    <definedName name="input_MRB_benz_A">Parameters!$R$35</definedName>
    <definedName name="input_MRB_benz_B" localSheetId="12">[2]Parameters!$P$36</definedName>
    <definedName name="input_MRB_benz_B" localSheetId="14">[2]Parameters!$P$36</definedName>
    <definedName name="input_MRB_benz_B" localSheetId="1">[3]Parameters!$R$28</definedName>
    <definedName name="input_MRB_benz_B" localSheetId="7">[3]Parameters!$R$28</definedName>
    <definedName name="input_MRB_benz_B">Parameters!$R$36</definedName>
    <definedName name="input_MRB_benz_bestel_groot" localSheetId="12">[2]Parameters!$P$53</definedName>
    <definedName name="input_MRB_benz_bestel_groot" localSheetId="14">[2]Parameters!$P$53</definedName>
    <definedName name="input_MRB_benz_bestel_groot">Parameters!$R$53</definedName>
    <definedName name="input_MRB_benz_bestel_groot_berek">Parameters!$K$458</definedName>
    <definedName name="input_MRB_benz_bestel_klein" localSheetId="12">[2]Parameters!$P$51</definedName>
    <definedName name="input_MRB_benz_bestel_klein" localSheetId="14">[2]Parameters!$P$51</definedName>
    <definedName name="input_MRB_benz_bestel_klein">Parameters!$R$51</definedName>
    <definedName name="input_MRB_benz_bestel_klein_berek">Parameters!$E$458</definedName>
    <definedName name="input_MRB_benz_bestel_middel" localSheetId="12">[2]Parameters!$P$52</definedName>
    <definedName name="input_MRB_benz_bestel_middel" localSheetId="14">[2]Parameters!$P$52</definedName>
    <definedName name="input_MRB_benz_bestel_middel">Parameters!$R$52</definedName>
    <definedName name="input_MRB_benz_bestel_middel_berek">Parameters!$H$458</definedName>
    <definedName name="input_MRB_benz_C" localSheetId="12">[2]Parameters!$P$37</definedName>
    <definedName name="input_MRB_benz_C" localSheetId="14">[2]Parameters!$P$37</definedName>
    <definedName name="input_MRB_benz_C" localSheetId="1">[3]Parameters!$R$29</definedName>
    <definedName name="input_MRB_benz_C" localSheetId="7">[3]Parameters!$R$29</definedName>
    <definedName name="input_MRB_benz_C">Parameters!$R$37</definedName>
    <definedName name="input_MRB_benz_D" localSheetId="12">[2]Parameters!$P$38</definedName>
    <definedName name="input_MRB_benz_D" localSheetId="14">[2]Parameters!$P$38</definedName>
    <definedName name="input_MRB_benz_D" localSheetId="1">[3]Parameters!$R$30</definedName>
    <definedName name="input_MRB_benz_D" localSheetId="7">[3]Parameters!$R$30</definedName>
    <definedName name="input_MRB_benz_D">Parameters!$R$38</definedName>
    <definedName name="input_MRB_benz_E" localSheetId="12">[2]Parameters!$P$39</definedName>
    <definedName name="input_MRB_benz_E" localSheetId="14">[2]Parameters!$P$39</definedName>
    <definedName name="input_MRB_benz_E" localSheetId="1">[3]Parameters!$R$31</definedName>
    <definedName name="input_MRB_benz_E" localSheetId="7">[3]Parameters!$R$31</definedName>
    <definedName name="input_MRB_benz_E">Parameters!$R$39</definedName>
    <definedName name="input_MRB_benz_F" localSheetId="12">[2]Parameters!$P$40</definedName>
    <definedName name="input_MRB_benz_F" localSheetId="14">[2]Parameters!$P$40</definedName>
    <definedName name="input_MRB_benz_F" localSheetId="1">[3]Parameters!$R$32</definedName>
    <definedName name="input_MRB_benz_F" localSheetId="7">[3]Parameters!$R$32</definedName>
    <definedName name="input_MRB_benz_F">Parameters!$R$40</definedName>
    <definedName name="input_MRB_benz_J" localSheetId="12">[2]Parameters!$P$41</definedName>
    <definedName name="input_MRB_benz_J" localSheetId="14">[2]Parameters!$P$41</definedName>
    <definedName name="input_MRB_benz_J">Parameters!$R$41</definedName>
    <definedName name="input_MRB_benz_K" localSheetId="12">[2]Parameters!$P$42</definedName>
    <definedName name="input_MRB_benz_K" localSheetId="14">[2]Parameters!$P$42</definedName>
    <definedName name="input_MRB_benz_K">Parameters!$R$42</definedName>
    <definedName name="input_MRB_benz_L" localSheetId="12">[2]Parameters!$P$43</definedName>
    <definedName name="input_MRB_benz_L" localSheetId="14">[2]Parameters!$P$43</definedName>
    <definedName name="input_MRB_benz_L" localSheetId="1">[3]Parameters!$R$34</definedName>
    <definedName name="input_MRB_benz_L" localSheetId="7">[3]Parameters!$R$34</definedName>
    <definedName name="input_MRB_benz_L">Parameters!$R$43</definedName>
    <definedName name="input_MRB_benz_M" localSheetId="12">[2]Parameters!$P$44</definedName>
    <definedName name="input_MRB_benz_M" localSheetId="14">[2]Parameters!$P$44</definedName>
    <definedName name="input_MRB_benz_M" localSheetId="1">[3]Parameters!$R$35</definedName>
    <definedName name="input_MRB_benz_M" localSheetId="7">[3]Parameters!$R$35</definedName>
    <definedName name="input_MRB_benz_M">Parameters!$R$44</definedName>
    <definedName name="input_MRB_benz_taxibus_groot" localSheetId="12">[2]Parameters!$P$48</definedName>
    <definedName name="input_MRB_benz_taxibus_groot" localSheetId="14">[2]Parameters!$P$48</definedName>
    <definedName name="input_MRB_benz_taxibus_groot" localSheetId="1">[3]Parameters!$R$38</definedName>
    <definedName name="input_MRB_benz_taxibus_groot" localSheetId="7">[3]Parameters!$R$38</definedName>
    <definedName name="input_MRB_benz_taxibus_groot">Parameters!$R$48</definedName>
    <definedName name="input_MRB_benz_taxibus_klein" localSheetId="12">[2]Parameters!$P$46</definedName>
    <definedName name="input_MRB_benz_taxibus_klein" localSheetId="14">[2]Parameters!$P$46</definedName>
    <definedName name="input_MRB_benz_taxibus_klein" localSheetId="1">[3]Parameters!$R$37</definedName>
    <definedName name="input_MRB_benz_taxibus_klein" localSheetId="7">[3]Parameters!$R$37</definedName>
    <definedName name="input_MRB_benz_taxibus_klein">Parameters!$R$46</definedName>
    <definedName name="input_MRB_benz_taxibus_middel" localSheetId="12">[2]Parameters!$P$47</definedName>
    <definedName name="input_MRB_benz_taxibus_middel" localSheetId="14">[2]Parameters!$P$47</definedName>
    <definedName name="input_MRB_benz_taxibus_middel">Parameters!$R$47</definedName>
    <definedName name="input_MRB_benz_taxibus_rolstoelbus" localSheetId="12">[2]Parameters!$P$49</definedName>
    <definedName name="input_MRB_benz_taxibus_rolstoelbus" localSheetId="14">[2]Parameters!$P$49</definedName>
    <definedName name="input_MRB_benz_taxibus_rolstoelbus" localSheetId="1">[3]Parameters!$R$39</definedName>
    <definedName name="input_MRB_benz_taxibus_rolstoelbus" localSheetId="7">[3]Parameters!$R$39</definedName>
    <definedName name="input_MRB_benz_taxibus_rolstoelbus">Parameters!$R$49</definedName>
    <definedName name="input_MRB_BEV_A" localSheetId="12">[2]Parameters!$P$83</definedName>
    <definedName name="input_MRB_BEV_A" localSheetId="14">[2]Parameters!$P$83</definedName>
    <definedName name="input_MRB_BEV_A">Parameters!$R$83</definedName>
    <definedName name="input_MRB_BEV_B" localSheetId="12">[2]Parameters!$P$84</definedName>
    <definedName name="input_MRB_BEV_B" localSheetId="14">[2]Parameters!$P$84</definedName>
    <definedName name="input_MRB_BEV_B">Parameters!$R$84</definedName>
    <definedName name="input_MRB_BEV_bestel_groot">Parameters!$R$101</definedName>
    <definedName name="input_MRB_BEV_bestel_klein">Parameters!$R$99</definedName>
    <definedName name="input_MRB_BEV_bestel_middel">Parameters!$R$100</definedName>
    <definedName name="input_MRB_BEV_C" localSheetId="12">[2]Parameters!$P$85</definedName>
    <definedName name="input_MRB_BEV_C" localSheetId="14">[2]Parameters!$P$85</definedName>
    <definedName name="input_MRB_BEV_C">Parameters!$R$85</definedName>
    <definedName name="input_MRB_BEV_D">Parameters!$R$86</definedName>
    <definedName name="input_MRB_BEV_E">Parameters!$R$87</definedName>
    <definedName name="input_MRB_BEV_F">Parameters!$R$88</definedName>
    <definedName name="input_MRB_BEV_J">Parameters!$R$89</definedName>
    <definedName name="input_MRB_BEV_K">Parameters!$R$90</definedName>
    <definedName name="input_MRB_BEV_L">Parameters!$R$91</definedName>
    <definedName name="input_MRB_BEV_M">Parameters!$R$92</definedName>
    <definedName name="input_MRB_BEV_taxibus_groot">Parameters!$R$96</definedName>
    <definedName name="input_MRB_BEV_taxibus_groot_Ombou">Parameters!$R$96</definedName>
    <definedName name="input_MRB_BEV_taxibus_groot_Ombouw" localSheetId="12">[2]Parameters!#REF!</definedName>
    <definedName name="input_MRB_BEV_taxibus_groot_Ombouw" localSheetId="14">[2]Parameters!#REF!</definedName>
    <definedName name="input_MRB_BEV_taxibus_groot_Ombouw" localSheetId="3">Parameters!#REF!</definedName>
    <definedName name="input_MRB_BEV_taxibus_groot_Ombouw">Parameters!#REF!</definedName>
    <definedName name="input_MRB_BEV_taxibus_klein">Parameters!$R$94</definedName>
    <definedName name="input_MRB_BEV_taxibus_middel" localSheetId="12">[2]Parameters!#REF!</definedName>
    <definedName name="input_MRB_BEV_taxibus_middel" localSheetId="14">[2]Parameters!#REF!</definedName>
    <definedName name="input_MRB_BEV_taxibus_middel" localSheetId="3">Parameters!#REF!</definedName>
    <definedName name="input_MRB_BEV_taxibus_middel">Parameters!$R$95</definedName>
    <definedName name="input_MRB_BEV_taxibus_middel_Ombouw" localSheetId="12">[2]Parameters!#REF!</definedName>
    <definedName name="input_MRB_BEV_taxibus_middel_Ombouw" localSheetId="14">[2]Parameters!#REF!</definedName>
    <definedName name="input_MRB_BEV_taxibus_middel_Ombouw" localSheetId="3">Parameters!#REF!</definedName>
    <definedName name="input_MRB_BEV_taxibus_middel_Ombouw">Parameters!#REF!</definedName>
    <definedName name="input_MRB_BEV_taxibus_Rolstoel">Parameters!$R$97</definedName>
    <definedName name="input_MRB_BEV_taxibus_Rolstoel_Ombouw" localSheetId="12">[2]Parameters!#REF!</definedName>
    <definedName name="input_MRB_BEV_taxibus_Rolstoel_Ombouw" localSheetId="14">[2]Parameters!#REF!</definedName>
    <definedName name="input_MRB_BEV_taxibus_Rolstoel_Ombouw" localSheetId="3">Parameters!#REF!</definedName>
    <definedName name="input_MRB_BEV_taxibus_Rolstoel_Ombouw">Parameters!#REF!</definedName>
    <definedName name="input_MRB_BEV_veegvuilwagen">Parameters!$R$103</definedName>
    <definedName name="input_MRB_BEV_veegwagen">Parameters!$R$105</definedName>
    <definedName name="input_MRB_BEV_vuilniswagen">Parameters!$R$104</definedName>
    <definedName name="input_MRB_CNG_A" localSheetId="12">[2]Parameters!$P$59</definedName>
    <definedName name="input_MRB_CNG_A" localSheetId="14">[2]Parameters!$P$59</definedName>
    <definedName name="input_MRB_CNG_A" localSheetId="1">[3]Parameters!$R$49</definedName>
    <definedName name="input_MRB_CNG_A" localSheetId="7">[3]Parameters!$R$49</definedName>
    <definedName name="input_MRB_CNG_A">Parameters!$R$59</definedName>
    <definedName name="input_MRB_CNG_B" localSheetId="12">[2]Parameters!$P$60</definedName>
    <definedName name="input_MRB_CNG_B" localSheetId="14">[2]Parameters!$P$60</definedName>
    <definedName name="input_MRB_CNG_B" localSheetId="1">[3]Parameters!$R$50</definedName>
    <definedName name="input_MRB_CNG_B" localSheetId="7">[3]Parameters!$R$50</definedName>
    <definedName name="input_MRB_CNG_B">Parameters!$R$60</definedName>
    <definedName name="input_MRB_CNG_bestel_groot" localSheetId="12">[2]Parameters!$P$77</definedName>
    <definedName name="input_MRB_CNG_bestel_groot" localSheetId="14">[2]Parameters!$P$77</definedName>
    <definedName name="input_MRB_CNG_bestel_groot">Parameters!$R$77</definedName>
    <definedName name="input_MRB_CNG_bestel_groot_berek">Parameters!$L$458</definedName>
    <definedName name="input_MRB_CNG_bestel_klein" localSheetId="12">[2]Parameters!$P$75</definedName>
    <definedName name="input_MRB_CNG_bestel_klein" localSheetId="14">[2]Parameters!$P$75</definedName>
    <definedName name="input_MRB_CNG_bestel_klein">Parameters!$R$75</definedName>
    <definedName name="input_MRB_CNG_bestel_klein_berek">Parameters!$F$458</definedName>
    <definedName name="input_MRB_CNG_bestel_middel" localSheetId="12">[2]Parameters!$P$76</definedName>
    <definedName name="input_MRB_CNG_bestel_middel" localSheetId="14">[2]Parameters!$P$76</definedName>
    <definedName name="input_MRB_CNG_bestel_middel">Parameters!$R$76</definedName>
    <definedName name="input_MRB_CNG_bestel_middel_berek">Parameters!$I$458</definedName>
    <definedName name="input_MRB_CNG_C" localSheetId="12">[2]Parameters!$P$61</definedName>
    <definedName name="input_MRB_CNG_C" localSheetId="14">[2]Parameters!$P$61</definedName>
    <definedName name="input_MRB_CNG_C" localSheetId="1">[3]Parameters!$R$51</definedName>
    <definedName name="input_MRB_CNG_C" localSheetId="7">[3]Parameters!$R$51</definedName>
    <definedName name="input_MRB_CNG_C">Parameters!$R$61</definedName>
    <definedName name="input_MRB_CNG_D" localSheetId="12">[2]Parameters!$P$62</definedName>
    <definedName name="input_MRB_CNG_D" localSheetId="14">[2]Parameters!$P$62</definedName>
    <definedName name="input_MRB_CNG_D" localSheetId="1">[3]Parameters!$R$52</definedName>
    <definedName name="input_MRB_CNG_D" localSheetId="7">[3]Parameters!$R$52</definedName>
    <definedName name="input_MRB_CNG_D">Parameters!$R$62</definedName>
    <definedName name="input_MRB_CNG_E" localSheetId="12">[2]Parameters!$P$63</definedName>
    <definedName name="input_MRB_CNG_E" localSheetId="14">[2]Parameters!$P$63</definedName>
    <definedName name="input_MRB_CNG_E" localSheetId="1">[3]Parameters!$R$53</definedName>
    <definedName name="input_MRB_CNG_E" localSheetId="7">[3]Parameters!$R$53</definedName>
    <definedName name="input_MRB_CNG_E">Parameters!$R$63</definedName>
    <definedName name="input_MRB_CNG_F" localSheetId="12">[2]Parameters!$P$64</definedName>
    <definedName name="input_MRB_CNG_F" localSheetId="14">[2]Parameters!$P$64</definedName>
    <definedName name="input_MRB_CNG_F" localSheetId="1">[3]Parameters!$R$54</definedName>
    <definedName name="input_MRB_CNG_F" localSheetId="7">[3]Parameters!$R$54</definedName>
    <definedName name="input_MRB_CNG_F">Parameters!$R$64</definedName>
    <definedName name="input_MRB_CNG_J" localSheetId="12">[2]Parameters!$P$65</definedName>
    <definedName name="input_MRB_CNG_J" localSheetId="14">[2]Parameters!$P$65</definedName>
    <definedName name="input_MRB_CNG_J">Parameters!$R$65</definedName>
    <definedName name="input_MRB_CNG_K" localSheetId="12">[2]Parameters!$P$66</definedName>
    <definedName name="input_MRB_CNG_K" localSheetId="14">[2]Parameters!$P$66</definedName>
    <definedName name="input_MRB_CNG_K">Parameters!$R$66</definedName>
    <definedName name="input_MRB_CNG_L" localSheetId="12">[2]Parameters!$P$67</definedName>
    <definedName name="input_MRB_CNG_L" localSheetId="14">[2]Parameters!$P$67</definedName>
    <definedName name="input_MRB_CNG_L" localSheetId="1">[3]Parameters!$R$56</definedName>
    <definedName name="input_MRB_CNG_L" localSheetId="7">[3]Parameters!$R$56</definedName>
    <definedName name="input_MRB_CNG_L">Parameters!$R$67</definedName>
    <definedName name="input_MRB_CNG_M" localSheetId="12">[2]Parameters!$P$68</definedName>
    <definedName name="input_MRB_CNG_M" localSheetId="14">[2]Parameters!$P$68</definedName>
    <definedName name="input_MRB_CNG_M" localSheetId="1">[3]Parameters!$R$57</definedName>
    <definedName name="input_MRB_CNG_M" localSheetId="7">[3]Parameters!$R$57</definedName>
    <definedName name="input_MRB_CNG_M">Parameters!$R$68</definedName>
    <definedName name="input_MRB_CNG_rolstoelbus">Parameters!$R$73</definedName>
    <definedName name="input_MRB_CNG_taxibus_groot" localSheetId="12">[2]Parameters!$P$72</definedName>
    <definedName name="input_MRB_CNG_taxibus_groot" localSheetId="14">[2]Parameters!$P$72</definedName>
    <definedName name="input_MRB_CNG_taxibus_groot" localSheetId="1">[3]Parameters!$R$60</definedName>
    <definedName name="input_MRB_CNG_taxibus_groot" localSheetId="7">[3]Parameters!$R$60</definedName>
    <definedName name="input_MRB_CNG_taxibus_groot">Parameters!$R$72</definedName>
    <definedName name="input_MRB_CNG_taxibus_klein" localSheetId="12">[2]Parameters!$P$70</definedName>
    <definedName name="input_MRB_CNG_taxibus_klein" localSheetId="14">[2]Parameters!$P$70</definedName>
    <definedName name="input_MRB_CNG_taxibus_klein" localSheetId="1">[3]Parameters!$R$59</definedName>
    <definedName name="input_MRB_CNG_taxibus_klein" localSheetId="7">[3]Parameters!$R$59</definedName>
    <definedName name="input_MRB_CNG_taxibus_klein">Parameters!$R$70</definedName>
    <definedName name="input_MRB_CNG_taxibus_middel" localSheetId="12">[2]Parameters!$P$71</definedName>
    <definedName name="input_MRB_CNG_taxibus_middel" localSheetId="14">[2]Parameters!$P$71</definedName>
    <definedName name="input_MRB_CNG_taxibus_middel">Parameters!$R$71</definedName>
    <definedName name="input_MRB_die_A" localSheetId="12">[2]Parameters!$P$7</definedName>
    <definedName name="input_MRB_die_A" localSheetId="14">[2]Parameters!$P$7</definedName>
    <definedName name="input_MRB_die_A">Parameters!$R$7</definedName>
    <definedName name="input_MRB_die_B" localSheetId="12">[2]Parameters!$P$8</definedName>
    <definedName name="input_MRB_die_B" localSheetId="14">[2]Parameters!$P$8</definedName>
    <definedName name="input_MRB_die_B" localSheetId="1">[3]Parameters!$R$6</definedName>
    <definedName name="input_MRB_die_B" localSheetId="7">[3]Parameters!$R$6</definedName>
    <definedName name="input_MRB_die_B">Parameters!$R$8</definedName>
    <definedName name="input_MRB_die_bestel_groot" localSheetId="12">[2]Parameters!$P$25</definedName>
    <definedName name="input_MRB_die_bestel_groot" localSheetId="14">[2]Parameters!$P$25</definedName>
    <definedName name="input_MRB_die_bestel_groot" localSheetId="1">[3]Parameters!$R$21</definedName>
    <definedName name="input_MRB_die_bestel_groot" localSheetId="7">[3]Parameters!$R$21</definedName>
    <definedName name="input_MRB_die_bestel_groot">Parameters!$R$25</definedName>
    <definedName name="input_MRB_die_bestel_groot_berek">Parameters!$J$458</definedName>
    <definedName name="input_MRB_die_bestel_klein" localSheetId="12">[2]Parameters!$P$23</definedName>
    <definedName name="input_MRB_die_bestel_klein" localSheetId="14">[2]Parameters!$P$23</definedName>
    <definedName name="input_MRB_die_bestel_klein" localSheetId="1">[3]Parameters!$R$19</definedName>
    <definedName name="input_MRB_die_bestel_klein" localSheetId="7">[3]Parameters!$R$19</definedName>
    <definedName name="input_MRB_die_bestel_klein">Parameters!$R$23</definedName>
    <definedName name="input_MRB_die_bestel_klein_berek">Parameters!$D$458</definedName>
    <definedName name="input_MRB_die_bestel_middel" localSheetId="12">[2]Parameters!$P$24</definedName>
    <definedName name="input_MRB_die_bestel_middel" localSheetId="14">[2]Parameters!$P$24</definedName>
    <definedName name="input_MRB_die_bestel_middel" localSheetId="1">[3]Parameters!$R$20</definedName>
    <definedName name="input_MRB_die_bestel_middel" localSheetId="7">[3]Parameters!$R$20</definedName>
    <definedName name="input_MRB_die_bestel_middel">Parameters!$R$24</definedName>
    <definedName name="input_MRB_die_bestel_middel_berek">Parameters!$G$458</definedName>
    <definedName name="input_MRB_die_C" localSheetId="12">[2]Parameters!$P$9</definedName>
    <definedName name="input_MRB_die_C" localSheetId="14">[2]Parameters!$P$9</definedName>
    <definedName name="input_MRB_die_C" localSheetId="1">[3]Parameters!$R$7</definedName>
    <definedName name="input_MRB_die_C" localSheetId="7">[3]Parameters!$R$7</definedName>
    <definedName name="input_MRB_die_C">Parameters!$R$9</definedName>
    <definedName name="input_MRB_die_D" localSheetId="12">[2]Parameters!$P$10</definedName>
    <definedName name="input_MRB_die_D" localSheetId="14">[2]Parameters!$P$10</definedName>
    <definedName name="input_MRB_die_D" localSheetId="1">[3]Parameters!$R$8</definedName>
    <definedName name="input_MRB_die_D" localSheetId="7">[3]Parameters!$R$8</definedName>
    <definedName name="input_MRB_die_D">Parameters!$R$10</definedName>
    <definedName name="input_MRB_die_E" localSheetId="12">[2]Parameters!$P$11</definedName>
    <definedName name="input_MRB_die_E" localSheetId="14">[2]Parameters!$P$11</definedName>
    <definedName name="input_MRB_die_E" localSheetId="1">[3]Parameters!$R$9</definedName>
    <definedName name="input_MRB_die_E" localSheetId="7">[3]Parameters!$R$9</definedName>
    <definedName name="input_MRB_die_E">Parameters!$R$11</definedName>
    <definedName name="input_MRB_die_F" localSheetId="12">[2]Parameters!$P$12</definedName>
    <definedName name="input_MRB_die_F" localSheetId="14">[2]Parameters!$P$12</definedName>
    <definedName name="input_MRB_die_F" localSheetId="1">[3]Parameters!$R$10</definedName>
    <definedName name="input_MRB_die_F" localSheetId="7">[3]Parameters!$R$10</definedName>
    <definedName name="input_MRB_die_F">Parameters!$R$12</definedName>
    <definedName name="input_MRB_die_G" localSheetId="12">[2]Parameters!#REF!</definedName>
    <definedName name="input_MRB_die_G" localSheetId="14">[2]Parameters!#REF!</definedName>
    <definedName name="input_MRB_die_G">Parameters!#REF!</definedName>
    <definedName name="input_MRB_die_H" localSheetId="12">[2]Parameters!#REF!</definedName>
    <definedName name="input_MRB_die_H" localSheetId="14">[2]Parameters!#REF!</definedName>
    <definedName name="input_MRB_die_H">Parameters!#REF!</definedName>
    <definedName name="input_MRB_die_I" localSheetId="12">[2]Parameters!#REF!</definedName>
    <definedName name="input_MRB_die_I" localSheetId="14">[2]Parameters!#REF!</definedName>
    <definedName name="input_MRB_die_I">Parameters!#REF!</definedName>
    <definedName name="input_MRB_die_J" localSheetId="12">[2]Parameters!$P$13</definedName>
    <definedName name="input_MRB_die_J" localSheetId="14">[2]Parameters!$P$13</definedName>
    <definedName name="input_MRB_die_J">Parameters!$R$13</definedName>
    <definedName name="input_MRB_die_K" localSheetId="12">[2]Parameters!$P$14</definedName>
    <definedName name="input_MRB_die_K" localSheetId="14">[2]Parameters!$P$14</definedName>
    <definedName name="input_MRB_die_K">Parameters!$R$14</definedName>
    <definedName name="input_MRB_die_L" localSheetId="12">[2]Parameters!$P$15</definedName>
    <definedName name="input_MRB_die_L" localSheetId="14">[2]Parameters!$P$15</definedName>
    <definedName name="input_MRB_die_L" localSheetId="1">[3]Parameters!$R$12</definedName>
    <definedName name="input_MRB_die_L" localSheetId="7">[3]Parameters!$R$12</definedName>
    <definedName name="input_MRB_die_L">Parameters!$R$15</definedName>
    <definedName name="input_MRB_die_M" localSheetId="12">[2]Parameters!$P$16</definedName>
    <definedName name="input_MRB_die_M" localSheetId="14">[2]Parameters!$P$16</definedName>
    <definedName name="input_MRB_die_M" localSheetId="1">[3]Parameters!$R$13</definedName>
    <definedName name="input_MRB_die_M" localSheetId="7">[3]Parameters!$R$13</definedName>
    <definedName name="input_MRB_die_M">Parameters!$R$16</definedName>
    <definedName name="input_MRB_die_rolstoelbus" localSheetId="12">[2]Parameters!$P$21</definedName>
    <definedName name="input_MRB_die_rolstoelbus" localSheetId="14">[2]Parameters!$P$21</definedName>
    <definedName name="input_MRB_die_rolstoelbus" localSheetId="1">[3]Parameters!$R$17</definedName>
    <definedName name="input_MRB_die_rolstoelbus" localSheetId="7">[3]Parameters!$R$17</definedName>
    <definedName name="input_MRB_die_rolstoelbus">Parameters!$R$21</definedName>
    <definedName name="input_MRB_die_taxibus_groot" localSheetId="12">[2]Parameters!$P$20</definedName>
    <definedName name="input_MRB_die_taxibus_groot" localSheetId="14">[2]Parameters!$P$20</definedName>
    <definedName name="input_MRB_die_taxibus_groot" localSheetId="1">[3]Parameters!$R$16</definedName>
    <definedName name="input_MRB_die_taxibus_groot" localSheetId="7">[3]Parameters!$R$16</definedName>
    <definedName name="input_MRB_die_taxibus_groot">Parameters!$R$20</definedName>
    <definedName name="input_MRB_die_taxibus_klein" localSheetId="12">[2]Parameters!$P$18</definedName>
    <definedName name="input_MRB_die_taxibus_klein" localSheetId="14">[2]Parameters!$P$18</definedName>
    <definedName name="input_MRB_die_taxibus_klein" localSheetId="1">[3]Parameters!$R$15</definedName>
    <definedName name="input_MRB_die_taxibus_klein" localSheetId="7">[3]Parameters!$R$15</definedName>
    <definedName name="input_MRB_die_taxibus_klein">Parameters!$R$18</definedName>
    <definedName name="input_MRB_die_taxibus_middel" localSheetId="12">[2]Parameters!$P$19</definedName>
    <definedName name="input_MRB_die_taxibus_middel" localSheetId="14">[2]Parameters!$P$19</definedName>
    <definedName name="input_MRB_die_taxibus_middel">Parameters!$R$19</definedName>
    <definedName name="input_MRB_die_veegmachine">[2]Parameters!#REF!</definedName>
    <definedName name="input_MRB_die_veegvuilwagen">Parameters!$R$27</definedName>
    <definedName name="input_MRB_die_veegwagen">Parameters!$R$29</definedName>
    <definedName name="input_MRB_die_vuilniswagen">Parameters!$R$28</definedName>
    <definedName name="input_MRB_FCEV_A">Parameters!$R$111</definedName>
    <definedName name="input_MRB_FCEV_B">Parameters!$R$112</definedName>
    <definedName name="input_MRB_FCEV_bestel_groot">Parameters!$R$129</definedName>
    <definedName name="input_MRB_FCEV_bestel_klein">Parameters!$R$127</definedName>
    <definedName name="input_MRB_FCEV_bestel_middel">Parameters!$R$128</definedName>
    <definedName name="input_MRB_FCEV_C">Parameters!$R$113</definedName>
    <definedName name="input_MRB_FCEV_D">Parameters!$R$114</definedName>
    <definedName name="input_MRB_FCEV_E">Parameters!$R$115</definedName>
    <definedName name="input_MRB_FCEV_F">Parameters!$R$116</definedName>
    <definedName name="input_MRB_FCEV_J">Parameters!$R$117</definedName>
    <definedName name="input_MRB_FCEV_K">Parameters!$R$118</definedName>
    <definedName name="input_MRB_FCEV_L">Parameters!$R$119</definedName>
    <definedName name="input_MRB_FCEV_M">Parameters!$R$120</definedName>
    <definedName name="input_MRB_FCEV_rolstoel">Parameters!$R$125</definedName>
    <definedName name="input_MRB_FCEV_taxi_groot">Parameters!$R$124</definedName>
    <definedName name="input_MRB_FCEV_taxi_klein">Parameters!$R$122</definedName>
    <definedName name="input_MRB_FCEV_taxi_middel">Parameters!$R$123</definedName>
    <definedName name="input_MRB_FCEV_veegmachine">[2]Parameters!#REF!</definedName>
    <definedName name="input_MRB_FCEV_veegvuilwagen">Parameters!$R$131</definedName>
    <definedName name="input_MRB_FCEV_veegvuilwagen_kipper">[2]Parameters!#REF!</definedName>
    <definedName name="input_MRB_FCEV_veegwagen">Parameters!$R$133</definedName>
    <definedName name="input_MRB_FCEV_vuilniswagen">Parameters!$R$132</definedName>
    <definedName name="looptijd" localSheetId="12">'[2]2. Invoer parameters'!$C$4</definedName>
    <definedName name="looptijd" localSheetId="14">'[2]2. Invoer parameters'!$C$4</definedName>
    <definedName name="looptijd" localSheetId="1">'[3]2. Invoer parameters'!$C$7</definedName>
    <definedName name="looptijd" localSheetId="0">'[4]2. Invoer parameters'!$C$7</definedName>
    <definedName name="looptijd" localSheetId="7">'[3]2. Invoer parameters'!$C$7</definedName>
    <definedName name="looptijd">'2. Invoer parameters'!$C$5</definedName>
    <definedName name="MIA_BEV_A" localSheetId="12">[2]Parameters!$N$83</definedName>
    <definedName name="MIA_BEV_A" localSheetId="14">[2]Parameters!$N$83</definedName>
    <definedName name="MIA_BEV_A" localSheetId="1">[3]Parameters!$P$71</definedName>
    <definedName name="MIA_BEV_A" localSheetId="0">[4]Parameters!$N$39</definedName>
    <definedName name="MIA_BEV_A" localSheetId="7">[3]Parameters!$P$71</definedName>
    <definedName name="MIA_BEV_A">Parameters!$O$83</definedName>
    <definedName name="MIA_BEV_B" localSheetId="12">[2]Parameters!$N$84</definedName>
    <definedName name="MIA_BEV_B" localSheetId="14">[2]Parameters!$N$84</definedName>
    <definedName name="MIA_BEV_B" localSheetId="1">[3]Parameters!$P$72</definedName>
    <definedName name="MIA_BEV_B" localSheetId="7">[3]Parameters!$P$72</definedName>
    <definedName name="MIA_BEV_B">Parameters!$O$84</definedName>
    <definedName name="MIA_BEV_bestel_groot" localSheetId="12">[2]Parameters!$N$101</definedName>
    <definedName name="MIA_BEV_bestel_groot" localSheetId="14">[2]Parameters!$N$101</definedName>
    <definedName name="MIA_BEV_bestel_groot">Parameters!$O$101</definedName>
    <definedName name="MIA_BEV_bestel_klein" localSheetId="12">[2]Parameters!$N$99</definedName>
    <definedName name="MIA_BEV_bestel_klein" localSheetId="14">[2]Parameters!$N$99</definedName>
    <definedName name="MIA_BEV_bestel_klein">Parameters!$O$99</definedName>
    <definedName name="MIA_BEV_bestel_middel" localSheetId="12">[2]Parameters!$N$100</definedName>
    <definedName name="MIA_BEV_bestel_middel" localSheetId="14">[2]Parameters!$N$100</definedName>
    <definedName name="MIA_BEV_bestel_middel">Parameters!$O$100</definedName>
    <definedName name="MIA_BEV_C" localSheetId="12">[2]Parameters!$N$85</definedName>
    <definedName name="MIA_BEV_C" localSheetId="14">[2]Parameters!$N$85</definedName>
    <definedName name="MIA_BEV_C" localSheetId="1">[3]Parameters!$P$73</definedName>
    <definedName name="MIA_BEV_C" localSheetId="7">[3]Parameters!$P$73</definedName>
    <definedName name="MIA_BEV_C">Parameters!$O$85</definedName>
    <definedName name="MIA_BEV_D" localSheetId="12">[2]Parameters!$N$86</definedName>
    <definedName name="MIA_BEV_D" localSheetId="14">[2]Parameters!$N$86</definedName>
    <definedName name="MIA_BEV_D" localSheetId="1">[3]Parameters!$P$74</definedName>
    <definedName name="MIA_BEV_D" localSheetId="7">[3]Parameters!$P$74</definedName>
    <definedName name="MIA_BEV_D">Parameters!$O$86</definedName>
    <definedName name="MIA_BEV_E" localSheetId="12">[2]Parameters!$N$87</definedName>
    <definedName name="MIA_BEV_E" localSheetId="14">[2]Parameters!$N$87</definedName>
    <definedName name="MIA_BEV_E" localSheetId="1">[3]Parameters!$P$75</definedName>
    <definedName name="MIA_BEV_E" localSheetId="7">[3]Parameters!$P$75</definedName>
    <definedName name="MIA_BEV_E">Parameters!$O$87</definedName>
    <definedName name="MIA_BEV_F" localSheetId="12">[2]Parameters!$N$88</definedName>
    <definedName name="MIA_BEV_F" localSheetId="14">[2]Parameters!$N$88</definedName>
    <definedName name="MIA_BEV_F" localSheetId="1">[3]Parameters!$P$76</definedName>
    <definedName name="MIA_BEV_F" localSheetId="7">[3]Parameters!$P$76</definedName>
    <definedName name="MIA_BEV_F">Parameters!$O$88</definedName>
    <definedName name="MIA_BEV_J" localSheetId="12">[2]Parameters!$N$89</definedName>
    <definedName name="MIA_BEV_J" localSheetId="14">[2]Parameters!$N$89</definedName>
    <definedName name="MIA_BEV_J">Parameters!$O$89</definedName>
    <definedName name="MIA_BEV_K" localSheetId="12">[2]Parameters!$N$90</definedName>
    <definedName name="MIA_BEV_K" localSheetId="14">[2]Parameters!$N$90</definedName>
    <definedName name="MIA_BEV_K">Parameters!$O$90</definedName>
    <definedName name="MIA_BEV_L" localSheetId="12">[2]Parameters!$N$91</definedName>
    <definedName name="MIA_BEV_L" localSheetId="14">[2]Parameters!$N$91</definedName>
    <definedName name="MIA_BEV_L" localSheetId="1">[3]Parameters!$P$78</definedName>
    <definedName name="MIA_BEV_L" localSheetId="7">[3]Parameters!$P$78</definedName>
    <definedName name="MIA_BEV_L">Parameters!$O$91</definedName>
    <definedName name="MIA_BEV_M" localSheetId="12">[2]Parameters!$N$92</definedName>
    <definedName name="MIA_BEV_M" localSheetId="14">[2]Parameters!$N$92</definedName>
    <definedName name="MIA_BEV_M" localSheetId="1">[3]Parameters!$P$79</definedName>
    <definedName name="MIA_BEV_M" localSheetId="7">[3]Parameters!$P$79</definedName>
    <definedName name="MIA_BEV_M">Parameters!$O$92</definedName>
    <definedName name="MIA_BEV_rolstoelbus" localSheetId="12">[2]Parameters!$N$97</definedName>
    <definedName name="MIA_BEV_rolstoelbus" localSheetId="14">[2]Parameters!$N$97</definedName>
    <definedName name="MIA_BEV_rolstoelbus" localSheetId="1">[3]Parameters!$P$85</definedName>
    <definedName name="MIA_BEV_rolstoelbus" localSheetId="7">[3]Parameters!$P$85</definedName>
    <definedName name="MIA_BEV_rolstoelbus">Parameters!$O$97</definedName>
    <definedName name="MIA_BEV_rolstoelbus_ombouw" localSheetId="12">[2]Parameters!#REF!</definedName>
    <definedName name="MIA_BEV_rolstoelbus_ombouw" localSheetId="14">[2]Parameters!#REF!</definedName>
    <definedName name="MIA_BEV_rolstoelbus_ombouw" localSheetId="1">[3]Parameters!$P$84</definedName>
    <definedName name="MIA_BEV_rolstoelbus_ombouw" localSheetId="3">Parameters!#REF!</definedName>
    <definedName name="MIA_BEV_rolstoelbus_ombouw" localSheetId="7">[3]Parameters!$P$84</definedName>
    <definedName name="MIA_BEV_rolstoelbus_ombouw">Parameters!#REF!</definedName>
    <definedName name="MIA_BEV_taxibus_groot" localSheetId="12">[2]Parameters!$N$96</definedName>
    <definedName name="MIA_BEV_taxibus_groot" localSheetId="14">[2]Parameters!$N$96</definedName>
    <definedName name="MIA_BEV_taxibus_groot" localSheetId="1">[3]Parameters!$P$83</definedName>
    <definedName name="MIA_BEV_taxibus_groot" localSheetId="7">[3]Parameters!$P$83</definedName>
    <definedName name="MIA_BEV_taxibus_groot">Parameters!$O$96</definedName>
    <definedName name="MIA_BEV_taxibus_groot_ombouw" localSheetId="12">[2]Parameters!#REF!</definedName>
    <definedName name="MIA_BEV_taxibus_groot_ombouw" localSheetId="14">[2]Parameters!#REF!</definedName>
    <definedName name="MIA_BEV_taxibus_groot_ombouw" localSheetId="1">[3]Parameters!$P$82</definedName>
    <definedName name="MIA_BEV_taxibus_groot_ombouw" localSheetId="3">Parameters!#REF!</definedName>
    <definedName name="MIA_BEV_taxibus_groot_ombouw" localSheetId="7">[3]Parameters!$P$82</definedName>
    <definedName name="MIA_BEV_taxibus_groot_ombouw">Parameters!#REF!</definedName>
    <definedName name="MIA_BEV_taxibus_klein" localSheetId="12">[2]Parameters!$N$94</definedName>
    <definedName name="MIA_BEV_taxibus_klein" localSheetId="14">[2]Parameters!$N$94</definedName>
    <definedName name="MIA_BEV_taxibus_klein" localSheetId="1">[3]Parameters!$P$81</definedName>
    <definedName name="MIA_BEV_taxibus_klein" localSheetId="7">[3]Parameters!$P$81</definedName>
    <definedName name="MIA_BEV_taxibus_klein">Parameters!$O$94</definedName>
    <definedName name="MIA_BEV_taxibus_middel" localSheetId="12">[2]Parameters!$N$95</definedName>
    <definedName name="MIA_BEV_taxibus_middel" localSheetId="14">[2]Parameters!$N$95</definedName>
    <definedName name="MIA_BEV_taxibus_middel">Parameters!$O$95</definedName>
    <definedName name="MIA_BEV_veegvuilwagen">Parameters!$O$103</definedName>
    <definedName name="MIA_BEV_veegwagen">Parameters!$O$105</definedName>
    <definedName name="MIA_BEV_vuilniswagen">Parameters!$O$104</definedName>
    <definedName name="MIA_FCEV_A">Parameters!$O$111</definedName>
    <definedName name="MIA_FCEV_B">Parameters!$O$112</definedName>
    <definedName name="MIA_FCEV_bestel_groot">Parameters!$O$129</definedName>
    <definedName name="MIA_FCEV_bestel_klein">Parameters!$O$127</definedName>
    <definedName name="MIA_FCEV_bestel_middel">Parameters!$O$128</definedName>
    <definedName name="MIA_FCEV_C">Parameters!$O$113</definedName>
    <definedName name="MIA_FCEV_D">Parameters!$O$114</definedName>
    <definedName name="MIA_FCEV_E">Parameters!$O$115</definedName>
    <definedName name="MIA_FCEV_F">Parameters!$O$116</definedName>
    <definedName name="MIA_FCEV_J">Parameters!$O$117</definedName>
    <definedName name="MIA_FCEV_K">Parameters!$O$118</definedName>
    <definedName name="MIA_FCEV_L">Parameters!$O$119</definedName>
    <definedName name="MIA_FCEV_M">Parameters!$O$120</definedName>
    <definedName name="MIA_FCEV_rolstoel">Parameters!$O$125</definedName>
    <definedName name="MIA_FCEV_taxi_groot">Parameters!$O$124</definedName>
    <definedName name="MIA_FCEV_taxi_klein">Parameters!$O$122</definedName>
    <definedName name="MIA_FCEV_taxi_middel">Parameters!$O$123</definedName>
    <definedName name="MIA_FCEV_veegvuilwagen">Parameters!$O$131</definedName>
    <definedName name="MIA_FCEV_veegwagen">Parameters!$O$133</definedName>
    <definedName name="MIA_FCEV_vuilniswagen">Parameters!$O$132</definedName>
    <definedName name="MRB_belasting" localSheetId="12">'[2]2. Invoer parameters'!$C$11</definedName>
    <definedName name="MRB_belasting" localSheetId="14">'[2]2. Invoer parameters'!$C$11</definedName>
    <definedName name="MRB_belasting" localSheetId="1">'[3]2. Invoer parameters'!$C$13</definedName>
    <definedName name="MRB_belasting" localSheetId="7">'[3]2. Invoer parameters'!$C$13</definedName>
    <definedName name="MRB_belasting">'2. Invoer parameters'!$C$12</definedName>
    <definedName name="MRB_benz_A" localSheetId="12">[2]_fossiel_pers!$K$25</definedName>
    <definedName name="MRB_benz_A" localSheetId="14">[2]_fossiel_pers!$K$25</definedName>
    <definedName name="MRB_benz_A" localSheetId="1">[3]_Personenauto!$L$25</definedName>
    <definedName name="MRB_benz_A" localSheetId="0">[4]_Personenauto!$L$25</definedName>
    <definedName name="MRB_benz_A" localSheetId="7">[3]_Personenauto!$L$25</definedName>
    <definedName name="MRB_benz_A">_fossiel_pers!$K$25</definedName>
    <definedName name="MRB_benz_B" localSheetId="12">[2]_fossiel_pers!$K$44</definedName>
    <definedName name="MRB_benz_B" localSheetId="14">[2]_fossiel_pers!$K$44</definedName>
    <definedName name="MRB_benz_B" localSheetId="1">[3]_Personenauto!$L$44</definedName>
    <definedName name="MRB_benz_B" localSheetId="0">[4]_Personenauto!$L$44</definedName>
    <definedName name="MRB_benz_B" localSheetId="7">[3]_Personenauto!$L$44</definedName>
    <definedName name="MRB_benz_B">_fossiel_pers!$K$44</definedName>
    <definedName name="MRB_benz_bestel_klein_part" localSheetId="12">[2]_fossiel_LCV!$P$116</definedName>
    <definedName name="MRB_benz_bestel_klein_part" localSheetId="14">[2]_fossiel_LCV!$P$116</definedName>
    <definedName name="MRB_benz_bestel_klein_part">_fossiel_LCV!$P$116</definedName>
    <definedName name="MRB_benz_C" localSheetId="12">[2]_fossiel_pers!$K$64</definedName>
    <definedName name="MRB_benz_C" localSheetId="14">[2]_fossiel_pers!$K$64</definedName>
    <definedName name="MRB_benz_C" localSheetId="1">[3]_Personenauto!$L$64</definedName>
    <definedName name="MRB_benz_C" localSheetId="0">[4]_Personenauto!$L$64</definedName>
    <definedName name="MRB_benz_C" localSheetId="7">[3]_Personenauto!$L$64</definedName>
    <definedName name="MRB_benz_C">_fossiel_pers!$K$64</definedName>
    <definedName name="MRB_benz_D" localSheetId="12">[2]_fossiel_pers!$K$84</definedName>
    <definedName name="MRB_benz_D" localSheetId="14">[2]_fossiel_pers!$K$84</definedName>
    <definedName name="MRB_benz_D" localSheetId="1">[3]_Personenauto!$L$84</definedName>
    <definedName name="MRB_benz_D" localSheetId="0">[4]_Personenauto!$L$84</definedName>
    <definedName name="MRB_benz_D" localSheetId="7">[3]_Personenauto!$L$84</definedName>
    <definedName name="MRB_benz_D">_fossiel_pers!$K$84</definedName>
    <definedName name="MRB_benz_E" localSheetId="12">[2]_fossiel_pers!$K$104</definedName>
    <definedName name="MRB_benz_E" localSheetId="14">[2]_fossiel_pers!$K$104</definedName>
    <definedName name="MRB_benz_E" localSheetId="1">[3]_Personenauto!$L$104</definedName>
    <definedName name="MRB_benz_E" localSheetId="0">[4]_Personenauto!$L$104</definedName>
    <definedName name="MRB_benz_E" localSheetId="7">[3]_Personenauto!$L$104</definedName>
    <definedName name="MRB_benz_E">_fossiel_pers!$K$104</definedName>
    <definedName name="MRB_benz_F" localSheetId="12">[2]_fossiel_pers!$K$124</definedName>
    <definedName name="MRB_benz_F" localSheetId="14">[2]_fossiel_pers!$K$124</definedName>
    <definedName name="MRB_benz_F" localSheetId="1">[3]_Personenauto!$L$124</definedName>
    <definedName name="MRB_benz_F" localSheetId="0">[4]_Personenauto!$L$124</definedName>
    <definedName name="MRB_benz_F" localSheetId="7">[3]_Personenauto!$L$124</definedName>
    <definedName name="MRB_benz_F">_fossiel_pers!$K$124</definedName>
    <definedName name="MRB_benz_groot_taxibus">_fossiel_minibus!$M$98</definedName>
    <definedName name="MRB_benz_J" localSheetId="12">[2]_fossiel_pers!$K$144</definedName>
    <definedName name="MRB_benz_J" localSheetId="14">[2]_fossiel_pers!$K$144</definedName>
    <definedName name="MRB_benz_J" localSheetId="1">[3]_Personenauto!$L$144</definedName>
    <definedName name="MRB_benz_J" localSheetId="0">[4]_Personenauto!$L$144</definedName>
    <definedName name="MRB_benz_J" localSheetId="7">[3]_Personenauto!$L$144</definedName>
    <definedName name="MRB_benz_J">_fossiel_pers!$K$144</definedName>
    <definedName name="MRB_benz_kleine_taxibus" localSheetId="12">[2]_fossiel_minibus!$M$29</definedName>
    <definedName name="MRB_benz_kleine_taxibus" localSheetId="14">[2]_fossiel_minibus!$M$29</definedName>
    <definedName name="MRB_benz_kleine_taxibus">_fossiel_minibus!$M$29</definedName>
    <definedName name="MRB_benz_L" localSheetId="12">[2]_fossiel_pers!$K$164</definedName>
    <definedName name="MRB_benz_L" localSheetId="14">[2]_fossiel_pers!$K$164</definedName>
    <definedName name="MRB_benz_L" localSheetId="1">[3]_Personenauto!$L$164</definedName>
    <definedName name="MRB_benz_L" localSheetId="0">[4]_Personenauto!$L$164</definedName>
    <definedName name="MRB_benz_L" localSheetId="7">[3]_Personenauto!$L$164</definedName>
    <definedName name="MRB_benz_L">_fossiel_pers!$K$164</definedName>
    <definedName name="MRB_benz_M" localSheetId="12">[2]_fossiel_pers!$K$184</definedName>
    <definedName name="MRB_benz_M" localSheetId="14">[2]_fossiel_pers!$K$184</definedName>
    <definedName name="MRB_benz_M" localSheetId="1">[3]_Personenauto!$L$184</definedName>
    <definedName name="MRB_benz_M" localSheetId="0">[4]_Personenauto!$L$184</definedName>
    <definedName name="MRB_benz_M" localSheetId="7">[3]_Personenauto!$L$184</definedName>
    <definedName name="MRB_benz_M">_fossiel_pers!$K$184</definedName>
    <definedName name="MRB_benz_middel_taxibus">_fossiel_minibus!$M$63</definedName>
    <definedName name="MRB_benz_rolstoelbus">_fossiel_minibus!$M$130</definedName>
    <definedName name="MRB_BEV" localSheetId="12">[2]Parameters!$B$350</definedName>
    <definedName name="MRB_BEV" localSheetId="14">[2]Parameters!$B$350</definedName>
    <definedName name="MRB_BEV" localSheetId="1">[3]Parameters!$B$250</definedName>
    <definedName name="MRB_BEV" localSheetId="0">[4]Parameters!$B$206</definedName>
    <definedName name="MRB_BEV" localSheetId="7">[3]Parameters!$B$250</definedName>
    <definedName name="MRB_BEV">Parameters!$B$464</definedName>
    <definedName name="MRB_CNG_A" localSheetId="12">[2]_CNG!$F$12</definedName>
    <definedName name="MRB_CNG_A" localSheetId="14">[2]_CNG!$F$12</definedName>
    <definedName name="MRB_CNG_A" localSheetId="1">[3]_CNG!$F$12</definedName>
    <definedName name="MRB_CNG_A" localSheetId="7">[3]_CNG!$F$12</definedName>
    <definedName name="MRB_CNG_A">_CNG!$F$12</definedName>
    <definedName name="MRB_CNG_B" localSheetId="12">[2]_CNG!$F$13</definedName>
    <definedName name="MRB_CNG_B" localSheetId="14">[2]_CNG!$F$13</definedName>
    <definedName name="MRB_CNG_B" localSheetId="1">[3]_CNG!$F$13</definedName>
    <definedName name="MRB_CNG_B" localSheetId="7">[3]_CNG!$F$13</definedName>
    <definedName name="MRB_CNG_B">_CNG!$F$13</definedName>
    <definedName name="MRB_CNG_bestel_groot_part" localSheetId="12">[2]_fossiel_LCV!$P$181</definedName>
    <definedName name="MRB_CNG_bestel_groot_part" localSheetId="14">[2]_fossiel_LCV!$P$181</definedName>
    <definedName name="MRB_CNG_bestel_groot_part">_fossiel_LCV!$P$181</definedName>
    <definedName name="MRB_CNG_bestel_klein_part" localSheetId="12">[2]_fossiel_LCV!$P$159</definedName>
    <definedName name="MRB_CNG_bestel_klein_part" localSheetId="14">[2]_fossiel_LCV!$P$159</definedName>
    <definedName name="MRB_CNG_bestel_klein_part">_fossiel_LCV!$P$159</definedName>
    <definedName name="MRB_CNG_C" localSheetId="12">[2]_CNG!$F$14</definedName>
    <definedName name="MRB_CNG_C" localSheetId="14">[2]_CNG!$F$14</definedName>
    <definedName name="MRB_CNG_C" localSheetId="1">[3]_CNG!$F$14</definedName>
    <definedName name="MRB_CNG_C" localSheetId="7">[3]_CNG!$F$14</definedName>
    <definedName name="MRB_CNG_C">_CNG!$F$14</definedName>
    <definedName name="MRB_CNG_D" localSheetId="12">[2]_CNG!$F$15</definedName>
    <definedName name="MRB_CNG_D" localSheetId="14">[2]_CNG!$F$15</definedName>
    <definedName name="MRB_CNG_D" localSheetId="1">[3]_CNG!$F$15</definedName>
    <definedName name="MRB_CNG_D" localSheetId="7">[3]_CNG!$F$15</definedName>
    <definedName name="MRB_CNG_D">_CNG!$F$15</definedName>
    <definedName name="MRB_CNG_E" localSheetId="12">[2]_CNG!$F$16</definedName>
    <definedName name="MRB_CNG_E" localSheetId="14">[2]_CNG!$F$16</definedName>
    <definedName name="MRB_CNG_E" localSheetId="1">[3]_CNG!$F$16</definedName>
    <definedName name="MRB_CNG_E" localSheetId="7">[3]_CNG!$F$16</definedName>
    <definedName name="MRB_CNG_E">_CNG!$F$16</definedName>
    <definedName name="MRB_CNG_F" localSheetId="12">[2]_CNG!$F$17</definedName>
    <definedName name="MRB_CNG_F" localSheetId="14">[2]_CNG!$F$17</definedName>
    <definedName name="MRB_CNG_F" localSheetId="1">[3]_CNG!$F$17</definedName>
    <definedName name="MRB_CNG_F" localSheetId="7">[3]_CNG!$F$17</definedName>
    <definedName name="MRB_CNG_F">_CNG!$F$17</definedName>
    <definedName name="MRB_CNG_groot_taxibus" localSheetId="12">[2]_fossiel_minibus!$M$99</definedName>
    <definedName name="MRB_CNG_groot_taxibus" localSheetId="14">[2]_fossiel_minibus!$M$99</definedName>
    <definedName name="MRB_CNG_groot_taxibus">_fossiel_minibus!$M$109</definedName>
    <definedName name="MRB_CNG_J" localSheetId="12">[2]_CNG!$F$18</definedName>
    <definedName name="MRB_CNG_J" localSheetId="14">[2]_CNG!$F$18</definedName>
    <definedName name="MRB_CNG_J" localSheetId="1">[3]_CNG!$F$18</definedName>
    <definedName name="MRB_CNG_J" localSheetId="7">[3]_CNG!$F$18</definedName>
    <definedName name="MRB_CNG_J">_CNG!$F$18</definedName>
    <definedName name="MRB_CNG_kleine_taxibus" localSheetId="12">[2]_fossiel_minibus!$M$41</definedName>
    <definedName name="MRB_CNG_kleine_taxibus" localSheetId="14">[2]_fossiel_minibus!$M$41</definedName>
    <definedName name="MRB_CNG_kleine_taxibus">_fossiel_minibus!$M$41</definedName>
    <definedName name="MRB_CNG_L" localSheetId="12">[2]_CNG!$F$19</definedName>
    <definedName name="MRB_CNG_L" localSheetId="14">[2]_CNG!$F$19</definedName>
    <definedName name="MRB_CNG_L" localSheetId="1">[3]_CNG!$F$19</definedName>
    <definedName name="MRB_CNG_L" localSheetId="7">[3]_CNG!$F$19</definedName>
    <definedName name="MRB_CNG_L">_CNG!$F$19</definedName>
    <definedName name="MRB_CNG_M" localSheetId="12">[2]_CNG!$F$20</definedName>
    <definedName name="MRB_CNG_M" localSheetId="14">[2]_CNG!$F$20</definedName>
    <definedName name="MRB_CNG_M" localSheetId="1">[3]_CNG!$F$20</definedName>
    <definedName name="MRB_CNG_M" localSheetId="7">[3]_CNG!$F$20</definedName>
    <definedName name="MRB_CNG_M">_CNG!$F$20</definedName>
    <definedName name="MRB_CNG_middel_taxibus">_fossiel_minibus!$M$76</definedName>
    <definedName name="MRB_CNG_rolstoelbus" localSheetId="12">[2]_fossiel_minibus!$M$140</definedName>
    <definedName name="MRB_CNG_rolstoelbus" localSheetId="14">[2]_fossiel_minibus!$M$140</definedName>
    <definedName name="MRB_CNG_rolstoelbus">_fossiel_minibus!$M$140</definedName>
    <definedName name="MRB_die_B" localSheetId="12">[2]_fossiel_pers!$K$53</definedName>
    <definedName name="MRB_die_B" localSheetId="14">[2]_fossiel_pers!$K$53</definedName>
    <definedName name="MRB_die_B" localSheetId="1">[3]_Personenauto!$L$53</definedName>
    <definedName name="MRB_die_B" localSheetId="0">[4]_Personenauto!$L$53</definedName>
    <definedName name="MRB_die_B" localSheetId="7">[3]_Personenauto!$L$53</definedName>
    <definedName name="MRB_die_B">_fossiel_pers!$K$53</definedName>
    <definedName name="MRB_die_bestel_groot" localSheetId="12">[2]_fossiel_LCV!$O$82</definedName>
    <definedName name="MRB_die_bestel_groot" localSheetId="14">[2]_fossiel_LCV!$O$82</definedName>
    <definedName name="MRB_die_bestel_groot" localSheetId="1">[3]_Bestelbus!$L$76</definedName>
    <definedName name="MRB_die_bestel_groot" localSheetId="0">[4]_Bestelbus!$L$76</definedName>
    <definedName name="MRB_die_bestel_groot" localSheetId="7">[3]_Bestelbus!$L$76</definedName>
    <definedName name="MRB_die_bestel_groot">_fossiel_LCV!$O$82</definedName>
    <definedName name="MRB_die_bestel_groot_part" localSheetId="12">[2]_fossiel_LCV!$P$82</definedName>
    <definedName name="MRB_die_bestel_groot_part" localSheetId="14">[2]_fossiel_LCV!$P$82</definedName>
    <definedName name="MRB_die_bestel_groot_part">_fossiel_LCV!$P$82</definedName>
    <definedName name="MRB_die_bestel_klein" localSheetId="12">[2]_fossiel_LCV!$O$34</definedName>
    <definedName name="MRB_die_bestel_klein" localSheetId="14">[2]_fossiel_LCV!$O$34</definedName>
    <definedName name="MRB_die_bestel_klein" localSheetId="1">[3]_Bestelbus!$L$28</definedName>
    <definedName name="MRB_die_bestel_klein" localSheetId="0">[4]_Bestelbus!$L$28</definedName>
    <definedName name="MRB_die_bestel_klein" localSheetId="7">[3]_Bestelbus!$L$28</definedName>
    <definedName name="MRB_die_bestel_klein">_fossiel_LCV!$O$34</definedName>
    <definedName name="MRB_die_bestel_klein_part" localSheetId="12">[2]_fossiel_LCV!$P$34</definedName>
    <definedName name="MRB_die_bestel_klein_part" localSheetId="14">[2]_fossiel_LCV!$P$34</definedName>
    <definedName name="MRB_die_bestel_klein_part">_fossiel_LCV!$P$34</definedName>
    <definedName name="MRB_die_bestel_middel" localSheetId="12">[2]_fossiel_LCV!$O$58</definedName>
    <definedName name="MRB_die_bestel_middel" localSheetId="14">[2]_fossiel_LCV!$O$58</definedName>
    <definedName name="MRB_die_bestel_middel" localSheetId="1">[3]_Bestelbus!$L$52</definedName>
    <definedName name="MRB_die_bestel_middel" localSheetId="0">[4]_Bestelbus!$L$52</definedName>
    <definedName name="MRB_die_bestel_middel" localSheetId="7">[3]_Bestelbus!$L$52</definedName>
    <definedName name="MRB_die_bestel_middel">_fossiel_LCV!$O$58</definedName>
    <definedName name="MRB_die_bestel_middel_part" localSheetId="12">[2]_fossiel_LCV!$P$58</definedName>
    <definedName name="MRB_die_bestel_middel_part" localSheetId="14">[2]_fossiel_LCV!$P$58</definedName>
    <definedName name="MRB_die_bestel_middel_part">_fossiel_LCV!$P$58</definedName>
    <definedName name="MRB_die_C" localSheetId="12">[2]_fossiel_pers!$K$73</definedName>
    <definedName name="MRB_die_C" localSheetId="14">[2]_fossiel_pers!$K$73</definedName>
    <definedName name="MRB_die_C" localSheetId="1">[3]_Personenauto!$L$73</definedName>
    <definedName name="MRB_die_C" localSheetId="0">[4]_Personenauto!$L$73</definedName>
    <definedName name="MRB_die_C" localSheetId="7">[3]_Personenauto!$L$73</definedName>
    <definedName name="MRB_die_C">_fossiel_pers!$K$73</definedName>
    <definedName name="MRB_die_D" localSheetId="12">[2]_fossiel_pers!$K$93</definedName>
    <definedName name="MRB_die_D" localSheetId="14">[2]_fossiel_pers!$K$93</definedName>
    <definedName name="MRB_die_D" localSheetId="1">[3]_Personenauto!$L$93</definedName>
    <definedName name="MRB_die_D" localSheetId="0">[4]_Personenauto!$L$93</definedName>
    <definedName name="MRB_die_D" localSheetId="7">[3]_Personenauto!$L$93</definedName>
    <definedName name="MRB_die_D">_fossiel_pers!$K$93</definedName>
    <definedName name="MRB_die_E" localSheetId="12">[2]_fossiel_pers!$K$113</definedName>
    <definedName name="MRB_die_E" localSheetId="14">[2]_fossiel_pers!$K$113</definedName>
    <definedName name="MRB_die_E" localSheetId="1">[3]_Personenauto!$L$113</definedName>
    <definedName name="MRB_die_E" localSheetId="0">[4]_Personenauto!$L$113</definedName>
    <definedName name="MRB_die_E" localSheetId="7">[3]_Personenauto!$L$113</definedName>
    <definedName name="MRB_die_E">_fossiel_pers!$K$113</definedName>
    <definedName name="MRB_die_F" localSheetId="12">[2]_fossiel_pers!$K$133</definedName>
    <definedName name="MRB_die_F" localSheetId="14">[2]_fossiel_pers!$K$133</definedName>
    <definedName name="MRB_die_F" localSheetId="1">[3]_Personenauto!$L$133</definedName>
    <definedName name="MRB_die_F" localSheetId="0">[4]_Personenauto!$L$133</definedName>
    <definedName name="MRB_die_F" localSheetId="7">[3]_Personenauto!$L$133</definedName>
    <definedName name="MRB_die_F">_fossiel_pers!$K$133</definedName>
    <definedName name="MRB_die_groot_taxibus" localSheetId="12">[2]_fossiel_minibus!$M$88</definedName>
    <definedName name="MRB_die_groot_taxibus" localSheetId="14">[2]_fossiel_minibus!$M$88</definedName>
    <definedName name="MRB_die_groot_taxibus">_fossiel_minibus!$M$88</definedName>
    <definedName name="MRB_die_grote_taxibus">[3]_Taxibussen!$K$38</definedName>
    <definedName name="MRB_die_J" localSheetId="12">[2]_fossiel_pers!$K$153</definedName>
    <definedName name="MRB_die_J" localSheetId="14">[2]_fossiel_pers!$K$153</definedName>
    <definedName name="MRB_die_J" localSheetId="1">[3]_Personenauto!$L$153</definedName>
    <definedName name="MRB_die_J" localSheetId="0">[4]_Personenauto!$L$153</definedName>
    <definedName name="MRB_die_J" localSheetId="7">[3]_Personenauto!$L$153</definedName>
    <definedName name="MRB_die_J">_fossiel_pers!$K$153</definedName>
    <definedName name="MRB_die_kleine_taxibus" localSheetId="12">[2]_fossiel_minibus!$M$17</definedName>
    <definedName name="MRB_die_kleine_taxibus" localSheetId="14">[2]_fossiel_minibus!$M$17</definedName>
    <definedName name="MRB_die_kleine_taxibus" localSheetId="1">[3]_Taxibussen!$K$11</definedName>
    <definedName name="MRB_die_kleine_taxibus" localSheetId="7">[3]_Taxibussen!$K$11</definedName>
    <definedName name="MRB_die_kleine_taxibus">_fossiel_minibus!$M$17</definedName>
    <definedName name="MRB_die_L" localSheetId="12">[2]_fossiel_pers!$K$173</definedName>
    <definedName name="MRB_die_L" localSheetId="14">[2]_fossiel_pers!$K$173</definedName>
    <definedName name="MRB_die_L" localSheetId="1">[3]_Personenauto!$L$173</definedName>
    <definedName name="MRB_die_L" localSheetId="0">[4]_Personenauto!$L$173</definedName>
    <definedName name="MRB_die_L" localSheetId="7">[3]_Personenauto!$L$173</definedName>
    <definedName name="MRB_die_L">_fossiel_pers!$K$173</definedName>
    <definedName name="MRB_die_M" localSheetId="12">[2]_fossiel_pers!$K$193</definedName>
    <definedName name="MRB_die_M" localSheetId="14">[2]_fossiel_pers!$K$193</definedName>
    <definedName name="MRB_die_M" localSheetId="1">[3]_Personenauto!$L$193</definedName>
    <definedName name="MRB_die_M" localSheetId="0">[4]_Personenauto!$L$193</definedName>
    <definedName name="MRB_die_M" localSheetId="7">[3]_Personenauto!$L$193</definedName>
    <definedName name="MRB_die_M">_fossiel_pers!$K$193</definedName>
    <definedName name="MRB_die_middel_taxibus" localSheetId="12">[2]_fossiel_minibus!$M$53</definedName>
    <definedName name="MRB_die_middel_taxibus" localSheetId="14">[2]_fossiel_minibus!$M$53</definedName>
    <definedName name="MRB_die_middel_taxibus">_fossiel_minibus!$M$53</definedName>
    <definedName name="MRB_die_rolstoelbus" localSheetId="12">[2]_fossiel_minibus!$M$121</definedName>
    <definedName name="MRB_die_rolstoelbus" localSheetId="14">[2]_fossiel_minibus!$M$121</definedName>
    <definedName name="MRB_die_rolstoelbus" localSheetId="1">[3]_Taxibussen!$K$64</definedName>
    <definedName name="MRB_die_rolstoelbus" localSheetId="7">[3]_Taxibussen!$K$64</definedName>
    <definedName name="MRB_die_rolstoelbus">_fossiel_minibus!$M$121</definedName>
    <definedName name="MRB_die_veegvuilwagen">_fossiel_specials!$M$13</definedName>
    <definedName name="MRB_die_veegwagen">_fossiel_specials!$M$35</definedName>
    <definedName name="MRB_die_vuilniswagen">_fossiel_specials!$M$24</definedName>
    <definedName name="Netto_cat_benz_A" localSheetId="12">[2]Parameters!$J$35</definedName>
    <definedName name="Netto_cat_benz_A" localSheetId="14">[2]Parameters!$J$35</definedName>
    <definedName name="Netto_cat_benz_A" localSheetId="1">[3]Parameters!$I$27</definedName>
    <definedName name="Netto_cat_benz_A" localSheetId="0">[4]Parameters!$I$22</definedName>
    <definedName name="Netto_cat_benz_A" localSheetId="7">[3]Parameters!$I$27</definedName>
    <definedName name="Netto_cat_benz_A">Parameters!$K$35</definedName>
    <definedName name="Netto_cat_benz_B" localSheetId="12">[2]Parameters!$J$36</definedName>
    <definedName name="Netto_cat_benz_B" localSheetId="14">[2]Parameters!$J$36</definedName>
    <definedName name="Netto_cat_benz_B" localSheetId="1">[3]Parameters!$I$28</definedName>
    <definedName name="Netto_cat_benz_B" localSheetId="0">[4]Parameters!$I$23</definedName>
    <definedName name="Netto_cat_benz_B" localSheetId="7">[3]Parameters!$I$28</definedName>
    <definedName name="Netto_cat_benz_B">Parameters!$K$36</definedName>
    <definedName name="Netto_cat_benz_bestel_groot" localSheetId="12">[2]Parameters!$J$53</definedName>
    <definedName name="Netto_cat_benz_bestel_groot" localSheetId="14">[2]Parameters!$J$53</definedName>
    <definedName name="Netto_cat_benz_bestel_groot">Parameters!$K$53</definedName>
    <definedName name="Netto_cat_benz_bestel_klein" localSheetId="12">[2]Parameters!$J$51</definedName>
    <definedName name="Netto_cat_benz_bestel_klein" localSheetId="14">[2]Parameters!$J$51</definedName>
    <definedName name="Netto_cat_benz_bestel_klein">Parameters!$K$51</definedName>
    <definedName name="Netto_cat_benz_bestel_middel" localSheetId="12">[2]Parameters!$J$52</definedName>
    <definedName name="Netto_cat_benz_bestel_middel" localSheetId="14">[2]Parameters!$J$52</definedName>
    <definedName name="Netto_cat_benz_bestel_middel">Parameters!$K$52</definedName>
    <definedName name="Netto_cat_benz_C" localSheetId="12">[2]Parameters!$J$37</definedName>
    <definedName name="Netto_cat_benz_C" localSheetId="14">[2]Parameters!$J$37</definedName>
    <definedName name="Netto_cat_benz_C" localSheetId="1">[3]Parameters!$I$29</definedName>
    <definedName name="Netto_cat_benz_C" localSheetId="0">[4]Parameters!$I$24</definedName>
    <definedName name="Netto_cat_benz_C" localSheetId="7">[3]Parameters!$I$29</definedName>
    <definedName name="Netto_cat_benz_C">Parameters!$K$37</definedName>
    <definedName name="Netto_cat_benz_D" localSheetId="12">[2]Parameters!$J$38</definedName>
    <definedName name="Netto_cat_benz_D" localSheetId="14">[2]Parameters!$J$38</definedName>
    <definedName name="Netto_cat_benz_D" localSheetId="1">[3]Parameters!$I$30</definedName>
    <definedName name="Netto_cat_benz_D" localSheetId="0">[4]Parameters!$I$25</definedName>
    <definedName name="Netto_cat_benz_D" localSheetId="7">[3]Parameters!$I$30</definedName>
    <definedName name="Netto_cat_benz_D">Parameters!$K$38</definedName>
    <definedName name="Netto_cat_benz_E" localSheetId="12">[2]Parameters!$J$39</definedName>
    <definedName name="Netto_cat_benz_E" localSheetId="14">[2]Parameters!$J$39</definedName>
    <definedName name="Netto_cat_benz_E" localSheetId="1">[3]Parameters!$I$31</definedName>
    <definedName name="Netto_cat_benz_E" localSheetId="0">[4]Parameters!$I$26</definedName>
    <definedName name="Netto_cat_benz_E" localSheetId="7">[3]Parameters!$I$31</definedName>
    <definedName name="Netto_cat_benz_E">Parameters!$K$39</definedName>
    <definedName name="Netto_cat_benz_F" localSheetId="12">[2]Parameters!$J$40</definedName>
    <definedName name="Netto_cat_benz_F" localSheetId="14">[2]Parameters!$J$40</definedName>
    <definedName name="Netto_cat_benz_F" localSheetId="1">[3]Parameters!$I$32</definedName>
    <definedName name="Netto_cat_benz_F" localSheetId="0">[4]Parameters!$I$27</definedName>
    <definedName name="Netto_cat_benz_F" localSheetId="7">[3]Parameters!$I$32</definedName>
    <definedName name="Netto_cat_benz_F">Parameters!$K$40</definedName>
    <definedName name="Netto_cat_benz_J" localSheetId="12">[2]Parameters!$J$41</definedName>
    <definedName name="Netto_cat_benz_J" localSheetId="14">[2]Parameters!$J$41</definedName>
    <definedName name="Netto_cat_benz_J">Parameters!$K$41</definedName>
    <definedName name="Netto_cat_benz_K" localSheetId="12">[2]Parameters!$J$42</definedName>
    <definedName name="Netto_cat_benz_K" localSheetId="14">[2]Parameters!$J$42</definedName>
    <definedName name="Netto_cat_benz_K">Parameters!$K$42</definedName>
    <definedName name="Netto_cat_benz_L" localSheetId="12">[2]Parameters!$J$43</definedName>
    <definedName name="Netto_cat_benz_L" localSheetId="14">[2]Parameters!$J$43</definedName>
    <definedName name="Netto_cat_benz_L" localSheetId="1">[3]Parameters!$I$34</definedName>
    <definedName name="Netto_cat_benz_L" localSheetId="0">[4]Parameters!$I$29</definedName>
    <definedName name="Netto_cat_benz_L" localSheetId="7">[3]Parameters!$I$34</definedName>
    <definedName name="Netto_cat_benz_L">Parameters!$K$43</definedName>
    <definedName name="Netto_cat_benz_M" localSheetId="12">[2]Parameters!$J$44</definedName>
    <definedName name="Netto_cat_benz_M" localSheetId="14">[2]Parameters!$J$44</definedName>
    <definedName name="Netto_cat_benz_M" localSheetId="1">[3]Parameters!$I$35</definedName>
    <definedName name="Netto_cat_benz_M" localSheetId="0">[4]Parameters!$I$30</definedName>
    <definedName name="Netto_cat_benz_M" localSheetId="7">[3]Parameters!$I$35</definedName>
    <definedName name="Netto_cat_benz_M">Parameters!$K$44</definedName>
    <definedName name="Netto_cat_benz_rolstoelbus" localSheetId="12">[2]Parameters!$J$49</definedName>
    <definedName name="Netto_cat_benz_rolstoelbus" localSheetId="14">[2]Parameters!$J$49</definedName>
    <definedName name="Netto_cat_benz_rolstoelbus" localSheetId="1">[3]Parameters!$I$39</definedName>
    <definedName name="Netto_cat_benz_rolstoelbus" localSheetId="7">[3]Parameters!$I$39</definedName>
    <definedName name="Netto_cat_benz_rolstoelbus">Parameters!$K$49</definedName>
    <definedName name="Netto_cat_benz_taxibus_groot" localSheetId="12">[2]Parameters!$J$48</definedName>
    <definedName name="Netto_cat_benz_taxibus_groot" localSheetId="14">[2]Parameters!$J$48</definedName>
    <definedName name="Netto_cat_benz_taxibus_groot" localSheetId="1">[3]Parameters!$I$38</definedName>
    <definedName name="Netto_cat_benz_taxibus_groot" localSheetId="7">[3]Parameters!$I$38</definedName>
    <definedName name="Netto_cat_benz_taxibus_groot">Parameters!$K$48</definedName>
    <definedName name="Netto_cat_benz_taxibus_klein" localSheetId="12">[2]Parameters!$J$46</definedName>
    <definedName name="Netto_cat_benz_taxibus_klein" localSheetId="14">[2]Parameters!$J$46</definedName>
    <definedName name="Netto_cat_benz_taxibus_klein" localSheetId="1">[3]Parameters!$I$37</definedName>
    <definedName name="Netto_cat_benz_taxibus_klein" localSheetId="7">[3]Parameters!$I$37</definedName>
    <definedName name="Netto_cat_benz_taxibus_klein">Parameters!$K$46</definedName>
    <definedName name="Netto_cat_benz_taxibus_middel" localSheetId="12">[2]Parameters!$J$47</definedName>
    <definedName name="Netto_cat_benz_taxibus_middel" localSheetId="14">[2]Parameters!$J$47</definedName>
    <definedName name="Netto_cat_benz_taxibus_middel">Parameters!$K$47</definedName>
    <definedName name="Netto_cat_bestel_groot">Parameters!$K$53</definedName>
    <definedName name="Netto_cat_bestel_klein">Parameters!$K$51</definedName>
    <definedName name="Netto_cat_bestel_middel">Parameters!$K$52</definedName>
    <definedName name="Netto_cat_BEV_A" localSheetId="12">[2]Parameters!$J$83</definedName>
    <definedName name="Netto_cat_BEV_A" localSheetId="14">[2]Parameters!$J$83</definedName>
    <definedName name="Netto_cat_BEV_A" localSheetId="1">[3]Parameters!$I$71</definedName>
    <definedName name="Netto_cat_BEV_A" localSheetId="0">[4]Parameters!$I$39</definedName>
    <definedName name="Netto_cat_BEV_A" localSheetId="7">[3]Parameters!$I$71</definedName>
    <definedName name="Netto_cat_BEV_A">Parameters!$K$83</definedName>
    <definedName name="Netto_cat_BEV_B" localSheetId="12">[2]Parameters!$J$84</definedName>
    <definedName name="Netto_cat_BEV_B" localSheetId="14">[2]Parameters!$J$84</definedName>
    <definedName name="Netto_cat_BEV_B" localSheetId="1">[3]Parameters!$I$72</definedName>
    <definedName name="Netto_cat_BEV_B" localSheetId="0">[4]Parameters!$I$40</definedName>
    <definedName name="Netto_cat_BEV_B" localSheetId="7">[3]Parameters!$I$72</definedName>
    <definedName name="Netto_cat_BEV_B">Parameters!$K$84</definedName>
    <definedName name="Netto_cat_BEV_bestel_groot" localSheetId="12">[2]Parameters!$J$101</definedName>
    <definedName name="Netto_cat_BEV_bestel_groot" localSheetId="14">[2]Parameters!$J$101</definedName>
    <definedName name="Netto_cat_BEV_bestel_groot" localSheetId="1">[3]Parameters!$I$89</definedName>
    <definedName name="Netto_cat_BEV_bestel_groot" localSheetId="0">[4]Parameters!$I$50</definedName>
    <definedName name="Netto_cat_BEV_bestel_groot" localSheetId="7">[3]Parameters!$I$89</definedName>
    <definedName name="Netto_cat_BEV_bestel_groot">Parameters!$K$101</definedName>
    <definedName name="Netto_cat_BEV_bestel_klein" localSheetId="12">[2]Parameters!$J$99</definedName>
    <definedName name="Netto_cat_BEV_bestel_klein" localSheetId="14">[2]Parameters!$J$99</definedName>
    <definedName name="Netto_cat_BEV_bestel_klein" localSheetId="1">[3]Parameters!$I$87</definedName>
    <definedName name="Netto_cat_BEV_bestel_klein" localSheetId="0">[4]Parameters!$I$48</definedName>
    <definedName name="Netto_cat_BEV_bestel_klein" localSheetId="7">[3]Parameters!$I$87</definedName>
    <definedName name="Netto_cat_BEV_bestel_klein">Parameters!$K$99</definedName>
    <definedName name="Netto_cat_BEV_bestel_middel" localSheetId="12">[2]Parameters!$J$100</definedName>
    <definedName name="Netto_cat_BEV_bestel_middel" localSheetId="14">[2]Parameters!$J$100</definedName>
    <definedName name="Netto_cat_BEV_bestel_middel" localSheetId="0">[4]Parameters!$I$49</definedName>
    <definedName name="Netto_cat_BEV_bestel_middel">Parameters!$K$100</definedName>
    <definedName name="Netto_cat_BEV_C" localSheetId="12">[2]Parameters!$J$85</definedName>
    <definedName name="Netto_cat_BEV_C" localSheetId="14">[2]Parameters!$J$85</definedName>
    <definedName name="Netto_cat_BEV_C" localSheetId="1">[3]Parameters!$I$73</definedName>
    <definedName name="Netto_cat_BEV_C" localSheetId="0">[4]Parameters!$I$41</definedName>
    <definedName name="Netto_cat_BEV_C" localSheetId="7">[3]Parameters!$I$73</definedName>
    <definedName name="Netto_cat_BEV_C">Parameters!$K$85</definedName>
    <definedName name="Netto_cat_BEV_D" localSheetId="12">[2]Parameters!$J$86</definedName>
    <definedName name="Netto_cat_BEV_D" localSheetId="14">[2]Parameters!$J$86</definedName>
    <definedName name="Netto_cat_BEV_D" localSheetId="1">[3]Parameters!$I$74</definedName>
    <definedName name="Netto_cat_BEV_D" localSheetId="0">[4]Parameters!$I$42</definedName>
    <definedName name="Netto_cat_BEV_D" localSheetId="7">[3]Parameters!$I$74</definedName>
    <definedName name="Netto_cat_BEV_D">Parameters!$K$86</definedName>
    <definedName name="Netto_cat_BEV_E" localSheetId="12">[2]Parameters!$J$87</definedName>
    <definedName name="Netto_cat_BEV_E" localSheetId="14">[2]Parameters!$J$87</definedName>
    <definedName name="Netto_cat_BEV_E" localSheetId="1">[3]Parameters!$I$75</definedName>
    <definedName name="Netto_cat_BEV_E" localSheetId="0">[4]Parameters!$I$43</definedName>
    <definedName name="Netto_cat_BEV_E" localSheetId="7">[3]Parameters!$I$75</definedName>
    <definedName name="Netto_cat_BEV_E">Parameters!$K$87</definedName>
    <definedName name="Netto_cat_BEV_F" localSheetId="12">[2]Parameters!$J$88</definedName>
    <definedName name="Netto_cat_BEV_F" localSheetId="14">[2]Parameters!$J$88</definedName>
    <definedName name="Netto_cat_BEV_F" localSheetId="1">[3]Parameters!$I$76</definedName>
    <definedName name="Netto_cat_BEV_F" localSheetId="0">[4]Parameters!$I$44</definedName>
    <definedName name="Netto_cat_BEV_F" localSheetId="7">[3]Parameters!$I$76</definedName>
    <definedName name="Netto_cat_BEV_F">Parameters!$K$88</definedName>
    <definedName name="Netto_cat_BEV_J" localSheetId="12">[2]Parameters!$J$89</definedName>
    <definedName name="Netto_cat_BEV_J" localSheetId="14">[2]Parameters!$J$89</definedName>
    <definedName name="Netto_cat_BEV_J">Parameters!$K$89</definedName>
    <definedName name="Netto_cat_BEV_K" localSheetId="12">[2]Parameters!$J$90</definedName>
    <definedName name="Netto_cat_BEV_K" localSheetId="14">[2]Parameters!$J$90</definedName>
    <definedName name="Netto_cat_BEV_K">Parameters!$K$90</definedName>
    <definedName name="Netto_cat_BEV_L" localSheetId="12">[2]Parameters!$J$91</definedName>
    <definedName name="Netto_cat_BEV_L" localSheetId="14">[2]Parameters!$J$91</definedName>
    <definedName name="Netto_cat_BEV_L" localSheetId="1">[3]Parameters!$I$78</definedName>
    <definedName name="Netto_cat_BEV_L" localSheetId="0">[4]Parameters!$I$46</definedName>
    <definedName name="Netto_cat_BEV_L" localSheetId="7">[3]Parameters!$I$78</definedName>
    <definedName name="Netto_cat_BEV_L">Parameters!$K$91</definedName>
    <definedName name="Netto_cat_BEV_M" localSheetId="12">[2]Parameters!$J$92</definedName>
    <definedName name="Netto_cat_BEV_M" localSheetId="14">[2]Parameters!$J$92</definedName>
    <definedName name="Netto_cat_BEV_M" localSheetId="1">[3]Parameters!$I$79</definedName>
    <definedName name="Netto_cat_BEV_M" localSheetId="0">[4]Parameters!$I$47</definedName>
    <definedName name="Netto_cat_BEV_M" localSheetId="7">[3]Parameters!$I$79</definedName>
    <definedName name="Netto_cat_BEV_M">Parameters!$K$92</definedName>
    <definedName name="Netto_cat_BEV_rolstoelbus" localSheetId="12">[2]Parameters!$J$97</definedName>
    <definedName name="Netto_cat_BEV_rolstoelbus" localSheetId="14">[2]Parameters!$J$97</definedName>
    <definedName name="Netto_cat_BEV_rolstoelbus" localSheetId="1">[3]Parameters!$I$85</definedName>
    <definedName name="Netto_cat_BEV_rolstoelbus" localSheetId="7">[3]Parameters!$I$85</definedName>
    <definedName name="Netto_cat_BEV_rolstoelbus">Parameters!$K$97</definedName>
    <definedName name="Netto_cat_BEV_rolstoelbus_ombouw" localSheetId="12">[2]Parameters!#REF!</definedName>
    <definedName name="Netto_cat_BEV_rolstoelbus_ombouw" localSheetId="14">[2]Parameters!#REF!</definedName>
    <definedName name="Netto_cat_BEV_rolstoelbus_ombouw" localSheetId="1">[3]Parameters!$I$84</definedName>
    <definedName name="Netto_cat_BEV_rolstoelbus_ombouw" localSheetId="3">Parameters!#REF!</definedName>
    <definedName name="Netto_cat_BEV_rolstoelbus_ombouw" localSheetId="7">[3]Parameters!$I$84</definedName>
    <definedName name="Netto_cat_BEV_rolstoelbus_ombouw">Parameters!#REF!</definedName>
    <definedName name="Netto_cat_BEV_taxibus_groot" localSheetId="12">[2]Parameters!$J$96</definedName>
    <definedName name="Netto_cat_BEV_taxibus_groot" localSheetId="14">[2]Parameters!$J$96</definedName>
    <definedName name="Netto_cat_BEV_taxibus_groot" localSheetId="1">[3]Parameters!$I$83</definedName>
    <definedName name="Netto_cat_BEV_taxibus_groot" localSheetId="7">[3]Parameters!$I$83</definedName>
    <definedName name="Netto_cat_BEV_taxibus_groot">Parameters!$K$96</definedName>
    <definedName name="Netto_cat_BEV_taxibus_groot_ombouw" localSheetId="12">[2]Parameters!#REF!</definedName>
    <definedName name="Netto_cat_BEV_taxibus_groot_ombouw" localSheetId="14">[2]Parameters!#REF!</definedName>
    <definedName name="Netto_cat_BEV_taxibus_groot_ombouw" localSheetId="1">[3]Parameters!$I$82</definedName>
    <definedName name="Netto_cat_BEV_taxibus_groot_ombouw" localSheetId="3">Parameters!#REF!</definedName>
    <definedName name="Netto_cat_BEV_taxibus_groot_ombouw" localSheetId="7">[3]Parameters!$I$82</definedName>
    <definedName name="Netto_cat_BEV_taxibus_groot_ombouw">Parameters!#REF!</definedName>
    <definedName name="Netto_cat_BEV_taxibus_klein" localSheetId="12">[2]Parameters!$J$94</definedName>
    <definedName name="Netto_cat_BEV_taxibus_klein" localSheetId="14">[2]Parameters!$J$94</definedName>
    <definedName name="Netto_cat_BEV_taxibus_klein" localSheetId="1">[3]Parameters!$I$81</definedName>
    <definedName name="Netto_cat_BEV_taxibus_klein" localSheetId="7">[3]Parameters!$I$81</definedName>
    <definedName name="Netto_cat_BEV_taxibus_klein">Parameters!$K$94</definedName>
    <definedName name="Netto_cat_BEV_taxibus_middel" localSheetId="12">[2]Parameters!$J$95</definedName>
    <definedName name="Netto_cat_BEV_taxibus_middel" localSheetId="14">[2]Parameters!$J$95</definedName>
    <definedName name="Netto_cat_BEV_taxibus_middel">Parameters!$K$95</definedName>
    <definedName name="Netto_cat_BEV_veegvuilwagen">Parameters!$K$103</definedName>
    <definedName name="Netto_cat_BEV_veegwagen">Parameters!$K$105</definedName>
    <definedName name="Netto_cat_BEV_vuilniswagen">Parameters!$K$104</definedName>
    <definedName name="Netto_cat_CNG_A" localSheetId="12">[2]Parameters!$J$59</definedName>
    <definedName name="Netto_cat_CNG_A" localSheetId="14">[2]Parameters!$J$59</definedName>
    <definedName name="Netto_cat_CNG_A" localSheetId="1">[3]Parameters!$I$49</definedName>
    <definedName name="Netto_cat_CNG_A" localSheetId="7">[3]Parameters!$I$49</definedName>
    <definedName name="Netto_cat_CNG_A">Parameters!$K$59</definedName>
    <definedName name="Netto_cat_CNG_B" localSheetId="12">[2]Parameters!$J$60</definedName>
    <definedName name="Netto_cat_CNG_B" localSheetId="14">[2]Parameters!$J$60</definedName>
    <definedName name="Netto_cat_CNG_B" localSheetId="1">[3]Parameters!$I$50</definedName>
    <definedName name="Netto_cat_CNG_B" localSheetId="7">[3]Parameters!$I$50</definedName>
    <definedName name="Netto_cat_CNG_B">Parameters!$K$60</definedName>
    <definedName name="Netto_cat_CNG_bestel_groot" localSheetId="12">[2]Parameters!$J$77</definedName>
    <definedName name="Netto_cat_CNG_bestel_groot" localSheetId="14">[2]Parameters!$J$77</definedName>
    <definedName name="Netto_cat_CNG_bestel_groot">Parameters!$K$77</definedName>
    <definedName name="Netto_cat_CNG_bestel_klein" localSheetId="12">[2]Parameters!$J$75</definedName>
    <definedName name="Netto_cat_CNG_bestel_klein" localSheetId="14">[2]Parameters!$J$75</definedName>
    <definedName name="Netto_cat_CNG_bestel_klein">Parameters!$K$75</definedName>
    <definedName name="Netto_cat_CNG_bestel_middel" localSheetId="12">[2]Parameters!$J$76</definedName>
    <definedName name="Netto_cat_CNG_bestel_middel" localSheetId="14">[2]Parameters!$J$76</definedName>
    <definedName name="Netto_cat_CNG_bestel_middel">Parameters!$K$76</definedName>
    <definedName name="Netto_cat_CNG_C" localSheetId="12">[2]Parameters!$J$61</definedName>
    <definedName name="Netto_cat_CNG_C" localSheetId="14">[2]Parameters!$J$61</definedName>
    <definedName name="Netto_cat_CNG_C" localSheetId="1">[3]Parameters!$I$51</definedName>
    <definedName name="Netto_cat_CNG_C" localSheetId="7">[3]Parameters!$I$51</definedName>
    <definedName name="Netto_cat_CNG_C">Parameters!$K$61</definedName>
    <definedName name="Netto_cat_CNG_D" localSheetId="12">[2]Parameters!$J$62</definedName>
    <definedName name="Netto_cat_CNG_D" localSheetId="14">[2]Parameters!$J$62</definedName>
    <definedName name="Netto_cat_CNG_D" localSheetId="1">[3]Parameters!$I$52</definedName>
    <definedName name="Netto_cat_CNG_D" localSheetId="7">[3]Parameters!$I$52</definedName>
    <definedName name="Netto_cat_CNG_D">Parameters!$K$62</definedName>
    <definedName name="Netto_cat_CNG_E" localSheetId="12">[2]Parameters!$J$63</definedName>
    <definedName name="Netto_cat_CNG_E" localSheetId="14">[2]Parameters!$J$63</definedName>
    <definedName name="Netto_cat_CNG_E" localSheetId="1">[3]Parameters!$I$53</definedName>
    <definedName name="Netto_cat_CNG_E" localSheetId="7">[3]Parameters!$I$53</definedName>
    <definedName name="Netto_cat_CNG_E">Parameters!$K$63</definedName>
    <definedName name="Netto_cat_CNG_F" localSheetId="12">[2]Parameters!$J$64</definedName>
    <definedName name="Netto_cat_CNG_F" localSheetId="14">[2]Parameters!$J$64</definedName>
    <definedName name="Netto_cat_CNG_F" localSheetId="1">[3]Parameters!$I$54</definedName>
    <definedName name="Netto_cat_CNG_F" localSheetId="7">[3]Parameters!$I$54</definedName>
    <definedName name="Netto_cat_CNG_F">Parameters!$K$64</definedName>
    <definedName name="Netto_cat_CNG_J" localSheetId="12">[2]Parameters!$J$65</definedName>
    <definedName name="Netto_cat_CNG_J" localSheetId="14">[2]Parameters!$J$65</definedName>
    <definedName name="Netto_cat_CNG_J">Parameters!$K$65</definedName>
    <definedName name="Netto_cat_CNG_K" localSheetId="12">[2]Parameters!$J$66</definedName>
    <definedName name="Netto_cat_CNG_K" localSheetId="14">[2]Parameters!$J$66</definedName>
    <definedName name="Netto_cat_CNG_K">Parameters!$K$66</definedName>
    <definedName name="Netto_cat_CNG_L" localSheetId="12">[2]Parameters!$J$67</definedName>
    <definedName name="Netto_cat_CNG_L" localSheetId="14">[2]Parameters!$J$67</definedName>
    <definedName name="Netto_cat_CNG_L" localSheetId="1">[3]Parameters!$I$56</definedName>
    <definedName name="Netto_cat_CNG_L" localSheetId="7">[3]Parameters!$I$56</definedName>
    <definedName name="Netto_cat_CNG_L">Parameters!$K$67</definedName>
    <definedName name="Netto_cat_CNG_M" localSheetId="12">[2]Parameters!$J$68</definedName>
    <definedName name="Netto_cat_CNG_M" localSheetId="14">[2]Parameters!$J$68</definedName>
    <definedName name="Netto_cat_CNG_M" localSheetId="1">[3]Parameters!$I$57</definedName>
    <definedName name="Netto_cat_CNG_M" localSheetId="7">[3]Parameters!$I$57</definedName>
    <definedName name="Netto_cat_CNG_M">Parameters!$K$68</definedName>
    <definedName name="Netto_cat_CNG_rolstoelbus" localSheetId="12">[2]Parameters!$J$73</definedName>
    <definedName name="Netto_cat_CNG_rolstoelbus" localSheetId="14">[2]Parameters!$J$73</definedName>
    <definedName name="Netto_cat_CNG_rolstoelbus" localSheetId="1">[3]Parameters!$I$61</definedName>
    <definedName name="Netto_cat_CNG_rolstoelbus" localSheetId="7">[3]Parameters!$I$61</definedName>
    <definedName name="Netto_cat_CNG_rolstoelbus">Parameters!$K$73</definedName>
    <definedName name="Netto_cat_CNG_taxibus_groot" localSheetId="12">[2]Parameters!$J$72</definedName>
    <definedName name="Netto_cat_CNG_taxibus_groot" localSheetId="14">[2]Parameters!$J$72</definedName>
    <definedName name="Netto_cat_CNG_taxibus_groot" localSheetId="1">[3]Parameters!$I$60</definedName>
    <definedName name="Netto_cat_CNG_taxibus_groot" localSheetId="7">[3]Parameters!$I$60</definedName>
    <definedName name="Netto_cat_CNG_taxibus_groot">Parameters!$K$72</definedName>
    <definedName name="Netto_cat_CNG_taxibus_klein" localSheetId="12">[2]Parameters!$J$70</definedName>
    <definedName name="Netto_cat_CNG_taxibus_klein" localSheetId="14">[2]Parameters!$J$70</definedName>
    <definedName name="Netto_cat_CNG_taxibus_klein" localSheetId="1">[3]Parameters!$I$59</definedName>
    <definedName name="Netto_cat_CNG_taxibus_klein" localSheetId="7">[3]Parameters!$I$59</definedName>
    <definedName name="Netto_cat_CNG_taxibus_klein">Parameters!$K$70</definedName>
    <definedName name="Netto_cat_CNG_taxibus_middel" localSheetId="12">[2]Parameters!$J$71</definedName>
    <definedName name="Netto_cat_CNG_taxibus_middel" localSheetId="14">[2]Parameters!$J$71</definedName>
    <definedName name="Netto_cat_CNG_taxibus_middel">Parameters!$K$71</definedName>
    <definedName name="Netto_cat_die_A">Parameters!$K$7</definedName>
    <definedName name="Netto_cat_die_B" localSheetId="12">[2]Parameters!$J$8</definedName>
    <definedName name="Netto_cat_die_B" localSheetId="14">[2]Parameters!$J$8</definedName>
    <definedName name="Netto_cat_die_B" localSheetId="1">[3]Parameters!$I$6</definedName>
    <definedName name="Netto_cat_die_B" localSheetId="0">[4]Parameters!$I$6</definedName>
    <definedName name="Netto_cat_die_B" localSheetId="7">[3]Parameters!$I$6</definedName>
    <definedName name="Netto_cat_die_B">Parameters!$K$8</definedName>
    <definedName name="Netto_cat_die_bestel_groot" localSheetId="12">[2]Parameters!$J$25</definedName>
    <definedName name="Netto_cat_die_bestel_groot" localSheetId="14">[2]Parameters!$J$25</definedName>
    <definedName name="Netto_cat_die_bestel_groot" localSheetId="0">[4]Parameters!$I$16</definedName>
    <definedName name="Netto_cat_die_bestel_groot">Parameters!$K$25</definedName>
    <definedName name="Netto_cat_die_bestel_klein" localSheetId="12">[2]Parameters!$J$23</definedName>
    <definedName name="Netto_cat_die_bestel_klein" localSheetId="14">[2]Parameters!$J$23</definedName>
    <definedName name="Netto_cat_die_bestel_klein" localSheetId="0">[4]Parameters!$I$14</definedName>
    <definedName name="Netto_cat_die_bestel_klein">Parameters!$K$23</definedName>
    <definedName name="Netto_cat_die_bestel_middel" localSheetId="12">[2]Parameters!$J$24</definedName>
    <definedName name="Netto_cat_die_bestel_middel" localSheetId="14">[2]Parameters!$J$24</definedName>
    <definedName name="Netto_cat_die_bestel_middel" localSheetId="0">[4]Parameters!$I$15</definedName>
    <definedName name="Netto_cat_die_bestel_middel">Parameters!$K$24</definedName>
    <definedName name="Netto_cat_die_C" localSheetId="12">[2]Parameters!$J$9</definedName>
    <definedName name="Netto_cat_die_C" localSheetId="14">[2]Parameters!$J$9</definedName>
    <definedName name="Netto_cat_die_C" localSheetId="1">[3]Parameters!$I$7</definedName>
    <definedName name="Netto_cat_die_C" localSheetId="0">[4]Parameters!$I$7</definedName>
    <definedName name="Netto_cat_die_C" localSheetId="7">[3]Parameters!$I$7</definedName>
    <definedName name="Netto_cat_die_C">Parameters!$K$9</definedName>
    <definedName name="Netto_cat_die_D" localSheetId="12">[2]Parameters!$J$10</definedName>
    <definedName name="Netto_cat_die_D" localSheetId="14">[2]Parameters!$J$10</definedName>
    <definedName name="Netto_cat_die_D" localSheetId="1">[3]Parameters!$I$8</definedName>
    <definedName name="Netto_cat_die_D" localSheetId="0">[4]Parameters!$I$8</definedName>
    <definedName name="Netto_cat_die_D" localSheetId="7">[3]Parameters!$I$8</definedName>
    <definedName name="Netto_cat_die_D">Parameters!$K$10</definedName>
    <definedName name="Netto_cat_die_E" localSheetId="12">[2]Parameters!$J$11</definedName>
    <definedName name="Netto_cat_die_E" localSheetId="14">[2]Parameters!$J$11</definedName>
    <definedName name="Netto_cat_die_E" localSheetId="1">[3]Parameters!$I$9</definedName>
    <definedName name="Netto_cat_die_E" localSheetId="0">[4]Parameters!$I$9</definedName>
    <definedName name="Netto_cat_die_E" localSheetId="7">[3]Parameters!$I$9</definedName>
    <definedName name="Netto_cat_die_E">Parameters!$K$11</definedName>
    <definedName name="Netto_cat_die_F" localSheetId="12">[2]Parameters!$J$12</definedName>
    <definedName name="Netto_cat_die_F" localSheetId="14">[2]Parameters!$J$12</definedName>
    <definedName name="Netto_cat_die_F" localSheetId="1">[3]Parameters!$I$10</definedName>
    <definedName name="Netto_cat_die_F" localSheetId="0">[4]Parameters!$I$10</definedName>
    <definedName name="Netto_cat_die_F" localSheetId="7">[3]Parameters!$I$10</definedName>
    <definedName name="Netto_cat_die_F">Parameters!$K$12</definedName>
    <definedName name="Netto_cat_die_G" localSheetId="12">[2]Parameters!#REF!</definedName>
    <definedName name="Netto_cat_die_G" localSheetId="14">[2]Parameters!#REF!</definedName>
    <definedName name="Netto_cat_die_G">Parameters!#REF!</definedName>
    <definedName name="Netto_cat_die_H" localSheetId="12">[2]Parameters!#REF!</definedName>
    <definedName name="Netto_cat_die_H" localSheetId="14">[2]Parameters!#REF!</definedName>
    <definedName name="Netto_cat_die_H">Parameters!#REF!</definedName>
    <definedName name="Netto_cat_die_I" localSheetId="12">[2]Parameters!#REF!</definedName>
    <definedName name="Netto_cat_die_I" localSheetId="14">[2]Parameters!#REF!</definedName>
    <definedName name="Netto_cat_die_I">Parameters!#REF!</definedName>
    <definedName name="Netto_cat_die_J" localSheetId="12">[2]Parameters!$J$13</definedName>
    <definedName name="Netto_cat_die_J" localSheetId="14">[2]Parameters!$J$13</definedName>
    <definedName name="Netto_cat_die_J">Parameters!$K$13</definedName>
    <definedName name="Netto_cat_die_K" localSheetId="12">[2]Parameters!$J$14</definedName>
    <definedName name="Netto_cat_die_K" localSheetId="14">[2]Parameters!$J$14</definedName>
    <definedName name="Netto_cat_die_K">Parameters!$K$14</definedName>
    <definedName name="Netto_cat_die_L" localSheetId="12">[2]Parameters!$J$15</definedName>
    <definedName name="Netto_cat_die_L" localSheetId="14">[2]Parameters!$J$15</definedName>
    <definedName name="Netto_cat_die_L" localSheetId="1">[3]Parameters!$I$12</definedName>
    <definedName name="Netto_cat_die_L" localSheetId="0">[4]Parameters!$I$12</definedName>
    <definedName name="Netto_cat_die_L" localSheetId="7">[3]Parameters!$I$12</definedName>
    <definedName name="Netto_cat_die_L">Parameters!$K$15</definedName>
    <definedName name="Netto_cat_die_M" localSheetId="12">[2]Parameters!$J$16</definedName>
    <definedName name="Netto_cat_die_M" localSheetId="14">[2]Parameters!$J$16</definedName>
    <definedName name="Netto_cat_die_M" localSheetId="1">[3]Parameters!$I$13</definedName>
    <definedName name="Netto_cat_die_M" localSheetId="0">[4]Parameters!$I$13</definedName>
    <definedName name="Netto_cat_die_M" localSheetId="7">[3]Parameters!$I$13</definedName>
    <definedName name="Netto_cat_die_M">Parameters!$K$16</definedName>
    <definedName name="Netto_cat_die_rolstoelbus" localSheetId="12">[2]Parameters!$J$21</definedName>
    <definedName name="Netto_cat_die_rolstoelbus" localSheetId="14">[2]Parameters!$J$21</definedName>
    <definedName name="Netto_cat_die_rolstoelbus" localSheetId="1">[3]Parameters!$I$17</definedName>
    <definedName name="Netto_cat_die_rolstoelbus" localSheetId="7">[3]Parameters!$I$17</definedName>
    <definedName name="Netto_cat_die_rolstoelbus">Parameters!$K$21</definedName>
    <definedName name="Netto_cat_die_taxibus_groot" localSheetId="12">[2]Parameters!$J$20</definedName>
    <definedName name="Netto_cat_die_taxibus_groot" localSheetId="14">[2]Parameters!$J$20</definedName>
    <definedName name="Netto_cat_die_taxibus_groot" localSheetId="1">[3]Parameters!$I$16</definedName>
    <definedName name="Netto_cat_die_taxibus_groot" localSheetId="7">[3]Parameters!$I$16</definedName>
    <definedName name="Netto_cat_die_taxibus_groot">Parameters!$K$20</definedName>
    <definedName name="Netto_cat_die_taxibus_klein" localSheetId="12">[2]Parameters!$J$18</definedName>
    <definedName name="Netto_cat_die_taxibus_klein" localSheetId="14">[2]Parameters!$J$18</definedName>
    <definedName name="Netto_cat_die_taxibus_klein" localSheetId="1">[3]Parameters!$I$15</definedName>
    <definedName name="Netto_cat_die_taxibus_klein" localSheetId="7">[3]Parameters!$I$15</definedName>
    <definedName name="Netto_cat_die_taxibus_klein">Parameters!$K$18</definedName>
    <definedName name="Netto_cat_die_taxibus_middel" localSheetId="12">[2]Parameters!$J$19</definedName>
    <definedName name="Netto_cat_die_taxibus_middel" localSheetId="14">[2]Parameters!$J$19</definedName>
    <definedName name="Netto_cat_die_taxibus_middel">Parameters!$K$19</definedName>
    <definedName name="Netto_cat_die_veegmachine">[2]Parameters!#REF!</definedName>
    <definedName name="Netto_cat_die_veegvuilwagen">_fossiel_specials!$I$13</definedName>
    <definedName name="Netto_cat_die_veegvuilwagen1">_fossiel_specials!$I$13</definedName>
    <definedName name="Netto_cat_die_veegvuilwagens">_fossiel_specials!$I$13</definedName>
    <definedName name="Netto_cat_die_veegwagen">Parameters!$K$29</definedName>
    <definedName name="Netto_cat_die_vuilniswagen">Parameters!$K$28</definedName>
    <definedName name="Netto_cat_FCEV_A">Parameters!$K$111</definedName>
    <definedName name="Netto_cat_FCEV_B">Parameters!$K$112</definedName>
    <definedName name="Netto_cat_FCEV_bestel_groot">Parameters!$K$129</definedName>
    <definedName name="Netto_cat_FCEV_bestel_klein">Parameters!$K$127</definedName>
    <definedName name="Netto_cat_FCEV_bestel_middel">Parameters!$K$128</definedName>
    <definedName name="Netto_cat_FCEV_C">Parameters!$K$113</definedName>
    <definedName name="Netto_cat_FCEV_D">Parameters!$K$114</definedName>
    <definedName name="Netto_cat_FCEV_E">Parameters!$K$115</definedName>
    <definedName name="Netto_cat_FCEV_F">Parameters!$K$116</definedName>
    <definedName name="Netto_cat_FCEV_J">Parameters!$K$117</definedName>
    <definedName name="Netto_cat_FCEV_K">Parameters!$K$118</definedName>
    <definedName name="Netto_cat_FCEV_L">Parameters!$K$119</definedName>
    <definedName name="Netto_cat_FCEV_M">Parameters!$K$120</definedName>
    <definedName name="Netto_cat_FCEV_rolstoel">Parameters!$K$125</definedName>
    <definedName name="Netto_cat_FCEV_taxi_groot">Parameters!$K$124</definedName>
    <definedName name="Netto_cat_FCEV_taxi_klein">Parameters!$K$122</definedName>
    <definedName name="Netto_cat_FCEV_taxi_middel">Parameters!$K$123</definedName>
    <definedName name="Netto_cat_FCEV_veegvuilwagen">Parameters!$K$131</definedName>
    <definedName name="Netto_cat_FCEV_veegwagen">Parameters!$K$133</definedName>
    <definedName name="Netto_cat_FCEV_vuilniswagen">Parameters!$K$132</definedName>
    <definedName name="old_aantal_km">Parameters!$C$19</definedName>
    <definedName name="old_looptijd">Parameters!$C$27</definedName>
    <definedName name="old_looptijd_kippers">Parameters!$C$27</definedName>
    <definedName name="old_looptijd_veegmachines">Parameters!$C$27</definedName>
    <definedName name="Old_looptijd_vm">Parameters!$C$27</definedName>
    <definedName name="old_looptijd_vuilniswagens">Parameters!$C$27</definedName>
    <definedName name="Onderh_benz_A" localSheetId="12">[2]Parameters!$R$35</definedName>
    <definedName name="Onderh_benz_A" localSheetId="14">[2]Parameters!$R$35</definedName>
    <definedName name="Onderh_benz_A" localSheetId="1">[3]Parameters!$T$27</definedName>
    <definedName name="Onderh_benz_A" localSheetId="0">[4]Parameters!$R$22</definedName>
    <definedName name="Onderh_benz_A" localSheetId="7">[3]Parameters!$T$27</definedName>
    <definedName name="Onderh_benz_A">Parameters!$U$35</definedName>
    <definedName name="Onderh_benz_A_hoog_km" localSheetId="12">[2]Parameters!$S$35</definedName>
    <definedName name="Onderh_benz_A_hoog_km" localSheetId="14">[2]Parameters!$S$35</definedName>
    <definedName name="Onderh_benz_A_hoog_km" localSheetId="1">[3]Parameters!$U$27</definedName>
    <definedName name="Onderh_benz_A_hoog_km" localSheetId="7">[3]Parameters!$U$27</definedName>
    <definedName name="Onderh_benz_A_hoog_km">Parameters!$V$35</definedName>
    <definedName name="Onderh_benz_B" localSheetId="12">[2]Parameters!$R$36</definedName>
    <definedName name="Onderh_benz_B" localSheetId="14">[2]Parameters!$R$36</definedName>
    <definedName name="Onderh_benz_B" localSheetId="1">[3]Parameters!$T$28</definedName>
    <definedName name="Onderh_benz_B" localSheetId="0">[4]Parameters!$R$23</definedName>
    <definedName name="Onderh_benz_B" localSheetId="7">[3]Parameters!$T$28</definedName>
    <definedName name="Onderh_benz_B">Parameters!$U$36</definedName>
    <definedName name="Onderh_benz_B_hoog_km" localSheetId="12">[2]Parameters!$S$36</definedName>
    <definedName name="Onderh_benz_B_hoog_km" localSheetId="14">[2]Parameters!$S$36</definedName>
    <definedName name="Onderh_benz_B_hoog_km" localSheetId="1">[3]Parameters!$U$28</definedName>
    <definedName name="Onderh_benz_B_hoog_km" localSheetId="7">[3]Parameters!$U$28</definedName>
    <definedName name="Onderh_benz_B_hoog_km">Parameters!$V$36</definedName>
    <definedName name="Onderh_benz_bestel_groot">Parameters!$U$53</definedName>
    <definedName name="Onderh_benz_bestel_groot_hoog_km" localSheetId="12">[2]Parameters!$S$53</definedName>
    <definedName name="Onderh_benz_bestel_groot_hoog_km" localSheetId="14">[2]Parameters!$S$53</definedName>
    <definedName name="Onderh_benz_bestel_groot_hoog_km">Parameters!$V$53</definedName>
    <definedName name="Onderh_benz_bestel_klein">Parameters!$U$51</definedName>
    <definedName name="Onderh_benz_bestel_klein_hoog_km" localSheetId="12">[2]Parameters!$S$51</definedName>
    <definedName name="Onderh_benz_bestel_klein_hoog_km" localSheetId="14">[2]Parameters!$S$51</definedName>
    <definedName name="Onderh_benz_bestel_klein_hoog_km">Parameters!$V$51</definedName>
    <definedName name="Onderh_benz_bestel_middel">Parameters!$U$52</definedName>
    <definedName name="Onderh_benz_bestel_middel_hoog_km" localSheetId="12">[2]Parameters!$S$52</definedName>
    <definedName name="Onderh_benz_bestel_middel_hoog_km" localSheetId="14">[2]Parameters!$S$52</definedName>
    <definedName name="Onderh_benz_bestel_middel_hoog_km">Parameters!$V$52</definedName>
    <definedName name="Onderh_benz_C" localSheetId="12">[2]Parameters!$R$37</definedName>
    <definedName name="Onderh_benz_C" localSheetId="14">[2]Parameters!$R$37</definedName>
    <definedName name="Onderh_benz_C" localSheetId="1">[3]Parameters!$T$29</definedName>
    <definedName name="Onderh_benz_C" localSheetId="0">[4]Parameters!$R$24</definedName>
    <definedName name="Onderh_benz_C" localSheetId="7">[3]Parameters!$T$29</definedName>
    <definedName name="Onderh_benz_C">Parameters!$U$37</definedName>
    <definedName name="Onderh_benz_C_hoog_km" localSheetId="12">[2]Parameters!$S$37</definedName>
    <definedName name="Onderh_benz_C_hoog_km" localSheetId="14">[2]Parameters!$S$37</definedName>
    <definedName name="Onderh_benz_C_hoog_km" localSheetId="1">[3]Parameters!$U$29</definedName>
    <definedName name="Onderh_benz_C_hoog_km" localSheetId="7">[3]Parameters!$U$29</definedName>
    <definedName name="Onderh_benz_C_hoog_km">Parameters!$V$37</definedName>
    <definedName name="Onderh_benz_D" localSheetId="12">[2]Parameters!$R$38</definedName>
    <definedName name="Onderh_benz_D" localSheetId="14">[2]Parameters!$R$38</definedName>
    <definedName name="Onderh_benz_D" localSheetId="1">[3]Parameters!$T$30</definedName>
    <definedName name="Onderh_benz_D" localSheetId="0">[4]Parameters!$R$25</definedName>
    <definedName name="Onderh_benz_D" localSheetId="7">[3]Parameters!$T$30</definedName>
    <definedName name="Onderh_benz_D">Parameters!$U$38</definedName>
    <definedName name="Onderh_benz_D_hoog_km" localSheetId="12">[2]Parameters!$S$38</definedName>
    <definedName name="Onderh_benz_D_hoog_km" localSheetId="14">[2]Parameters!$S$38</definedName>
    <definedName name="Onderh_benz_D_hoog_km" localSheetId="1">[3]Parameters!$U$30</definedName>
    <definedName name="Onderh_benz_D_hoog_km" localSheetId="7">[3]Parameters!$U$30</definedName>
    <definedName name="Onderh_benz_D_hoog_km">Parameters!$V$38</definedName>
    <definedName name="Onderh_benz_E" localSheetId="12">[2]Parameters!$R$39</definedName>
    <definedName name="Onderh_benz_E" localSheetId="14">[2]Parameters!$R$39</definedName>
    <definedName name="Onderh_benz_E" localSheetId="1">[3]Parameters!$T$31</definedName>
    <definedName name="Onderh_benz_E" localSheetId="0">[4]Parameters!$R$26</definedName>
    <definedName name="Onderh_benz_E" localSheetId="7">[3]Parameters!$T$31</definedName>
    <definedName name="Onderh_benz_E">Parameters!$U$39</definedName>
    <definedName name="Onderh_benz_E_hoog_km" localSheetId="12">[2]Parameters!$S$39</definedName>
    <definedName name="Onderh_benz_E_hoog_km" localSheetId="14">[2]Parameters!$S$39</definedName>
    <definedName name="Onderh_benz_E_hoog_km" localSheetId="1">[3]Parameters!$U$31</definedName>
    <definedName name="Onderh_benz_E_hoog_km" localSheetId="7">[3]Parameters!$U$31</definedName>
    <definedName name="Onderh_benz_E_hoog_km">Parameters!$V$39</definedName>
    <definedName name="Onderh_benz_F" localSheetId="12">[2]Parameters!$R$40</definedName>
    <definedName name="Onderh_benz_F" localSheetId="14">[2]Parameters!$R$40</definedName>
    <definedName name="Onderh_benz_F" localSheetId="1">[3]Parameters!$T$32</definedName>
    <definedName name="Onderh_benz_F" localSheetId="0">[4]Parameters!$R$27</definedName>
    <definedName name="Onderh_benz_F" localSheetId="7">[3]Parameters!$T$32</definedName>
    <definedName name="Onderh_benz_F">Parameters!$U$40</definedName>
    <definedName name="Onderh_benz_F_hoog_km" localSheetId="12">[2]Parameters!$S$40</definedName>
    <definedName name="Onderh_benz_F_hoog_km" localSheetId="14">[2]Parameters!$S$40</definedName>
    <definedName name="Onderh_benz_F_hoog_km" localSheetId="1">[3]Parameters!$U$32</definedName>
    <definedName name="Onderh_benz_F_hoog_km" localSheetId="7">[3]Parameters!$U$32</definedName>
    <definedName name="Onderh_benz_F_hoog_km">Parameters!$V$40</definedName>
    <definedName name="Onderh_benz_J" localSheetId="12">[2]Parameters!$R$41</definedName>
    <definedName name="Onderh_benz_J" localSheetId="14">[2]Parameters!$R$41</definedName>
    <definedName name="Onderh_benz_J" localSheetId="1">[3]Parameters!$T$33</definedName>
    <definedName name="Onderh_benz_J" localSheetId="7">[3]Parameters!$T$33</definedName>
    <definedName name="Onderh_benz_J">Parameters!$U$41</definedName>
    <definedName name="Onderh_benz_J_hoog_km" localSheetId="12">[2]Parameters!$S$41</definedName>
    <definedName name="Onderh_benz_J_hoog_km" localSheetId="14">[2]Parameters!$S$41</definedName>
    <definedName name="Onderh_benz_J_hoog_km" localSheetId="1">[3]Parameters!$U$33</definedName>
    <definedName name="Onderh_benz_J_hoog_km" localSheetId="7">[3]Parameters!$U$33</definedName>
    <definedName name="Onderh_benz_J_hoog_km">Parameters!$V$41</definedName>
    <definedName name="Onderh_benz_K">Parameters!$U$42</definedName>
    <definedName name="Onderh_benz_K_hoog_km" localSheetId="12">[2]Parameters!$S$42</definedName>
    <definedName name="Onderh_benz_K_hoog_km" localSheetId="14">[2]Parameters!$S$42</definedName>
    <definedName name="Onderh_benz_K_hoog_km">Parameters!$V$42</definedName>
    <definedName name="Onderh_benz_L" localSheetId="12">[2]Parameters!$R$43</definedName>
    <definedName name="Onderh_benz_L" localSheetId="14">[2]Parameters!$R$43</definedName>
    <definedName name="Onderh_benz_L" localSheetId="1">[3]Parameters!$T$34</definedName>
    <definedName name="Onderh_benz_L" localSheetId="0">[4]Parameters!$R$29</definedName>
    <definedName name="Onderh_benz_L" localSheetId="7">[3]Parameters!$T$34</definedName>
    <definedName name="Onderh_benz_L">Parameters!$U$43</definedName>
    <definedName name="Onderh_benz_L_hoog_km" localSheetId="12">[2]Parameters!$S$43</definedName>
    <definedName name="Onderh_benz_L_hoog_km" localSheetId="14">[2]Parameters!$S$43</definedName>
    <definedName name="Onderh_benz_L_hoog_km" localSheetId="1">[3]Parameters!$U$34</definedName>
    <definedName name="Onderh_benz_L_hoog_km" localSheetId="7">[3]Parameters!$U$34</definedName>
    <definedName name="Onderh_benz_L_hoog_km">Parameters!$V$43</definedName>
    <definedName name="Onderh_benz_M" localSheetId="12">[2]Parameters!$R$44</definedName>
    <definedName name="Onderh_benz_M" localSheetId="14">[2]Parameters!$R$44</definedName>
    <definedName name="Onderh_benz_M" localSheetId="1">[3]Parameters!$T$35</definedName>
    <definedName name="Onderh_benz_M" localSheetId="0">[4]Parameters!$R$30</definedName>
    <definedName name="Onderh_benz_M" localSheetId="7">[3]Parameters!$T$35</definedName>
    <definedName name="Onderh_benz_M">Parameters!$U$44</definedName>
    <definedName name="Onderh_benz_M_hoog_km" localSheetId="12">[2]Parameters!$S$44</definedName>
    <definedName name="Onderh_benz_M_hoog_km" localSheetId="14">[2]Parameters!$S$44</definedName>
    <definedName name="Onderh_benz_M_hoog_km" localSheetId="1">[3]Parameters!$U$35</definedName>
    <definedName name="Onderh_benz_M_hoog_km" localSheetId="7">[3]Parameters!$U$35</definedName>
    <definedName name="Onderh_benz_M_hoog_km">Parameters!$V$44</definedName>
    <definedName name="Onderh_benz_rolstoelbus" localSheetId="12">[2]Parameters!$R$49</definedName>
    <definedName name="Onderh_benz_rolstoelbus" localSheetId="14">[2]Parameters!$R$49</definedName>
    <definedName name="Onderh_benz_rolstoelbus" localSheetId="1">[3]Parameters!$T$39</definedName>
    <definedName name="Onderh_benz_rolstoelbus" localSheetId="7">[3]Parameters!$T$39</definedName>
    <definedName name="Onderh_benz_rolstoelbus">Parameters!$U$49</definedName>
    <definedName name="Onderh_benz_rolstoelbus_hoog_km" localSheetId="12">[2]Parameters!$S$49</definedName>
    <definedName name="Onderh_benz_rolstoelbus_hoog_km" localSheetId="14">[2]Parameters!$S$49</definedName>
    <definedName name="Onderh_benz_rolstoelbus_hoog_km" localSheetId="1">[3]Parameters!$U$39</definedName>
    <definedName name="Onderh_benz_rolstoelbus_hoog_km" localSheetId="7">[3]Parameters!$U$39</definedName>
    <definedName name="Onderh_benz_rolstoelbus_hoog_km">Parameters!$V$49</definedName>
    <definedName name="Onderh_benz_taxibus_groot" localSheetId="12">[2]Parameters!$R$48</definedName>
    <definedName name="Onderh_benz_taxibus_groot" localSheetId="14">[2]Parameters!$R$48</definedName>
    <definedName name="Onderh_benz_taxibus_groot" localSheetId="1">[3]Parameters!$T$38</definedName>
    <definedName name="Onderh_benz_taxibus_groot" localSheetId="7">[3]Parameters!$T$38</definedName>
    <definedName name="Onderh_benz_taxibus_groot">Parameters!$U$48</definedName>
    <definedName name="Onderh_benz_taxibus_groot_hoog_km" localSheetId="12">[2]Parameters!$S$48</definedName>
    <definedName name="Onderh_benz_taxibus_groot_hoog_km" localSheetId="14">[2]Parameters!$S$48</definedName>
    <definedName name="Onderh_benz_taxibus_groot_hoog_km" localSheetId="1">[3]Parameters!$U$38</definedName>
    <definedName name="Onderh_benz_taxibus_groot_hoog_km" localSheetId="7">[3]Parameters!$U$38</definedName>
    <definedName name="Onderh_benz_taxibus_groot_hoog_km">Parameters!$V$48</definedName>
    <definedName name="Onderh_benz_taxibus_klein" localSheetId="12">[2]Parameters!$R$46</definedName>
    <definedName name="Onderh_benz_taxibus_klein" localSheetId="14">[2]Parameters!$R$46</definedName>
    <definedName name="Onderh_benz_taxibus_klein" localSheetId="1">[3]Parameters!$T$37</definedName>
    <definedName name="Onderh_benz_taxibus_klein" localSheetId="7">[3]Parameters!$T$37</definedName>
    <definedName name="Onderh_benz_taxibus_klein">Parameters!$U$46</definedName>
    <definedName name="Onderh_benz_taxibus_klein_hoog_km" localSheetId="12">[2]Parameters!$S$46</definedName>
    <definedName name="Onderh_benz_taxibus_klein_hoog_km" localSheetId="14">[2]Parameters!$S$46</definedName>
    <definedName name="Onderh_benz_taxibus_klein_hoog_km" localSheetId="1">[3]Parameters!$U$37</definedName>
    <definedName name="Onderh_benz_taxibus_klein_hoog_km" localSheetId="7">[3]Parameters!$U$37</definedName>
    <definedName name="Onderh_benz_taxibus_klein_hoog_km">Parameters!$V$46</definedName>
    <definedName name="Onderh_benz_taxibus_middel">Parameters!$U$47</definedName>
    <definedName name="Onderh_benz_taxibus_middel_hoog_km" localSheetId="12">[2]Parameters!$S$47</definedName>
    <definedName name="Onderh_benz_taxibus_middel_hoog_km" localSheetId="14">[2]Parameters!$S$47</definedName>
    <definedName name="Onderh_benz_taxibus_middel_hoog_km">Parameters!$V$47</definedName>
    <definedName name="Onderh_BEV_A" localSheetId="12">[2]Parameters!$R$83</definedName>
    <definedName name="Onderh_BEV_A" localSheetId="14">[2]Parameters!$R$83</definedName>
    <definedName name="Onderh_BEV_A" localSheetId="1">[3]Parameters!$T$71</definedName>
    <definedName name="Onderh_BEV_A" localSheetId="0">[4]Parameters!$R$39</definedName>
    <definedName name="Onderh_BEV_A" localSheetId="7">[3]Parameters!$T$71</definedName>
    <definedName name="Onderh_BEV_A">Parameters!$U$83</definedName>
    <definedName name="Onderh_BEV_A_hoog_km" localSheetId="12">[2]Parameters!$S$83</definedName>
    <definedName name="Onderh_BEV_A_hoog_km" localSheetId="14">[2]Parameters!$S$83</definedName>
    <definedName name="Onderh_BEV_A_hoog_km" localSheetId="1">[3]Parameters!$U$71</definedName>
    <definedName name="Onderh_BEV_A_hoog_km" localSheetId="7">[3]Parameters!$U$71</definedName>
    <definedName name="Onderh_BEV_A_hoog_km">Parameters!$V$83</definedName>
    <definedName name="Onderh_BEV_B" localSheetId="12">[2]Parameters!$R$84</definedName>
    <definedName name="Onderh_BEV_B" localSheetId="14">[2]Parameters!$R$84</definedName>
    <definedName name="Onderh_BEV_B" localSheetId="1">[3]Parameters!$T$72</definedName>
    <definedName name="Onderh_BEV_B" localSheetId="0">[4]Parameters!$R$40</definedName>
    <definedName name="Onderh_BEV_B" localSheetId="7">[3]Parameters!$T$72</definedName>
    <definedName name="Onderh_BEV_B">Parameters!$U$84</definedName>
    <definedName name="Onderh_BEV_B_hoog_km" localSheetId="12">[2]Parameters!$S$84</definedName>
    <definedName name="Onderh_BEV_B_hoog_km" localSheetId="14">[2]Parameters!$S$84</definedName>
    <definedName name="Onderh_BEV_B_hoog_km" localSheetId="1">[3]Parameters!$U$72</definedName>
    <definedName name="Onderh_BEV_B_hoog_km" localSheetId="7">[3]Parameters!$U$72</definedName>
    <definedName name="Onderh_BEV_B_hoog_km">Parameters!$V$84</definedName>
    <definedName name="Onderh_BEV_bestel_groot" localSheetId="0">[4]Parameters!$R$50</definedName>
    <definedName name="Onderh_BEV_bestel_groot">Parameters!$U$101</definedName>
    <definedName name="Onderh_BEV_bestel_groot_hoog_km" localSheetId="12">[2]Parameters!$S$101</definedName>
    <definedName name="Onderh_BEV_bestel_groot_hoog_km" localSheetId="14">[2]Parameters!$S$101</definedName>
    <definedName name="Onderh_BEV_bestel_groot_hoog_km">Parameters!$V$101</definedName>
    <definedName name="Onderh_BEV_bestel_klein" localSheetId="0">[4]Parameters!$R$48</definedName>
    <definedName name="Onderh_BEV_bestel_klein">Parameters!$U$99</definedName>
    <definedName name="Onderh_BEV_bestel_klein_hoog_km" localSheetId="12">[2]Parameters!$S$99</definedName>
    <definedName name="Onderh_BEV_bestel_klein_hoog_km" localSheetId="14">[2]Parameters!$S$99</definedName>
    <definedName name="Onderh_BEV_bestel_klein_hoog_km">Parameters!$V$99</definedName>
    <definedName name="Onderh_BEV_bestel_middel" localSheetId="0">[4]Parameters!$R$49</definedName>
    <definedName name="Onderh_BEV_bestel_middel">Parameters!$U$100</definedName>
    <definedName name="Onderh_BEV_bestel_middel_hoog_km" localSheetId="12">[2]Parameters!$S$100</definedName>
    <definedName name="Onderh_BEV_bestel_middel_hoog_km" localSheetId="14">[2]Parameters!$S$100</definedName>
    <definedName name="Onderh_BEV_bestel_middel_hoog_km">Parameters!$V$100</definedName>
    <definedName name="Onderh_BEV_C" localSheetId="12">[2]Parameters!$R$85</definedName>
    <definedName name="Onderh_BEV_C" localSheetId="14">[2]Parameters!$R$85</definedName>
    <definedName name="Onderh_BEV_C" localSheetId="1">[3]Parameters!$T$73</definedName>
    <definedName name="Onderh_BEV_C" localSheetId="0">[4]Parameters!$R$41</definedName>
    <definedName name="Onderh_BEV_C" localSheetId="7">[3]Parameters!$T$73</definedName>
    <definedName name="Onderh_BEV_C">Parameters!$U$85</definedName>
    <definedName name="Onderh_BEV_C_hoog_km" localSheetId="12">[2]Parameters!$S$85</definedName>
    <definedName name="Onderh_BEV_C_hoog_km" localSheetId="14">[2]Parameters!$S$85</definedName>
    <definedName name="Onderh_BEV_C_hoog_km" localSheetId="1">[3]Parameters!$U$73</definedName>
    <definedName name="Onderh_BEV_C_hoog_km" localSheetId="7">[3]Parameters!$U$73</definedName>
    <definedName name="Onderh_BEV_C_hoog_km">Parameters!$V$85</definedName>
    <definedName name="Onderh_BEV_D" localSheetId="12">[2]Parameters!$R$86</definedName>
    <definedName name="Onderh_BEV_D" localSheetId="14">[2]Parameters!$R$86</definedName>
    <definedName name="Onderh_BEV_D" localSheetId="1">[3]Parameters!$T$74</definedName>
    <definedName name="Onderh_BEV_D" localSheetId="0">[4]Parameters!$R$42</definedName>
    <definedName name="Onderh_BEV_D" localSheetId="7">[3]Parameters!$T$74</definedName>
    <definedName name="Onderh_BEV_D">Parameters!$U$86</definedName>
    <definedName name="Onderh_BEV_D_hoog_km" localSheetId="12">[2]Parameters!$S$86</definedName>
    <definedName name="Onderh_BEV_D_hoog_km" localSheetId="14">[2]Parameters!$S$86</definedName>
    <definedName name="Onderh_BEV_D_hoog_km" localSheetId="1">[3]Parameters!$U$74</definedName>
    <definedName name="Onderh_BEV_D_hoog_km" localSheetId="7">[3]Parameters!$U$74</definedName>
    <definedName name="Onderh_BEV_D_hoog_km">Parameters!$V$86</definedName>
    <definedName name="Onderh_BEV_E" localSheetId="12">[2]Parameters!$R$87</definedName>
    <definedName name="Onderh_BEV_E" localSheetId="14">[2]Parameters!$R$87</definedName>
    <definedName name="Onderh_BEV_E" localSheetId="1">[3]Parameters!$T$75</definedName>
    <definedName name="Onderh_BEV_E" localSheetId="0">[4]Parameters!$R$43</definedName>
    <definedName name="Onderh_BEV_E" localSheetId="7">[3]Parameters!$T$75</definedName>
    <definedName name="Onderh_BEV_E">Parameters!$U$87</definedName>
    <definedName name="Onderh_BEV_E_hoog_km" localSheetId="12">[2]Parameters!$S$87</definedName>
    <definedName name="Onderh_BEV_E_hoog_km" localSheetId="14">[2]Parameters!$S$87</definedName>
    <definedName name="Onderh_BEV_E_hoog_km" localSheetId="1">[3]Parameters!$U$75</definedName>
    <definedName name="Onderh_BEV_E_hoog_km" localSheetId="7">[3]Parameters!$U$75</definedName>
    <definedName name="Onderh_BEV_E_hoog_km">Parameters!$V$87</definedName>
    <definedName name="Onderh_BEV_F" localSheetId="12">[2]Parameters!$R$88</definedName>
    <definedName name="Onderh_BEV_F" localSheetId="14">[2]Parameters!$R$88</definedName>
    <definedName name="Onderh_BEV_F" localSheetId="1">[3]Parameters!$T$76</definedName>
    <definedName name="Onderh_BEV_F" localSheetId="0">[4]Parameters!$R$44</definedName>
    <definedName name="Onderh_BEV_F" localSheetId="7">[3]Parameters!$T$76</definedName>
    <definedName name="Onderh_BEV_F">Parameters!$U$88</definedName>
    <definedName name="Onderh_BEV_F_hoog_km" localSheetId="12">[2]Parameters!$S$88</definedName>
    <definedName name="Onderh_BEV_F_hoog_km" localSheetId="14">[2]Parameters!$S$88</definedName>
    <definedName name="Onderh_BEV_F_hoog_km" localSheetId="1">[3]Parameters!$U$76</definedName>
    <definedName name="Onderh_BEV_F_hoog_km" localSheetId="7">[3]Parameters!$U$76</definedName>
    <definedName name="Onderh_BEV_F_hoog_km">Parameters!$V$88</definedName>
    <definedName name="Onderh_BEV_J">Parameters!$U$89</definedName>
    <definedName name="Onderh_BEV_J_hoog_km" localSheetId="12">[2]Parameters!$S$89</definedName>
    <definedName name="Onderh_BEV_J_hoog_km" localSheetId="14">[2]Parameters!$S$89</definedName>
    <definedName name="Onderh_BEV_J_hoog_km">Parameters!$V$89</definedName>
    <definedName name="Onderh_BEV_K">Parameters!$U$90</definedName>
    <definedName name="Onderh_BEV_K_hoog_km" localSheetId="12">[2]Parameters!$S$90</definedName>
    <definedName name="Onderh_BEV_K_hoog_km" localSheetId="14">[2]Parameters!$S$90</definedName>
    <definedName name="Onderh_BEV_K_hoog_km">Parameters!$V$90</definedName>
    <definedName name="Onderh_BEV_L" localSheetId="12">[2]Parameters!$R$91</definedName>
    <definedName name="Onderh_BEV_L" localSheetId="14">[2]Parameters!$R$91</definedName>
    <definedName name="Onderh_BEV_L" localSheetId="1">[3]Parameters!$T$78</definedName>
    <definedName name="Onderh_BEV_L" localSheetId="0">[4]Parameters!$R$46</definedName>
    <definedName name="Onderh_BEV_L" localSheetId="7">[3]Parameters!$T$78</definedName>
    <definedName name="Onderh_BEV_L">Parameters!$U$91</definedName>
    <definedName name="Onderh_BEV_L_hoog_km" localSheetId="12">[2]Parameters!$S$91</definedName>
    <definedName name="Onderh_BEV_L_hoog_km" localSheetId="14">[2]Parameters!$S$91</definedName>
    <definedName name="Onderh_BEV_L_hoog_km" localSheetId="1">[3]Parameters!$U$78</definedName>
    <definedName name="Onderh_BEV_L_hoog_km" localSheetId="7">[3]Parameters!$U$78</definedName>
    <definedName name="Onderh_BEV_L_hoog_km">Parameters!$V$91</definedName>
    <definedName name="Onderh_BEV_M" localSheetId="12">[2]Parameters!$R$92</definedName>
    <definedName name="Onderh_BEV_M" localSheetId="14">[2]Parameters!$R$92</definedName>
    <definedName name="Onderh_BEV_M" localSheetId="1">[3]Parameters!$T$79</definedName>
    <definedName name="Onderh_BEV_M" localSheetId="0">[4]Parameters!$R$47</definedName>
    <definedName name="Onderh_BEV_M" localSheetId="7">[3]Parameters!$T$79</definedName>
    <definedName name="Onderh_BEV_M">Parameters!$U$92</definedName>
    <definedName name="Onderh_BEV_M_hoog_km" localSheetId="12">[2]Parameters!$S$92</definedName>
    <definedName name="Onderh_BEV_M_hoog_km" localSheetId="14">[2]Parameters!$S$92</definedName>
    <definedName name="Onderh_BEV_M_hoog_km" localSheetId="1">[3]Parameters!$U$79</definedName>
    <definedName name="Onderh_BEV_M_hoog_km" localSheetId="7">[3]Parameters!$U$79</definedName>
    <definedName name="Onderh_BEV_M_hoog_km">Parameters!$V$92</definedName>
    <definedName name="Onderh_BEV_rolstoelbus" localSheetId="12">[2]Parameters!$R$97</definedName>
    <definedName name="Onderh_BEV_rolstoelbus" localSheetId="14">[2]Parameters!$R$97</definedName>
    <definedName name="Onderh_BEV_rolstoelbus" localSheetId="1">[3]Parameters!$T$85</definedName>
    <definedName name="Onderh_BEV_rolstoelbus" localSheetId="7">[3]Parameters!$T$85</definedName>
    <definedName name="Onderh_BEV_rolstoelbus">Parameters!$U$97</definedName>
    <definedName name="Onderh_BEV_rolstoelbus_hoog_km" localSheetId="12">[2]Parameters!$S$97</definedName>
    <definedName name="Onderh_BEV_rolstoelbus_hoog_km" localSheetId="14">[2]Parameters!$S$97</definedName>
    <definedName name="Onderh_BEV_rolstoelbus_hoog_km" localSheetId="1">[3]Parameters!$U$85</definedName>
    <definedName name="Onderh_BEV_rolstoelbus_hoog_km" localSheetId="7">[3]Parameters!$U$85</definedName>
    <definedName name="Onderh_BEV_rolstoelbus_hoog_km">Parameters!$V$97</definedName>
    <definedName name="Onderh_BEV_rolstoelbus_ombouw" localSheetId="12">[2]Parameters!#REF!</definedName>
    <definedName name="Onderh_BEV_rolstoelbus_ombouw" localSheetId="14">[2]Parameters!#REF!</definedName>
    <definedName name="Onderh_BEV_rolstoelbus_ombouw" localSheetId="3">Parameters!#REF!</definedName>
    <definedName name="Onderh_BEV_rolstoelbus_ombouw">Parameters!#REF!</definedName>
    <definedName name="Onderh_BEV_rolstoelbus_ombouw_hoog_km" localSheetId="12">[2]Parameters!#REF!</definedName>
    <definedName name="Onderh_BEV_rolstoelbus_ombouw_hoog_km" localSheetId="14">[2]Parameters!#REF!</definedName>
    <definedName name="Onderh_BEV_rolstoelbus_ombouw_hoog_km" localSheetId="3">Parameters!#REF!</definedName>
    <definedName name="Onderh_BEV_rolstoelbus_ombouw_hoog_km">Parameters!#REF!</definedName>
    <definedName name="Onderh_BEV_taxibus_groot" localSheetId="12">[2]Parameters!$R$96</definedName>
    <definedName name="Onderh_BEV_taxibus_groot" localSheetId="14">[2]Parameters!$R$96</definedName>
    <definedName name="Onderh_BEV_taxibus_groot" localSheetId="1">[3]Parameters!$T$83</definedName>
    <definedName name="Onderh_BEV_taxibus_groot" localSheetId="7">[3]Parameters!$T$83</definedName>
    <definedName name="Onderh_BEV_taxibus_groot">Parameters!$U$96</definedName>
    <definedName name="Onderh_BEV_taxibus_groot_hoog_km" localSheetId="12">[2]Parameters!$S$96</definedName>
    <definedName name="Onderh_BEV_taxibus_groot_hoog_km" localSheetId="14">[2]Parameters!$S$96</definedName>
    <definedName name="Onderh_BEV_taxibus_groot_hoog_km" localSheetId="1">[3]Parameters!$U$83</definedName>
    <definedName name="Onderh_BEV_taxibus_groot_hoog_km" localSheetId="7">[3]Parameters!$U$83</definedName>
    <definedName name="Onderh_BEV_taxibus_groot_hoog_km">Parameters!$V$96</definedName>
    <definedName name="Onderh_BEV_taxibus_klein" localSheetId="12">[2]Parameters!$R$94</definedName>
    <definedName name="Onderh_BEV_taxibus_klein" localSheetId="14">[2]Parameters!$R$94</definedName>
    <definedName name="Onderh_BEV_taxibus_klein" localSheetId="1">[3]Parameters!$T$81</definedName>
    <definedName name="Onderh_BEV_taxibus_klein" localSheetId="7">[3]Parameters!$T$81</definedName>
    <definedName name="Onderh_BEV_taxibus_klein">Parameters!$U$94</definedName>
    <definedName name="Onderh_BEV_taxibus_klein_hoog_km" localSheetId="12">[2]Parameters!$S$94</definedName>
    <definedName name="Onderh_BEV_taxibus_klein_hoog_km" localSheetId="14">[2]Parameters!$S$94</definedName>
    <definedName name="Onderh_BEV_taxibus_klein_hoog_km" localSheetId="1">[3]Parameters!$U$81</definedName>
    <definedName name="Onderh_BEV_taxibus_klein_hoog_km" localSheetId="7">[3]Parameters!$U$81</definedName>
    <definedName name="Onderh_BEV_taxibus_klein_hoog_km">Parameters!$V$94</definedName>
    <definedName name="Onderh_BEV_taxibus_middel">Parameters!$U$95</definedName>
    <definedName name="Onderh_BEV_taxibus_middel_hoog_km" localSheetId="12">[2]Parameters!$S$95</definedName>
    <definedName name="Onderh_BEV_taxibus_middel_hoog_km" localSheetId="14">[2]Parameters!$S$95</definedName>
    <definedName name="Onderh_BEV_taxibus_middel_hoog_km">Parameters!$V$95</definedName>
    <definedName name="Onderh_BEV_veegvuilwagen">Parameters!$U$103</definedName>
    <definedName name="Onderh_BEV_veegvuilwagen_hoog_km">Parameters!$V$103</definedName>
    <definedName name="Onderh_BEV_veegwagen">Parameters!$U$105</definedName>
    <definedName name="Onderh_BEV_veegwagen_hoog_km">Parameters!$V$105</definedName>
    <definedName name="Onderh_BEV_vuilniswagen">Parameters!$U$104</definedName>
    <definedName name="Onderh_BEV_vuilniswagen_hoog_km">Parameters!$V$104</definedName>
    <definedName name="Onderh_CNG_A" localSheetId="12">[2]Parameters!$R$59</definedName>
    <definedName name="Onderh_CNG_A" localSheetId="14">[2]Parameters!$R$59</definedName>
    <definedName name="Onderh_CNG_A" localSheetId="1">[3]Parameters!$T$49</definedName>
    <definedName name="Onderh_CNG_A" localSheetId="7">[3]Parameters!$T$49</definedName>
    <definedName name="Onderh_CNG_A">Parameters!$U$59</definedName>
    <definedName name="Onderh_CNG_A_hoog_km" localSheetId="12">[2]Parameters!$S$59</definedName>
    <definedName name="Onderh_CNG_A_hoog_km" localSheetId="14">[2]Parameters!$S$59</definedName>
    <definedName name="Onderh_CNG_A_hoog_km" localSheetId="1">[3]Parameters!$U$49</definedName>
    <definedName name="Onderh_CNG_A_hoog_km" localSheetId="7">[3]Parameters!$U$49</definedName>
    <definedName name="Onderh_CNG_A_hoog_km">Parameters!$V$59</definedName>
    <definedName name="Onderh_CNG_B" localSheetId="12">[2]Parameters!$R$60</definedName>
    <definedName name="Onderh_CNG_B" localSheetId="14">[2]Parameters!$R$60</definedName>
    <definedName name="Onderh_CNG_B" localSheetId="1">[3]Parameters!$T$50</definedName>
    <definedName name="Onderh_CNG_B" localSheetId="7">[3]Parameters!$T$50</definedName>
    <definedName name="Onderh_CNG_B">Parameters!$U$60</definedName>
    <definedName name="Onderh_CNG_B_hoog_km" localSheetId="12">[2]Parameters!$S$60</definedName>
    <definedName name="Onderh_CNG_B_hoog_km" localSheetId="14">[2]Parameters!$S$60</definedName>
    <definedName name="Onderh_CNG_B_hoog_km" localSheetId="1">[3]Parameters!$U$50</definedName>
    <definedName name="Onderh_CNG_B_hoog_km" localSheetId="7">[3]Parameters!$U$50</definedName>
    <definedName name="Onderh_CNG_B_hoog_km">Parameters!$V$60</definedName>
    <definedName name="Onderh_CNG_bestel_groot">Parameters!$U$77</definedName>
    <definedName name="Onderh_CNG_bestel_groot_hoog_km" localSheetId="12">[2]Parameters!$S$77</definedName>
    <definedName name="Onderh_CNG_bestel_groot_hoog_km" localSheetId="14">[2]Parameters!$S$77</definedName>
    <definedName name="Onderh_CNG_bestel_groot_hoog_km">Parameters!$V$77</definedName>
    <definedName name="Onderh_CNG_bestel_klein">Parameters!$U$75</definedName>
    <definedName name="Onderh_CNG_bestel_klein_hoog_km" localSheetId="12">[2]Parameters!$S$75</definedName>
    <definedName name="Onderh_CNG_bestel_klein_hoog_km" localSheetId="14">[2]Parameters!$S$75</definedName>
    <definedName name="Onderh_CNG_bestel_klein_hoog_km">Parameters!$V$75</definedName>
    <definedName name="Onderh_CNG_bestel_middel">Parameters!$U$76</definedName>
    <definedName name="Onderh_CNG_bestel_middel_hoog_km" localSheetId="12">[2]Parameters!$S$76</definedName>
    <definedName name="Onderh_CNG_bestel_middel_hoog_km" localSheetId="14">[2]Parameters!$S$76</definedName>
    <definedName name="Onderh_CNG_bestel_middel_hoog_km">Parameters!$V$76</definedName>
    <definedName name="Onderh_CNG_C" localSheetId="12">[2]Parameters!$R$61</definedName>
    <definedName name="Onderh_CNG_C" localSheetId="14">[2]Parameters!$R$61</definedName>
    <definedName name="Onderh_CNG_C" localSheetId="1">[3]Parameters!$T$51</definedName>
    <definedName name="Onderh_CNG_C" localSheetId="7">[3]Parameters!$T$51</definedName>
    <definedName name="Onderh_CNG_C">Parameters!$U$61</definedName>
    <definedName name="Onderh_CNG_C_hoog_km" localSheetId="12">[2]Parameters!$S$61</definedName>
    <definedName name="Onderh_CNG_C_hoog_km" localSheetId="14">[2]Parameters!$S$61</definedName>
    <definedName name="Onderh_CNG_C_hoog_km" localSheetId="1">[3]Parameters!$U$51</definedName>
    <definedName name="Onderh_CNG_C_hoog_km" localSheetId="7">[3]Parameters!$U$51</definedName>
    <definedName name="Onderh_CNG_C_hoog_km">Parameters!$V$61</definedName>
    <definedName name="Onderh_CNG_D" localSheetId="12">[2]Parameters!$R$62</definedName>
    <definedName name="Onderh_CNG_D" localSheetId="14">[2]Parameters!$R$62</definedName>
    <definedName name="Onderh_CNG_D" localSheetId="1">[3]Parameters!$T$52</definedName>
    <definedName name="Onderh_CNG_D" localSheetId="7">[3]Parameters!$T$52</definedName>
    <definedName name="Onderh_CNG_D">Parameters!$U$62</definedName>
    <definedName name="Onderh_CNG_D_hoog_km" localSheetId="12">[2]Parameters!$S$62</definedName>
    <definedName name="Onderh_CNG_D_hoog_km" localSheetId="14">[2]Parameters!$S$62</definedName>
    <definedName name="Onderh_CNG_D_hoog_km" localSheetId="1">[3]Parameters!$U$52</definedName>
    <definedName name="Onderh_CNG_D_hoog_km" localSheetId="7">[3]Parameters!$U$52</definedName>
    <definedName name="Onderh_CNG_D_hoog_km">Parameters!$V$62</definedName>
    <definedName name="Onderh_CNG_E" localSheetId="12">[2]Parameters!$R$63</definedName>
    <definedName name="Onderh_CNG_E" localSheetId="14">[2]Parameters!$R$63</definedName>
    <definedName name="Onderh_CNG_E" localSheetId="1">[3]Parameters!$T$53</definedName>
    <definedName name="Onderh_CNG_E" localSheetId="7">[3]Parameters!$T$53</definedName>
    <definedName name="Onderh_CNG_E">Parameters!$U$63</definedName>
    <definedName name="Onderh_CNG_E_hoog_km" localSheetId="12">[2]Parameters!$S$63</definedName>
    <definedName name="Onderh_CNG_E_hoog_km" localSheetId="14">[2]Parameters!$S$63</definedName>
    <definedName name="Onderh_CNG_E_hoog_km" localSheetId="1">[3]Parameters!$U$53</definedName>
    <definedName name="Onderh_CNG_E_hoog_km" localSheetId="7">[3]Parameters!$U$53</definedName>
    <definedName name="Onderh_CNG_E_hoog_km">Parameters!$V$63</definedName>
    <definedName name="Onderh_CNG_F" localSheetId="12">[2]Parameters!$R$64</definedName>
    <definedName name="Onderh_CNG_F" localSheetId="14">[2]Parameters!$R$64</definedName>
    <definedName name="Onderh_CNG_F" localSheetId="1">[3]Parameters!$T$54</definedName>
    <definedName name="Onderh_CNG_F" localSheetId="7">[3]Parameters!$T$54</definedName>
    <definedName name="Onderh_CNG_F">Parameters!$U$64</definedName>
    <definedName name="Onderh_CNG_F_hoog_km" localSheetId="12">[2]Parameters!$S$64</definedName>
    <definedName name="Onderh_CNG_F_hoog_km" localSheetId="14">[2]Parameters!$S$64</definedName>
    <definedName name="Onderh_CNG_F_hoog_km" localSheetId="1">[3]Parameters!$U$54</definedName>
    <definedName name="Onderh_CNG_F_hoog_km" localSheetId="7">[3]Parameters!$U$54</definedName>
    <definedName name="Onderh_CNG_F_hoog_km">Parameters!$V$64</definedName>
    <definedName name="Onderh_CNG_J">Parameters!$U$65</definedName>
    <definedName name="Onderh_CNG_J_hoog_km" localSheetId="12">[2]Parameters!$S$65</definedName>
    <definedName name="Onderh_CNG_J_hoog_km" localSheetId="14">[2]Parameters!$S$65</definedName>
    <definedName name="Onderh_CNG_J_hoog_km">Parameters!$V$65</definedName>
    <definedName name="Onderh_CNG_K">Parameters!$U$66</definedName>
    <definedName name="Onderh_CNG_K_hoog_km" localSheetId="12">[2]Parameters!$S$66</definedName>
    <definedName name="Onderh_CNG_K_hoog_km" localSheetId="14">[2]Parameters!$S$66</definedName>
    <definedName name="Onderh_CNG_K_hoog_km">Parameters!$V$66</definedName>
    <definedName name="Onderh_CNG_L" localSheetId="12">[2]Parameters!$R$67</definedName>
    <definedName name="Onderh_CNG_L" localSheetId="14">[2]Parameters!$R$67</definedName>
    <definedName name="Onderh_CNG_L" localSheetId="1">[3]Parameters!$T$56</definedName>
    <definedName name="Onderh_CNG_L" localSheetId="7">[3]Parameters!$T$56</definedName>
    <definedName name="Onderh_CNG_L">Parameters!$U$67</definedName>
    <definedName name="Onderh_CNG_L_hoog_km" localSheetId="12">[2]Parameters!$S$67</definedName>
    <definedName name="Onderh_CNG_L_hoog_km" localSheetId="14">[2]Parameters!$S$67</definedName>
    <definedName name="Onderh_CNG_L_hoog_km" localSheetId="1">[3]Parameters!$U$56</definedName>
    <definedName name="Onderh_CNG_L_hoog_km" localSheetId="7">[3]Parameters!$U$56</definedName>
    <definedName name="Onderh_CNG_L_hoog_km">Parameters!$V$67</definedName>
    <definedName name="Onderh_CNG_M" localSheetId="12">[2]Parameters!$R$68</definedName>
    <definedName name="Onderh_CNG_M" localSheetId="14">[2]Parameters!$R$68</definedName>
    <definedName name="Onderh_CNG_M" localSheetId="1">[3]Parameters!$T$57</definedName>
    <definedName name="Onderh_CNG_M" localSheetId="7">[3]Parameters!$T$57</definedName>
    <definedName name="Onderh_CNG_M">Parameters!$U$68</definedName>
    <definedName name="Onderh_CNG_M_hoog_km" localSheetId="12">[2]Parameters!$S$68</definedName>
    <definedName name="Onderh_CNG_M_hoog_km" localSheetId="14">[2]Parameters!$S$68</definedName>
    <definedName name="Onderh_CNG_M_hoog_km" localSheetId="1">[3]Parameters!$U$57</definedName>
    <definedName name="Onderh_CNG_M_hoog_km" localSheetId="7">[3]Parameters!$U$57</definedName>
    <definedName name="Onderh_CNG_M_hoog_km">Parameters!$V$68</definedName>
    <definedName name="Onderh_CNG_rolstoelbus" localSheetId="12">[2]Parameters!$R$73</definedName>
    <definedName name="Onderh_CNG_rolstoelbus" localSheetId="14">[2]Parameters!$R$73</definedName>
    <definedName name="Onderh_CNG_rolstoelbus" localSheetId="1">[3]Parameters!$T$61</definedName>
    <definedName name="Onderh_CNG_rolstoelbus" localSheetId="7">[3]Parameters!$T$61</definedName>
    <definedName name="Onderh_CNG_rolstoelbus">Parameters!$U$73</definedName>
    <definedName name="Onderh_CNG_rolstoelbus_hoog_km" localSheetId="12">[2]Parameters!$S$73</definedName>
    <definedName name="Onderh_CNG_rolstoelbus_hoog_km" localSheetId="14">[2]Parameters!$S$73</definedName>
    <definedName name="Onderh_CNG_rolstoelbus_hoog_km" localSheetId="1">[3]Parameters!$U$61</definedName>
    <definedName name="Onderh_CNG_rolstoelbus_hoog_km" localSheetId="7">[3]Parameters!$U$61</definedName>
    <definedName name="Onderh_CNG_rolstoelbus_hoog_km">Parameters!$V$73</definedName>
    <definedName name="Onderh_CNG_taxibus_groot" localSheetId="12">[2]Parameters!$R$72</definedName>
    <definedName name="Onderh_CNG_taxibus_groot" localSheetId="14">[2]Parameters!$R$72</definedName>
    <definedName name="Onderh_CNG_taxibus_groot" localSheetId="1">[3]Parameters!$T$60</definedName>
    <definedName name="Onderh_CNG_taxibus_groot" localSheetId="7">[3]Parameters!$T$60</definedName>
    <definedName name="Onderh_CNG_taxibus_groot">Parameters!$U$72</definedName>
    <definedName name="Onderh_CNG_taxibus_groot_hoog_km" localSheetId="12">[2]Parameters!$S$72</definedName>
    <definedName name="Onderh_CNG_taxibus_groot_hoog_km" localSheetId="14">[2]Parameters!$S$72</definedName>
    <definedName name="Onderh_CNG_taxibus_groot_hoog_km" localSheetId="1">[3]Parameters!$U$60</definedName>
    <definedName name="Onderh_CNG_taxibus_groot_hoog_km" localSheetId="7">[3]Parameters!$U$60</definedName>
    <definedName name="Onderh_CNG_taxibus_groot_hoog_km">Parameters!$V$72</definedName>
    <definedName name="Onderh_CNG_taxibus_klein" localSheetId="12">[2]Parameters!$R$70</definedName>
    <definedName name="Onderh_CNG_taxibus_klein" localSheetId="14">[2]Parameters!$R$70</definedName>
    <definedName name="Onderh_CNG_taxibus_klein" localSheetId="1">[3]Parameters!$T$59</definedName>
    <definedName name="Onderh_CNG_taxibus_klein" localSheetId="7">[3]Parameters!$T$59</definedName>
    <definedName name="Onderh_CNG_taxibus_klein">Parameters!$U$70</definedName>
    <definedName name="Onderh_CNG_taxibus_klein_hoog_km" localSheetId="12">[2]Parameters!$S$70</definedName>
    <definedName name="Onderh_CNG_taxibus_klein_hoog_km" localSheetId="14">[2]Parameters!$S$70</definedName>
    <definedName name="Onderh_CNG_taxibus_klein_hoog_km" localSheetId="1">[3]Parameters!$U$59</definedName>
    <definedName name="Onderh_CNG_taxibus_klein_hoog_km" localSheetId="7">[3]Parameters!$U$59</definedName>
    <definedName name="Onderh_CNG_taxibus_klein_hoog_km">Parameters!$V$70</definedName>
    <definedName name="Onderh_CNG_taxibus_middel">Parameters!$U$71</definedName>
    <definedName name="Onderh_CNG_taxibus_middel_hoog_km" localSheetId="12">[2]Parameters!$S$71</definedName>
    <definedName name="Onderh_CNG_taxibus_middel_hoog_km" localSheetId="14">[2]Parameters!$S$71</definedName>
    <definedName name="Onderh_CNG_taxibus_middel_hoog_km">Parameters!$V$71</definedName>
    <definedName name="Onderh_die_A_hoog_km">Parameters!$V$7</definedName>
    <definedName name="Onderh_die_B" localSheetId="12">[2]Parameters!$R$8</definedName>
    <definedName name="Onderh_die_B" localSheetId="14">[2]Parameters!$R$8</definedName>
    <definedName name="Onderh_die_B" localSheetId="1">[3]Parameters!$T$6</definedName>
    <definedName name="Onderh_die_B" localSheetId="0">[4]Parameters!$R$6</definedName>
    <definedName name="Onderh_die_B" localSheetId="7">[3]Parameters!$T$6</definedName>
    <definedName name="Onderh_die_B">Parameters!$U$8</definedName>
    <definedName name="Onderh_die_B_hoog_km" localSheetId="12">[2]Parameters!$S$8</definedName>
    <definedName name="Onderh_die_B_hoog_km" localSheetId="14">[2]Parameters!$S$8</definedName>
    <definedName name="Onderh_die_B_hoog_km" localSheetId="1">[3]Parameters!$U$6</definedName>
    <definedName name="Onderh_die_B_hoog_km" localSheetId="7">[3]Parameters!$U$6</definedName>
    <definedName name="Onderh_die_B_hoog_km">Parameters!$V$8</definedName>
    <definedName name="Onderh_die_bestel_groot" localSheetId="0">[4]Parameters!$R$16</definedName>
    <definedName name="Onderh_die_bestel_groot">Parameters!$U$25</definedName>
    <definedName name="Onderh_die_bestel_groot_hoog_km" localSheetId="12">[2]Parameters!$S$25</definedName>
    <definedName name="Onderh_die_bestel_groot_hoog_km" localSheetId="14">[2]Parameters!$S$25</definedName>
    <definedName name="Onderh_die_bestel_groot_hoog_km">Parameters!$V$25</definedName>
    <definedName name="Onderh_die_bestel_klein" localSheetId="0">[4]Parameters!$R$14</definedName>
    <definedName name="Onderh_die_bestel_klein">Parameters!$U$23</definedName>
    <definedName name="Onderh_die_bestel_klein_hoog_km" localSheetId="12">[2]Parameters!$S$23</definedName>
    <definedName name="Onderh_die_bestel_klein_hoog_km" localSheetId="14">[2]Parameters!$S$23</definedName>
    <definedName name="Onderh_die_bestel_klein_hoog_km">Parameters!$V$23</definedName>
    <definedName name="Onderh_die_bestel_middel" localSheetId="0">[4]Parameters!$R$15</definedName>
    <definedName name="Onderh_die_bestel_middel">Parameters!$U$24</definedName>
    <definedName name="Onderh_die_bestel_middel_hoog_km" localSheetId="12">[2]Parameters!$S$24</definedName>
    <definedName name="Onderh_die_bestel_middel_hoog_km" localSheetId="14">[2]Parameters!$S$24</definedName>
    <definedName name="Onderh_die_bestel_middel_hoog_km">Parameters!$V$24</definedName>
    <definedName name="Onderh_die_C" localSheetId="12">[2]Parameters!$R$9</definedName>
    <definedName name="Onderh_die_C" localSheetId="14">[2]Parameters!$R$9</definedName>
    <definedName name="Onderh_die_C" localSheetId="1">[3]Parameters!$T$7</definedName>
    <definedName name="Onderh_die_C" localSheetId="0">[4]Parameters!$R$7</definedName>
    <definedName name="Onderh_die_C" localSheetId="7">[3]Parameters!$T$7</definedName>
    <definedName name="Onderh_die_C">Parameters!$U$9</definedName>
    <definedName name="Onderh_die_C_hoog_km" localSheetId="12">[2]Parameters!$S$9</definedName>
    <definedName name="Onderh_die_C_hoog_km" localSheetId="14">[2]Parameters!$S$9</definedName>
    <definedName name="Onderh_die_C_hoog_km" localSheetId="1">[3]Parameters!$U$7</definedName>
    <definedName name="Onderh_die_C_hoog_km" localSheetId="7">[3]Parameters!$U$7</definedName>
    <definedName name="Onderh_die_C_hoog_km">Parameters!$V$9</definedName>
    <definedName name="Onderh_die_D" localSheetId="12">[2]Parameters!$R$10</definedName>
    <definedName name="Onderh_die_D" localSheetId="14">[2]Parameters!$R$10</definedName>
    <definedName name="Onderh_die_D" localSheetId="1">[3]Parameters!$T$8</definedName>
    <definedName name="Onderh_die_D" localSheetId="0">[4]Parameters!$R$8</definedName>
    <definedName name="Onderh_die_D" localSheetId="7">[3]Parameters!$T$8</definedName>
    <definedName name="Onderh_die_D">Parameters!$U$10</definedName>
    <definedName name="Onderh_die_D_hoog_km" localSheetId="12">[2]Parameters!$S$10</definedName>
    <definedName name="Onderh_die_D_hoog_km" localSheetId="14">[2]Parameters!$S$10</definedName>
    <definedName name="Onderh_die_D_hoog_km" localSheetId="1">[3]Parameters!$U$8</definedName>
    <definedName name="Onderh_die_D_hoog_km" localSheetId="7">[3]Parameters!$U$8</definedName>
    <definedName name="Onderh_die_D_hoog_km">Parameters!$V$10</definedName>
    <definedName name="Onderh_die_E" localSheetId="12">[2]Parameters!$R$11</definedName>
    <definedName name="Onderh_die_E" localSheetId="14">[2]Parameters!$R$11</definedName>
    <definedName name="Onderh_die_E" localSheetId="1">[3]Parameters!$T$9</definedName>
    <definedName name="Onderh_die_E" localSheetId="0">[4]Parameters!$R$9</definedName>
    <definedName name="Onderh_die_E" localSheetId="7">[3]Parameters!$T$9</definedName>
    <definedName name="Onderh_die_E">Parameters!$U$11</definedName>
    <definedName name="Onderh_die_E_hoog_km" localSheetId="12">[2]Parameters!$S$11</definedName>
    <definedName name="Onderh_die_E_hoog_km" localSheetId="14">[2]Parameters!$S$11</definedName>
    <definedName name="Onderh_die_E_hoog_km" localSheetId="1">[3]Parameters!$U$9</definedName>
    <definedName name="Onderh_die_E_hoog_km" localSheetId="7">[3]Parameters!$U$9</definedName>
    <definedName name="Onderh_die_E_hoog_km">Parameters!$V$11</definedName>
    <definedName name="Onderh_die_F" localSheetId="12">[2]Parameters!$R$12</definedName>
    <definedName name="Onderh_die_F" localSheetId="14">[2]Parameters!$R$12</definedName>
    <definedName name="Onderh_die_F" localSheetId="1">[3]Parameters!$T$10</definedName>
    <definedName name="Onderh_die_F" localSheetId="0">[4]Parameters!$R$10</definedName>
    <definedName name="Onderh_die_F" localSheetId="7">[3]Parameters!$T$10</definedName>
    <definedName name="Onderh_die_F">Parameters!$U$12</definedName>
    <definedName name="Onderh_die_F_hoog_km" localSheetId="12">[2]Parameters!$S$12</definedName>
    <definedName name="Onderh_die_F_hoog_km" localSheetId="14">[2]Parameters!$S$12</definedName>
    <definedName name="Onderh_die_F_hoog_km" localSheetId="1">[3]Parameters!$U$10</definedName>
    <definedName name="Onderh_die_F_hoog_km" localSheetId="7">[3]Parameters!$U$10</definedName>
    <definedName name="Onderh_die_F_hoog_km">Parameters!$V$12</definedName>
    <definedName name="Onderh_die_G" localSheetId="12">[2]Parameters!#REF!</definedName>
    <definedName name="Onderh_die_G" localSheetId="14">[2]Parameters!#REF!</definedName>
    <definedName name="Onderh_die_G">Parameters!#REF!</definedName>
    <definedName name="Onderh_die_G_hoog_km" localSheetId="12">[2]Parameters!#REF!</definedName>
    <definedName name="Onderh_die_G_hoog_km" localSheetId="14">[2]Parameters!#REF!</definedName>
    <definedName name="Onderh_die_G_hoog_km">Parameters!#REF!</definedName>
    <definedName name="Onderh_die_H" localSheetId="12">[2]Parameters!#REF!</definedName>
    <definedName name="Onderh_die_H" localSheetId="14">[2]Parameters!#REF!</definedName>
    <definedName name="Onderh_die_H">Parameters!#REF!</definedName>
    <definedName name="Onderh_die_H_hoog_km" localSheetId="12">[2]Parameters!#REF!</definedName>
    <definedName name="Onderh_die_H_hoog_km" localSheetId="14">[2]Parameters!#REF!</definedName>
    <definedName name="Onderh_die_H_hoog_km">Parameters!#REF!</definedName>
    <definedName name="Onderh_die_I" localSheetId="12">[2]Parameters!#REF!</definedName>
    <definedName name="Onderh_die_I" localSheetId="14">[2]Parameters!#REF!</definedName>
    <definedName name="Onderh_die_I">Parameters!#REF!</definedName>
    <definedName name="Onderh_die_I_hoog_km" localSheetId="12">[2]Parameters!#REF!</definedName>
    <definedName name="Onderh_die_I_hoog_km" localSheetId="14">[2]Parameters!#REF!</definedName>
    <definedName name="Onderh_die_I_hoog_km">Parameters!#REF!</definedName>
    <definedName name="Onderh_die_J">Parameters!$U$13</definedName>
    <definedName name="Onderh_die_J_hoog_km" localSheetId="12">[2]Parameters!$S$13</definedName>
    <definedName name="Onderh_die_J_hoog_km" localSheetId="14">[2]Parameters!$S$13</definedName>
    <definedName name="Onderh_die_J_hoog_km">Parameters!$V$13</definedName>
    <definedName name="Onderh_die_K">Parameters!$U$14</definedName>
    <definedName name="Onderh_die_K_hoog_km" localSheetId="12">[2]Parameters!$S$14</definedName>
    <definedName name="Onderh_die_K_hoog_km" localSheetId="14">[2]Parameters!$S$14</definedName>
    <definedName name="Onderh_die_K_hoog_km">Parameters!$V$14</definedName>
    <definedName name="Onderh_die_L" localSheetId="12">[2]Parameters!$R$15</definedName>
    <definedName name="Onderh_die_L" localSheetId="14">[2]Parameters!$R$15</definedName>
    <definedName name="Onderh_die_L" localSheetId="1">[3]Parameters!$T$12</definedName>
    <definedName name="Onderh_die_L" localSheetId="0">[4]Parameters!$R$12</definedName>
    <definedName name="Onderh_die_L" localSheetId="7">[3]Parameters!$T$12</definedName>
    <definedName name="Onderh_die_L">Parameters!$U$15</definedName>
    <definedName name="Onderh_die_L_hoog_km" localSheetId="12">[2]Parameters!$S$15</definedName>
    <definedName name="Onderh_die_L_hoog_km" localSheetId="14">[2]Parameters!$S$15</definedName>
    <definedName name="Onderh_die_L_hoog_km" localSheetId="1">[3]Parameters!$U$12</definedName>
    <definedName name="Onderh_die_L_hoog_km" localSheetId="7">[3]Parameters!$U$12</definedName>
    <definedName name="Onderh_die_L_hoog_km">Parameters!$V$15</definedName>
    <definedName name="Onderh_die_M" localSheetId="12">[2]Parameters!$R$16</definedName>
    <definedName name="Onderh_die_M" localSheetId="14">[2]Parameters!$R$16</definedName>
    <definedName name="Onderh_die_M" localSheetId="1">[3]Parameters!$T$13</definedName>
    <definedName name="Onderh_die_M" localSheetId="0">[4]Parameters!$R$13</definedName>
    <definedName name="Onderh_die_M" localSheetId="7">[3]Parameters!$T$13</definedName>
    <definedName name="Onderh_die_M">Parameters!$U$16</definedName>
    <definedName name="Onderh_die_M_hoog_km" localSheetId="12">[2]Parameters!$S$16</definedName>
    <definedName name="Onderh_die_M_hoog_km" localSheetId="14">[2]Parameters!$S$16</definedName>
    <definedName name="Onderh_die_M_hoog_km" localSheetId="1">[3]Parameters!$U$13</definedName>
    <definedName name="Onderh_die_M_hoog_km" localSheetId="7">[3]Parameters!$U$13</definedName>
    <definedName name="Onderh_die_M_hoog_km">Parameters!$V$16</definedName>
    <definedName name="Onderh_die_rolstoelbus" localSheetId="12">[2]Parameters!$R$21</definedName>
    <definedName name="Onderh_die_rolstoelbus" localSheetId="14">[2]Parameters!$R$21</definedName>
    <definedName name="Onderh_die_rolstoelbus" localSheetId="1">[3]Parameters!$T$17</definedName>
    <definedName name="Onderh_die_rolstoelbus" localSheetId="7">[3]Parameters!$T$17</definedName>
    <definedName name="Onderh_die_rolstoelbus">Parameters!$U$21</definedName>
    <definedName name="Onderh_die_rolstoelbus_hoog_km" localSheetId="12">[2]Parameters!$S$21</definedName>
    <definedName name="Onderh_die_rolstoelbus_hoog_km" localSheetId="14">[2]Parameters!$S$21</definedName>
    <definedName name="Onderh_die_rolstoelbus_hoog_km" localSheetId="1">[3]Parameters!$U$17</definedName>
    <definedName name="Onderh_die_rolstoelbus_hoog_km" localSheetId="7">[3]Parameters!$U$17</definedName>
    <definedName name="Onderh_die_rolstoelbus_hoog_km">Parameters!$V$21</definedName>
    <definedName name="Onderh_die_taxibus_groot" localSheetId="12">[2]Parameters!$R$20</definedName>
    <definedName name="Onderh_die_taxibus_groot" localSheetId="14">[2]Parameters!$R$20</definedName>
    <definedName name="Onderh_die_taxibus_groot" localSheetId="1">[3]Parameters!$T$16</definedName>
    <definedName name="Onderh_die_taxibus_groot" localSheetId="7">[3]Parameters!$T$16</definedName>
    <definedName name="Onderh_die_taxibus_groot">Parameters!$U$20</definedName>
    <definedName name="Onderh_die_taxibus_groot_hoog_km" localSheetId="12">[2]Parameters!$S$20</definedName>
    <definedName name="Onderh_die_taxibus_groot_hoog_km" localSheetId="14">[2]Parameters!$S$20</definedName>
    <definedName name="Onderh_die_taxibus_groot_hoog_km" localSheetId="1">[3]Parameters!$U$16</definedName>
    <definedName name="Onderh_die_taxibus_groot_hoog_km" localSheetId="7">[3]Parameters!$U$16</definedName>
    <definedName name="Onderh_die_taxibus_groot_hoog_km">Parameters!$V$20</definedName>
    <definedName name="Onderh_die_taxibus_klein" localSheetId="12">[2]Parameters!$R$18</definedName>
    <definedName name="Onderh_die_taxibus_klein" localSheetId="14">[2]Parameters!$R$18</definedName>
    <definedName name="Onderh_die_taxibus_klein" localSheetId="1">[3]Parameters!$T$15</definedName>
    <definedName name="Onderh_die_taxibus_klein" localSheetId="7">[3]Parameters!$T$15</definedName>
    <definedName name="Onderh_die_taxibus_klein">Parameters!$U$18</definedName>
    <definedName name="Onderh_die_taxibus_klein_hoog_km" localSheetId="12">[2]Parameters!$S$18</definedName>
    <definedName name="Onderh_die_taxibus_klein_hoog_km" localSheetId="14">[2]Parameters!$S$18</definedName>
    <definedName name="Onderh_die_taxibus_klein_hoog_km" localSheetId="1">[3]Parameters!$U$15</definedName>
    <definedName name="Onderh_die_taxibus_klein_hoog_km" localSheetId="7">[3]Parameters!$U$15</definedName>
    <definedName name="Onderh_die_taxibus_klein_hoog_km">Parameters!$V$18</definedName>
    <definedName name="Onderh_die_taxibus_middel">Parameters!$U$19</definedName>
    <definedName name="Onderh_die_taxibus_middel_hoog_km" localSheetId="12">[2]Parameters!$S$19</definedName>
    <definedName name="Onderh_die_taxibus_middel_hoog_km" localSheetId="14">[2]Parameters!$S$19</definedName>
    <definedName name="Onderh_die_taxibus_middel_hoog_km">Parameters!$V$19</definedName>
    <definedName name="Onderh_die_veegmachine">[2]Parameters!#REF!</definedName>
    <definedName name="Onderh_die_veegmachine_hoog_km">[2]Parameters!#REF!</definedName>
    <definedName name="Onderh_die_veegvuilwagen">Parameters!$U$27</definedName>
    <definedName name="Onderh_die_veegvuilwagen_hoog_km">Parameters!$V$27</definedName>
    <definedName name="Onderh_die_veegwagen">Parameters!$U$29</definedName>
    <definedName name="Onderh_die_veegwagen_hoog_km">Parameters!$V$29</definedName>
    <definedName name="Onderh_die_vuilniswagen">Parameters!$U$28</definedName>
    <definedName name="Onderh_die_vuilniswagen_hoog_km">Parameters!$V$28</definedName>
    <definedName name="Onderh_dies_A">Parameters!$U$7</definedName>
    <definedName name="Onderh_FCEV_A">Parameters!$U$111</definedName>
    <definedName name="Onderh_FCEV_A_hoog_km">Parameters!$V$111</definedName>
    <definedName name="Onderh_FCEV_B">Parameters!$U$112</definedName>
    <definedName name="Onderh_FCEV_B_hoog_km">Parameters!$V$112</definedName>
    <definedName name="Onderh_FCEV_bestel_groot">Parameters!$U$129</definedName>
    <definedName name="Onderh_FCEV_bestel_groot_hoog_km">Parameters!$V$129</definedName>
    <definedName name="Onderh_FCEV_bestel_klein">Parameters!$U$127</definedName>
    <definedName name="Onderh_FCEV_bestel_klein_hoog_km">Parameters!$V$127</definedName>
    <definedName name="Onderh_FCEV_bestel_middel">Parameters!$U$128</definedName>
    <definedName name="Onderh_FCEV_bestel_middel_hoog_km">Parameters!$V$128</definedName>
    <definedName name="Onderh_FCEV_C">Parameters!$U$113</definedName>
    <definedName name="Onderh_FCEV_C_hoog_km">Parameters!$V$113</definedName>
    <definedName name="Onderh_FCEV_D">Parameters!$U$114</definedName>
    <definedName name="Onderh_FCEV_D_hoog_km">Parameters!$V$114</definedName>
    <definedName name="Onderh_FCEV_E">Parameters!$U$115</definedName>
    <definedName name="Onderh_FCEV_E_hoog_km">Parameters!$V$115</definedName>
    <definedName name="Onderh_FCEV_F">Parameters!$U$116</definedName>
    <definedName name="Onderh_FCEV_F_hoog_km">Parameters!$V$116</definedName>
    <definedName name="Onderh_FCEV_J">Parameters!$U$117</definedName>
    <definedName name="Onderh_FCEV_J_hoog_km">Parameters!$V$117</definedName>
    <definedName name="Onderh_FCEV_K">Parameters!$U$118</definedName>
    <definedName name="Onderh_FCEV_K_hoog_km">Parameters!$V$118</definedName>
    <definedName name="Onderh_FCEV_L">Parameters!$U$119</definedName>
    <definedName name="Onderh_FCEV_L_hoog_km">Parameters!$V$119</definedName>
    <definedName name="Onderh_FCEV_M">Parameters!$U$120</definedName>
    <definedName name="Onderh_FCEV_M_hoog_km">Parameters!$V$120</definedName>
    <definedName name="Onderh_FCEV_rolstoel">Parameters!$U$125</definedName>
    <definedName name="Onderh_FCEV_taxi_groot">Parameters!$U$124</definedName>
    <definedName name="Onderh_FCEV_taxi_groot_hoog_km">Parameters!$V$124</definedName>
    <definedName name="Onderh_FCEV_taxi_klein">Parameters!$U$122</definedName>
    <definedName name="Onderh_FCEV_taxi_klein_hoog_km">Parameters!$V$122</definedName>
    <definedName name="Onderh_FCEV_taxi_middel">Parameters!$U$123</definedName>
    <definedName name="Onderh_FCEV_taxi_middel_hoog_km">Parameters!$V$123</definedName>
    <definedName name="Onderh_FCEV_taxi_rolstoel_hoog_km">Parameters!$V$125</definedName>
    <definedName name="Onderh_FCEV_veegvuilwagen">Parameters!$U$131</definedName>
    <definedName name="Onderh_FCEV_veegvuilwagen_hoog_km">Parameters!$V$131</definedName>
    <definedName name="Onderh_FCEV_veegwagen">Parameters!$U$133</definedName>
    <definedName name="Onderh_FCEV_veegwagen_hoog_km">Parameters!$V$133</definedName>
    <definedName name="Onderh_FCEV_vuilniswagen">Parameters!$U$132</definedName>
    <definedName name="Onderh_FCEV_vuilniswagen_hoog_km">Parameters!$V$132</definedName>
    <definedName name="prijs_benz" localSheetId="12">[2]Parameters!$B$196</definedName>
    <definedName name="prijs_benz" localSheetId="14">[2]Parameters!$B$196</definedName>
    <definedName name="prijs_benz" localSheetId="1">[3]Parameters!$B$156</definedName>
    <definedName name="prijs_benz" localSheetId="0">[4]Parameters!$B$118</definedName>
    <definedName name="prijs_benz" localSheetId="7">[3]Parameters!$B$156</definedName>
    <definedName name="prijs_benz">Parameters!$B$230</definedName>
    <definedName name="prijs_CNG" localSheetId="12">[2]Parameters!$B$198</definedName>
    <definedName name="prijs_CNG" localSheetId="14">[2]Parameters!$B$198</definedName>
    <definedName name="prijs_CNG" localSheetId="1">[3]Parameters!$B$158</definedName>
    <definedName name="prijs_CNG" localSheetId="7">[3]Parameters!$B$158</definedName>
    <definedName name="prijs_CNG">Parameters!$B$232</definedName>
    <definedName name="prijs_die" localSheetId="12">[2]Parameters!$B$197</definedName>
    <definedName name="prijs_die" localSheetId="14">[2]Parameters!$B$197</definedName>
    <definedName name="prijs_die" localSheetId="1">[3]Parameters!$B$157</definedName>
    <definedName name="prijs_die" localSheetId="0">[4]Parameters!$B$119</definedName>
    <definedName name="prijs_die" localSheetId="7">[3]Parameters!$B$157</definedName>
    <definedName name="prijs_die">Parameters!$F$280</definedName>
    <definedName name="prijs_elek_berekening" localSheetId="12">'[2]2. Invoer parameters'!$C$119</definedName>
    <definedName name="prijs_elek_berekening" localSheetId="14">'[2]2. Invoer parameters'!$C$119</definedName>
    <definedName name="prijs_elek_berekening" localSheetId="1">'[3]2. Invoer parameters'!$C$101</definedName>
    <definedName name="prijs_elek_berekening" localSheetId="0">'[4]2. Invoer parameters'!$C$82</definedName>
    <definedName name="prijs_elek_berekening" localSheetId="7">'[3]2. Invoer parameters'!$C$101</definedName>
    <definedName name="prijs_elek_berekening">'2. Invoer parameters'!$C$164</definedName>
    <definedName name="prijs_elek_kantoor" localSheetId="12">[2]Parameters!$B$201</definedName>
    <definedName name="prijs_elek_kantoor" localSheetId="14">[2]Parameters!$B$201</definedName>
    <definedName name="prijs_elek_kantoor" localSheetId="1">[3]Parameters!$B$161</definedName>
    <definedName name="prijs_elek_kantoor" localSheetId="7">[3]Parameters!$B$161</definedName>
    <definedName name="prijs_elek_kantoor">Parameters!$B$235</definedName>
    <definedName name="prijs_elek_kantoor_handmatig">'2. Invoer parameters'!$C$16</definedName>
    <definedName name="prijs_elek_publiek_langzaam" localSheetId="12">[2]Parameters!$B$203</definedName>
    <definedName name="prijs_elek_publiek_langzaam" localSheetId="14">[2]Parameters!$B$203</definedName>
    <definedName name="prijs_elek_publiek_langzaam" localSheetId="1">[3]Parameters!$B$163</definedName>
    <definedName name="prijs_elek_publiek_langzaam" localSheetId="7">[3]Parameters!$B$163</definedName>
    <definedName name="prijs_elek_publiek_langzaam">Parameters!$B$237</definedName>
    <definedName name="prijs_elek_publiek_snellaad" localSheetId="12">[2]Parameters!$B$204</definedName>
    <definedName name="prijs_elek_publiek_snellaad" localSheetId="14">[2]Parameters!$B$204</definedName>
    <definedName name="prijs_elek_publiek_snellaad" localSheetId="1">[3]Parameters!$B$164</definedName>
    <definedName name="prijs_elek_publiek_snellaad" localSheetId="7">[3]Parameters!$B$164</definedName>
    <definedName name="prijs_elek_publiek_snellaad">Parameters!$B$238</definedName>
    <definedName name="prijs_elek_thuis">Parameters!$B$236</definedName>
    <definedName name="prijs_H2" localSheetId="12">'[2]2. Invoer parameters'!$C$112</definedName>
    <definedName name="prijs_H2" localSheetId="14">'[2]2. Invoer parameters'!$C$112</definedName>
    <definedName name="prijs_H2">'2. Invoer parameters'!$C$156</definedName>
    <definedName name="Rente_financiering" localSheetId="12">'[2]2. Invoer parameters'!$C$22</definedName>
    <definedName name="Rente_financiering" localSheetId="14">'[2]2. Invoer parameters'!$C$22</definedName>
    <definedName name="Rente_financiering" localSheetId="1">'[3]2. Invoer parameters'!$C$27</definedName>
    <definedName name="Rente_financiering" localSheetId="7">'[3]2. Invoer parameters'!$C$27</definedName>
    <definedName name="Rente_financiering">'2. Invoer parameters'!$C$41</definedName>
    <definedName name="Rest_1" localSheetId="12">[2]Parameters!$B$138</definedName>
    <definedName name="Rest_1" localSheetId="14">[2]Parameters!$B$138</definedName>
    <definedName name="Rest_1" localSheetId="1">[3]Parameters!$B$101</definedName>
    <definedName name="Rest_1" localSheetId="0">[4]Parameters!$B$62</definedName>
    <definedName name="Rest_1" localSheetId="7">[3]Parameters!$B$101</definedName>
    <definedName name="Rest_1">Parameters!$B$147</definedName>
    <definedName name="Rest_1_huisvuil">Parameters!$B$159</definedName>
    <definedName name="Rest_1_veegwagen">Parameters!$B$171</definedName>
    <definedName name="Rest_10" localSheetId="12">[2]Parameters!$B$147</definedName>
    <definedName name="Rest_10" localSheetId="14">[2]Parameters!$B$147</definedName>
    <definedName name="Rest_10" localSheetId="1">[3]Parameters!$B$110</definedName>
    <definedName name="Rest_10" localSheetId="0">[4]Parameters!$B$71</definedName>
    <definedName name="Rest_10" localSheetId="7">[3]Parameters!$B$110</definedName>
    <definedName name="Rest_10">Parameters!$B$156</definedName>
    <definedName name="Rest_10_huisvuil">Parameters!$B$168</definedName>
    <definedName name="Rest_10_veegwagen">Parameters!$B$180</definedName>
    <definedName name="Rest_2" localSheetId="12">[2]Parameters!$B$139</definedName>
    <definedName name="Rest_2" localSheetId="14">[2]Parameters!$B$139</definedName>
    <definedName name="Rest_2" localSheetId="1">[3]Parameters!$B$102</definedName>
    <definedName name="Rest_2" localSheetId="0">[4]Parameters!$B$63</definedName>
    <definedName name="Rest_2" localSheetId="7">[3]Parameters!$B$102</definedName>
    <definedName name="Rest_2">Parameters!$B$148</definedName>
    <definedName name="Rest_2_huisvuil">Parameters!$B$160</definedName>
    <definedName name="Rest_2_veegwagen">Parameters!$B$172</definedName>
    <definedName name="Rest_3" localSheetId="12">[2]Parameters!$B$140</definedName>
    <definedName name="Rest_3" localSheetId="14">[2]Parameters!$B$140</definedName>
    <definedName name="Rest_3" localSheetId="1">[3]Parameters!$B$103</definedName>
    <definedName name="Rest_3" localSheetId="0">[4]Parameters!$B$64</definedName>
    <definedName name="Rest_3" localSheetId="7">[3]Parameters!$B$103</definedName>
    <definedName name="Rest_3">Parameters!$B$149</definedName>
    <definedName name="Rest_3_huisvuil">Parameters!$B$161</definedName>
    <definedName name="Rest_3_veegwagen">Parameters!$B$173</definedName>
    <definedName name="Rest_4" localSheetId="12">[2]Parameters!$B$141</definedName>
    <definedName name="Rest_4" localSheetId="14">[2]Parameters!$B$141</definedName>
    <definedName name="Rest_4" localSheetId="1">[3]Parameters!$B$104</definedName>
    <definedName name="Rest_4" localSheetId="0">[4]Parameters!$B$65</definedName>
    <definedName name="Rest_4" localSheetId="7">[3]Parameters!$B$104</definedName>
    <definedName name="Rest_4">Parameters!$B$150</definedName>
    <definedName name="Rest_4_huisvuil">Parameters!$B$162</definedName>
    <definedName name="Rest_4_veegwagen">Parameters!$B$174</definedName>
    <definedName name="Rest_5" localSheetId="12">[2]Parameters!$B$142</definedName>
    <definedName name="Rest_5" localSheetId="14">[2]Parameters!$B$142</definedName>
    <definedName name="Rest_5" localSheetId="1">[3]Parameters!$B$105</definedName>
    <definedName name="Rest_5" localSheetId="0">[4]Parameters!$B$66</definedName>
    <definedName name="Rest_5" localSheetId="7">[3]Parameters!$B$105</definedName>
    <definedName name="Rest_5">Parameters!$B$151</definedName>
    <definedName name="Rest_5_huisvuil">Parameters!$B$163</definedName>
    <definedName name="Rest_5_veegwagen">Parameters!$B$175</definedName>
    <definedName name="Rest_6" localSheetId="12">[2]Parameters!$B$143</definedName>
    <definedName name="Rest_6" localSheetId="14">[2]Parameters!$B$143</definedName>
    <definedName name="Rest_6" localSheetId="1">[3]Parameters!$B$106</definedName>
    <definedName name="Rest_6" localSheetId="0">[4]Parameters!$B$67</definedName>
    <definedName name="Rest_6" localSheetId="7">[3]Parameters!$B$106</definedName>
    <definedName name="Rest_6">Parameters!$B$152</definedName>
    <definedName name="Rest_6_huisvuil">Parameters!$B$164</definedName>
    <definedName name="Rest_6_veegwagen">Parameters!$B$176</definedName>
    <definedName name="Rest_7" localSheetId="12">[2]Parameters!$B$144</definedName>
    <definedName name="Rest_7" localSheetId="14">[2]Parameters!$B$144</definedName>
    <definedName name="Rest_7" localSheetId="1">[3]Parameters!$B$107</definedName>
    <definedName name="Rest_7" localSheetId="0">[4]Parameters!$B$68</definedName>
    <definedName name="Rest_7" localSheetId="7">[3]Parameters!$B$107</definedName>
    <definedName name="Rest_7">Parameters!$B$153</definedName>
    <definedName name="Rest_7_huisvuil">Parameters!$B$165</definedName>
    <definedName name="Rest_7_veegwagen">Parameters!$B$177</definedName>
    <definedName name="Rest_8" localSheetId="12">[2]Parameters!$B$145</definedName>
    <definedName name="Rest_8" localSheetId="14">[2]Parameters!$B$145</definedName>
    <definedName name="Rest_8" localSheetId="1">[3]Parameters!$B$108</definedName>
    <definedName name="Rest_8" localSheetId="0">[4]Parameters!$B$69</definedName>
    <definedName name="Rest_8" localSheetId="7">[3]Parameters!$B$108</definedName>
    <definedName name="Rest_8">Parameters!$B$154</definedName>
    <definedName name="Rest_8_huisvuil">Parameters!$B$166</definedName>
    <definedName name="Rest_8_veegwagen">Parameters!$B$178</definedName>
    <definedName name="Rest_9" localSheetId="12">[2]Parameters!$B$146</definedName>
    <definedName name="Rest_9" localSheetId="14">[2]Parameters!$B$146</definedName>
    <definedName name="Rest_9" localSheetId="1">[3]Parameters!$B$109</definedName>
    <definedName name="Rest_9" localSheetId="0">[4]Parameters!$B$70</definedName>
    <definedName name="Rest_9" localSheetId="7">[3]Parameters!$B$109</definedName>
    <definedName name="Rest_9">Parameters!$B$155</definedName>
    <definedName name="Rest_9_huisvuil">Parameters!$B$167</definedName>
    <definedName name="Rest_9_veegwagen">Parameters!$B$179</definedName>
    <definedName name="Rest_perc" localSheetId="12">'[2]2. Invoer parameters'!$C$28</definedName>
    <definedName name="Rest_perc" localSheetId="14">'[2]2. Invoer parameters'!$C$28</definedName>
    <definedName name="Rest_perc" localSheetId="1">'[3]2. Invoer parameters'!$C$33</definedName>
    <definedName name="Rest_perc" localSheetId="0">'[4]2. Invoer parameters'!$C$27</definedName>
    <definedName name="Rest_perc" localSheetId="7">'[3]2. Invoer parameters'!$C$33</definedName>
    <definedName name="Rest_perc">'2. Invoer parameters'!$C$48</definedName>
    <definedName name="Rest_perc_huisvuil">'2. Invoer parameters'!$C$53</definedName>
    <definedName name="Rest_perc_veegwagen">'2. Invoer parameters'!$C$54</definedName>
    <definedName name="Rest_perc_ZE" localSheetId="12">'[2]2. Invoer parameters'!$C$29</definedName>
    <definedName name="Rest_perc_ZE" localSheetId="14">'[2]2. Invoer parameters'!$C$29</definedName>
    <definedName name="Rest_perc_ZE">'2. Invoer parameters'!$C$49</definedName>
    <definedName name="startjaar" localSheetId="12">'[2]2. Invoer parameters'!$C$3</definedName>
    <definedName name="startjaar" localSheetId="14">'[2]2. Invoer parameters'!$C$3</definedName>
    <definedName name="startjaar">'2. Invoer parameters'!$C$4</definedName>
    <definedName name="verbr_benz_A" localSheetId="12">[2]_fossiel_pers!$F$25</definedName>
    <definedName name="verbr_benz_A" localSheetId="14">[2]_fossiel_pers!$F$25</definedName>
    <definedName name="verbr_benz_A" localSheetId="1">[3]_Personenauto!$F$25</definedName>
    <definedName name="verbr_benz_A" localSheetId="0">[4]_Personenauto!$F$25</definedName>
    <definedName name="verbr_benz_A" localSheetId="7">[3]_Personenauto!$F$25</definedName>
    <definedName name="verbr_benz_A">_fossiel_pers!$F$25</definedName>
    <definedName name="verbr_benz_B" localSheetId="12">[2]_fossiel_pers!$F$44</definedName>
    <definedName name="verbr_benz_B" localSheetId="14">[2]_fossiel_pers!$F$44</definedName>
    <definedName name="verbr_benz_B" localSheetId="1">[3]_Personenauto!$F$44</definedName>
    <definedName name="verbr_benz_B" localSheetId="0">[4]_Personenauto!$F$44</definedName>
    <definedName name="verbr_benz_B" localSheetId="7">[3]_Personenauto!$F$44</definedName>
    <definedName name="verbr_benz_B">_fossiel_pers!$F$44</definedName>
    <definedName name="verbr_benz_bestel_groot" localSheetId="12">[2]_fossiel_LCV!$G$138</definedName>
    <definedName name="verbr_benz_bestel_groot" localSheetId="14">[2]_fossiel_LCV!$G$138</definedName>
    <definedName name="verbr_benz_bestel_groot">_fossiel_LCV!$G$138</definedName>
    <definedName name="verbr_benz_bestel_klein" localSheetId="12">[2]_fossiel_LCV!$G$116</definedName>
    <definedName name="verbr_benz_bestel_klein" localSheetId="14">[2]_fossiel_LCV!$G$116</definedName>
    <definedName name="verbr_benz_bestel_klein">_fossiel_LCV!$G$116</definedName>
    <definedName name="verbr_benz_bestel_middel" localSheetId="12">[2]_fossiel_LCV!$G$127</definedName>
    <definedName name="verbr_benz_bestel_middel" localSheetId="14">[2]_fossiel_LCV!$G$127</definedName>
    <definedName name="verbr_benz_bestel_middel">_fossiel_LCV!$G$127</definedName>
    <definedName name="verbr_benz_C" localSheetId="12">[2]_fossiel_pers!$F$64</definedName>
    <definedName name="verbr_benz_C" localSheetId="14">[2]_fossiel_pers!$F$64</definedName>
    <definedName name="verbr_benz_C" localSheetId="1">[3]_Personenauto!$F$64</definedName>
    <definedName name="verbr_benz_C" localSheetId="0">[4]_Personenauto!$F$64</definedName>
    <definedName name="verbr_benz_C" localSheetId="7">[3]_Personenauto!$F$64</definedName>
    <definedName name="verbr_benz_C">_fossiel_pers!$F$64</definedName>
    <definedName name="verbr_benz_D" localSheetId="12">[2]_fossiel_pers!$F$84</definedName>
    <definedName name="verbr_benz_D" localSheetId="14">[2]_fossiel_pers!$F$84</definedName>
    <definedName name="verbr_benz_D" localSheetId="1">[3]_Personenauto!$F$84</definedName>
    <definedName name="verbr_benz_D" localSheetId="0">[4]_Personenauto!$F$84</definedName>
    <definedName name="verbr_benz_D" localSheetId="7">[3]_Personenauto!$F$84</definedName>
    <definedName name="verbr_benz_D">_fossiel_pers!$F$84</definedName>
    <definedName name="verbr_benz_E" localSheetId="12">[2]_fossiel_pers!$F$104</definedName>
    <definedName name="verbr_benz_E" localSheetId="14">[2]_fossiel_pers!$F$104</definedName>
    <definedName name="verbr_benz_E" localSheetId="1">[3]_Personenauto!$F$104</definedName>
    <definedName name="verbr_benz_E" localSheetId="0">[4]_Personenauto!$F$104</definedName>
    <definedName name="verbr_benz_E" localSheetId="7">[3]_Personenauto!$F$104</definedName>
    <definedName name="verbr_benz_E">_fossiel_pers!$F$104</definedName>
    <definedName name="verbr_benz_F" localSheetId="12">[2]_fossiel_pers!$F$124</definedName>
    <definedName name="verbr_benz_F" localSheetId="14">[2]_fossiel_pers!$F$124</definedName>
    <definedName name="verbr_benz_F" localSheetId="1">[3]_Personenauto!$F$124</definedName>
    <definedName name="verbr_benz_F" localSheetId="0">[4]_Personenauto!$F$124</definedName>
    <definedName name="verbr_benz_F" localSheetId="7">[3]_Personenauto!$F$124</definedName>
    <definedName name="verbr_benz_F">_fossiel_pers!$F$124</definedName>
    <definedName name="verbr_benz_groot_taxibus" localSheetId="12">[2]_fossiel_minibus!$E$98</definedName>
    <definedName name="verbr_benz_groot_taxibus" localSheetId="14">[2]_fossiel_minibus!$E$98</definedName>
    <definedName name="verbr_benz_groot_taxibus">_fossiel_minibus!$E$98</definedName>
    <definedName name="verbr_benz_grote_taxibus">[3]_Taxibussen!$E$49</definedName>
    <definedName name="verbr_benz_J" localSheetId="12">[2]_fossiel_pers!$F$144</definedName>
    <definedName name="verbr_benz_J" localSheetId="14">[2]_fossiel_pers!$F$144</definedName>
    <definedName name="verbr_benz_J" localSheetId="1">[3]_Personenauto!$F$144</definedName>
    <definedName name="verbr_benz_J" localSheetId="0">[4]_Personenauto!$F$144</definedName>
    <definedName name="verbr_benz_J" localSheetId="7">[3]_Personenauto!$F$144</definedName>
    <definedName name="verbr_benz_J">_fossiel_pers!$F$144</definedName>
    <definedName name="verbr_benz_kleine_taxibus" localSheetId="12">[2]_fossiel_minibus!$E$29</definedName>
    <definedName name="verbr_benz_kleine_taxibus" localSheetId="14">[2]_fossiel_minibus!$E$29</definedName>
    <definedName name="verbr_benz_kleine_taxibus" localSheetId="1">[3]_Taxibussen!$E$22</definedName>
    <definedName name="verbr_benz_kleine_taxibus" localSheetId="7">[3]_Taxibussen!$E$22</definedName>
    <definedName name="verbr_benz_kleine_taxibus">_fossiel_minibus!$E$29</definedName>
    <definedName name="verbr_benz_L" localSheetId="12">[2]_fossiel_pers!$F$164</definedName>
    <definedName name="verbr_benz_L" localSheetId="14">[2]_fossiel_pers!$F$164</definedName>
    <definedName name="verbr_benz_L" localSheetId="1">[3]_Personenauto!$F$164</definedName>
    <definedName name="verbr_benz_L" localSheetId="0">[4]_Personenauto!$F$164</definedName>
    <definedName name="verbr_benz_L" localSheetId="7">[3]_Personenauto!$F$164</definedName>
    <definedName name="verbr_benz_L">_fossiel_pers!$F$164</definedName>
    <definedName name="verbr_benz_M" localSheetId="12">[2]_fossiel_pers!$F$184</definedName>
    <definedName name="verbr_benz_M" localSheetId="14">[2]_fossiel_pers!$F$184</definedName>
    <definedName name="verbr_benz_M" localSheetId="1">[3]_Personenauto!$F$184</definedName>
    <definedName name="verbr_benz_M" localSheetId="0">[4]_Personenauto!$F$184</definedName>
    <definedName name="verbr_benz_M" localSheetId="7">[3]_Personenauto!$F$184</definedName>
    <definedName name="verbr_benz_M">_fossiel_pers!$F$184</definedName>
    <definedName name="verbr_benz_middel_taxibus" localSheetId="12">[2]_fossiel_minibus!$E$63</definedName>
    <definedName name="verbr_benz_middel_taxibus" localSheetId="14">[2]_fossiel_minibus!$E$63</definedName>
    <definedName name="verbr_benz_middel_taxibus">_fossiel_minibus!$E$63</definedName>
    <definedName name="verbr_benz_rolstoelbus" localSheetId="12">[2]_fossiel_minibus!$E$130</definedName>
    <definedName name="verbr_benz_rolstoelbus" localSheetId="14">[2]_fossiel_minibus!$E$130</definedName>
    <definedName name="verbr_benz_rolstoelbus" localSheetId="1">[3]_Taxibussen!$E$75</definedName>
    <definedName name="verbr_benz_rolstoelbus" localSheetId="7">[3]_Taxibussen!$E$75</definedName>
    <definedName name="verbr_benz_rolstoelbus">_fossiel_minibus!$E$130</definedName>
    <definedName name="verbr_BEV_A" localSheetId="1">[3]Parameters!$E$71</definedName>
    <definedName name="verbr_BEV_A" localSheetId="0">[4]Parameters!$E$39</definedName>
    <definedName name="verbr_BEV_A" localSheetId="7">[3]Parameters!$E$71</definedName>
    <definedName name="verbr_BEV_A">[2]Parameters!$F$83</definedName>
    <definedName name="verbr_BEV_B" localSheetId="1">[3]Parameters!$E$72</definedName>
    <definedName name="verbr_BEV_B" localSheetId="0">[4]Parameters!$E$40</definedName>
    <definedName name="verbr_BEV_B" localSheetId="7">[3]Parameters!$E$72</definedName>
    <definedName name="verbr_BEV_B">[2]Parameters!$F$84</definedName>
    <definedName name="verbr_BEV_bestel_groot" localSheetId="1">[3]Parameters!$E$89</definedName>
    <definedName name="verbr_BEV_bestel_groot" localSheetId="0">[4]Parameters!$E$50</definedName>
    <definedName name="verbr_BEV_bestel_groot" localSheetId="7">[3]Parameters!$E$89</definedName>
    <definedName name="verbr_BEV_bestel_groot">[2]Parameters!$F$101</definedName>
    <definedName name="verbr_BEV_bestel_klein" localSheetId="1">[3]Parameters!$E$87</definedName>
    <definedName name="verbr_BEV_bestel_klein" localSheetId="0">[4]Parameters!$E$48</definedName>
    <definedName name="verbr_BEV_bestel_klein" localSheetId="7">[3]Parameters!$E$87</definedName>
    <definedName name="verbr_BEV_bestel_klein">[2]Parameters!$F$99</definedName>
    <definedName name="verbr_BEV_bestel_middel" localSheetId="0">[4]Parameters!$E$49</definedName>
    <definedName name="verbr_BEV_bestel_middel">[2]Parameters!$F$100</definedName>
    <definedName name="verbr_BEV_C" localSheetId="1">[3]Parameters!$E$73</definedName>
    <definedName name="verbr_BEV_C" localSheetId="0">[4]Parameters!$E$41</definedName>
    <definedName name="verbr_BEV_C" localSheetId="7">[3]Parameters!$E$73</definedName>
    <definedName name="verbr_BEV_C">[2]Parameters!$F$85</definedName>
    <definedName name="verbr_BEV_D" localSheetId="1">[3]Parameters!$E$74</definedName>
    <definedName name="verbr_BEV_D" localSheetId="0">[4]Parameters!$E$42</definedName>
    <definedName name="verbr_BEV_D" localSheetId="7">[3]Parameters!$E$74</definedName>
    <definedName name="verbr_BEV_D">[2]Parameters!$F$86</definedName>
    <definedName name="verbr_BEV_E" localSheetId="1">[3]Parameters!$E$75</definedName>
    <definedName name="verbr_BEV_E" localSheetId="0">[4]Parameters!$E$43</definedName>
    <definedName name="verbr_BEV_E" localSheetId="7">[3]Parameters!$E$75</definedName>
    <definedName name="verbr_BEV_E">[2]Parameters!$F$87</definedName>
    <definedName name="verbr_BEV_F" localSheetId="1">[3]Parameters!$E$76</definedName>
    <definedName name="verbr_BEV_F" localSheetId="0">[4]Parameters!$E$44</definedName>
    <definedName name="verbr_BEV_F" localSheetId="7">[3]Parameters!$E$76</definedName>
    <definedName name="verbr_BEV_F">[2]Parameters!$F$88</definedName>
    <definedName name="verbr_BEV_J">[2]Parameters!$F$89</definedName>
    <definedName name="verbr_BEV_K">[2]Parameters!$F$90</definedName>
    <definedName name="verbr_BEV_L" localSheetId="1">[3]Parameters!$E$78</definedName>
    <definedName name="verbr_BEV_L" localSheetId="0">[4]Parameters!$E$46</definedName>
    <definedName name="verbr_BEV_L" localSheetId="7">[3]Parameters!$E$78</definedName>
    <definedName name="verbr_BEV_L">[2]Parameters!$F$91</definedName>
    <definedName name="verbr_BEV_M" localSheetId="1">[3]Parameters!$E$79</definedName>
    <definedName name="verbr_BEV_M" localSheetId="0">[4]Parameters!$E$47</definedName>
    <definedName name="verbr_BEV_M" localSheetId="7">[3]Parameters!$E$79</definedName>
    <definedName name="verbr_BEV_M">[2]Parameters!$F$92</definedName>
    <definedName name="verbr_BEV_rolstoelbus" localSheetId="1">[3]Parameters!$E$85</definedName>
    <definedName name="verbr_BEV_rolstoelbus" localSheetId="7">[3]Parameters!$E$85</definedName>
    <definedName name="verbr_BEV_rolstoelbus">[2]Parameters!$F$97</definedName>
    <definedName name="verbr_BEV_rolstoelbus_ombouw" localSheetId="12">[2]Parameters!#REF!</definedName>
    <definedName name="verbr_BEV_rolstoelbus_ombouw" localSheetId="14">[2]Parameters!#REF!</definedName>
    <definedName name="verbr_BEV_rolstoelbus_ombouw" localSheetId="3">Parameters!#REF!</definedName>
    <definedName name="verbr_BEV_rolstoelbus_ombouw">[2]Parameters!#REF!</definedName>
    <definedName name="verbr_BEV_taxibus_groot" localSheetId="1">[3]Parameters!$E$83</definedName>
    <definedName name="verbr_BEV_taxibus_groot" localSheetId="7">[3]Parameters!$E$83</definedName>
    <definedName name="verbr_BEV_taxibus_groot">[2]Parameters!$F$96</definedName>
    <definedName name="verbr_BEV_taxibus_groot_ombouw" localSheetId="12">[2]Parameters!#REF!</definedName>
    <definedName name="verbr_BEV_taxibus_groot_ombouw" localSheetId="14">[2]Parameters!#REF!</definedName>
    <definedName name="verbr_BEV_taxibus_groot_ombouw" localSheetId="3">Parameters!#REF!</definedName>
    <definedName name="verbr_BEV_taxibus_groot_ombouw">[2]Parameters!#REF!</definedName>
    <definedName name="verbr_BEV_taxibus_klein" localSheetId="1">[3]Parameters!$E$81</definedName>
    <definedName name="verbr_BEV_taxibus_klein" localSheetId="7">[3]Parameters!$E$81</definedName>
    <definedName name="verbr_BEV_taxibus_klein">[2]Parameters!$F$94</definedName>
    <definedName name="verbr_BEV_taxibus_middel">[2]Parameters!$F$95</definedName>
    <definedName name="verbr_CNG_A" localSheetId="12">[2]_CNG!$D$12</definedName>
    <definedName name="verbr_CNG_A" localSheetId="14">[2]_CNG!$D$12</definedName>
    <definedName name="verbr_CNG_A" localSheetId="1">[3]_CNG!$D$12</definedName>
    <definedName name="verbr_CNG_A" localSheetId="7">[3]_CNG!$D$12</definedName>
    <definedName name="verbr_CNG_A">_CNG!$D$12</definedName>
    <definedName name="verbr_CNG_B" localSheetId="12">[2]_CNG!$D$13</definedName>
    <definedName name="verbr_CNG_B" localSheetId="14">[2]_CNG!$D$13</definedName>
    <definedName name="verbr_CNG_B" localSheetId="1">[3]_CNG!$D$13</definedName>
    <definedName name="verbr_CNG_B" localSheetId="7">[3]_CNG!$D$13</definedName>
    <definedName name="verbr_CNG_B">_CNG!$D$13</definedName>
    <definedName name="verbr_CNG_bestel_groot" localSheetId="12">[2]_CNG!$D$29</definedName>
    <definedName name="verbr_CNG_bestel_groot" localSheetId="14">[2]_CNG!$D$29</definedName>
    <definedName name="verbr_CNG_bestel_groot" localSheetId="1">[3]_CNG!$D$28</definedName>
    <definedName name="verbr_CNG_bestel_groot" localSheetId="7">[3]_CNG!$D$28</definedName>
    <definedName name="verbr_CNG_bestel_groot">_CNG!$D$29</definedName>
    <definedName name="verbr_CNG_bestel_klein" localSheetId="12">[2]_CNG!$D$27</definedName>
    <definedName name="verbr_CNG_bestel_klein" localSheetId="14">[2]_CNG!$D$27</definedName>
    <definedName name="verbr_CNG_bestel_klein" localSheetId="1">[3]_CNG!$D$26</definedName>
    <definedName name="verbr_CNG_bestel_klein" localSheetId="7">[3]_CNG!$D$26</definedName>
    <definedName name="verbr_CNG_bestel_klein">_CNG!$D$27</definedName>
    <definedName name="verbr_CNG_bestel_middel" localSheetId="12">[2]_CNG!$D$28</definedName>
    <definedName name="verbr_CNG_bestel_middel" localSheetId="14">[2]_CNG!$D$28</definedName>
    <definedName name="verbr_CNG_bestel_middel" localSheetId="1">[3]_CNG!$D$27</definedName>
    <definedName name="verbr_CNG_bestel_middel" localSheetId="7">[3]_CNG!$D$27</definedName>
    <definedName name="verbr_CNG_bestel_middel">_CNG!$D$28</definedName>
    <definedName name="verbr_CNG_C" localSheetId="12">[2]_CNG!$D$14</definedName>
    <definedName name="verbr_CNG_C" localSheetId="14">[2]_CNG!$D$14</definedName>
    <definedName name="verbr_CNG_C" localSheetId="1">[3]_CNG!$D$14</definedName>
    <definedName name="verbr_CNG_C" localSheetId="7">[3]_CNG!$D$14</definedName>
    <definedName name="verbr_CNG_C">_CNG!$D$14</definedName>
    <definedName name="verbr_CNG_D" localSheetId="12">[2]_CNG!$D$15</definedName>
    <definedName name="verbr_CNG_D" localSheetId="14">[2]_CNG!$D$15</definedName>
    <definedName name="verbr_CNG_D" localSheetId="1">[3]_CNG!$D$15</definedName>
    <definedName name="verbr_CNG_D" localSheetId="7">[3]_CNG!$D$15</definedName>
    <definedName name="verbr_CNG_D">_CNG!$D$15</definedName>
    <definedName name="verbr_CNG_E" localSheetId="12">[2]_CNG!$D$16</definedName>
    <definedName name="verbr_CNG_E" localSheetId="14">[2]_CNG!$D$16</definedName>
    <definedName name="verbr_CNG_E" localSheetId="1">[3]_CNG!$D$16</definedName>
    <definedName name="verbr_CNG_E" localSheetId="7">[3]_CNG!$D$16</definedName>
    <definedName name="verbr_CNG_E">_CNG!$D$16</definedName>
    <definedName name="verbr_CNG_F" localSheetId="12">[2]_CNG!$D$17</definedName>
    <definedName name="verbr_CNG_F" localSheetId="14">[2]_CNG!$D$17</definedName>
    <definedName name="verbr_CNG_F" localSheetId="1">[3]_CNG!$D$17</definedName>
    <definedName name="verbr_CNG_F" localSheetId="7">[3]_CNG!$D$17</definedName>
    <definedName name="verbr_CNG_F">_CNG!$D$17</definedName>
    <definedName name="verbr_CNG_grote_taxibus" localSheetId="12">[2]_CNG!$D$24</definedName>
    <definedName name="verbr_CNG_grote_taxibus" localSheetId="14">[2]_CNG!$D$24</definedName>
    <definedName name="verbr_CNG_grote_taxibus" localSheetId="1">[3]_CNG!$D$23</definedName>
    <definedName name="verbr_CNG_grote_taxibus" localSheetId="7">[3]_CNG!$D$23</definedName>
    <definedName name="verbr_CNG_grote_taxibus">_CNG!$D$24</definedName>
    <definedName name="verbr_CNG_J" localSheetId="12">[2]_CNG!$D$18</definedName>
    <definedName name="verbr_CNG_J" localSheetId="14">[2]_CNG!$D$18</definedName>
    <definedName name="verbr_CNG_J" localSheetId="1">[3]_CNG!$D$18</definedName>
    <definedName name="verbr_CNG_J" localSheetId="7">[3]_CNG!$D$18</definedName>
    <definedName name="verbr_CNG_J">_CNG!$D$18</definedName>
    <definedName name="verbr_CNG_kleine_taxibus" localSheetId="12">[2]_CNG!$D$22</definedName>
    <definedName name="verbr_CNG_kleine_taxibus" localSheetId="14">[2]_CNG!$D$22</definedName>
    <definedName name="verbr_CNG_kleine_taxibus" localSheetId="1">[3]_CNG!$D$22</definedName>
    <definedName name="verbr_CNG_kleine_taxibus" localSheetId="7">[3]_CNG!$D$22</definedName>
    <definedName name="verbr_CNG_kleine_taxibus">_CNG!$D$22</definedName>
    <definedName name="verbr_CNG_L" localSheetId="12">[2]_CNG!$D$19</definedName>
    <definedName name="verbr_CNG_L" localSheetId="14">[2]_CNG!$D$19</definedName>
    <definedName name="verbr_CNG_L" localSheetId="1">[3]_CNG!$D$19</definedName>
    <definedName name="verbr_CNG_L" localSheetId="7">[3]_CNG!$D$19</definedName>
    <definedName name="verbr_CNG_L">_CNG!$D$19</definedName>
    <definedName name="verbr_CNG_M" localSheetId="12">[2]_CNG!$D$20</definedName>
    <definedName name="verbr_CNG_M" localSheetId="14">[2]_CNG!$D$20</definedName>
    <definedName name="verbr_CNG_M" localSheetId="1">[3]_CNG!$D$20</definedName>
    <definedName name="verbr_CNG_M" localSheetId="7">[3]_CNG!$D$20</definedName>
    <definedName name="verbr_CNG_M">_CNG!$D$20</definedName>
    <definedName name="verbr_CNG_middel_taxibus" localSheetId="12">[2]_CNG!$D$23</definedName>
    <definedName name="verbr_CNG_middel_taxibus" localSheetId="14">[2]_CNG!$D$23</definedName>
    <definedName name="verbr_CNG_middel_taxibus">_CNG!$D$23</definedName>
    <definedName name="verbr_CNG_rolstoelbus" localSheetId="12">[2]_CNG!$D$25</definedName>
    <definedName name="verbr_CNG_rolstoelbus" localSheetId="14">[2]_CNG!$D$25</definedName>
    <definedName name="verbr_CNG_rolstoelbus" localSheetId="1">[3]_CNG!$D$24</definedName>
    <definedName name="verbr_CNG_rolstoelbus" localSheetId="7">[3]_CNG!$D$24</definedName>
    <definedName name="verbr_CNG_rolstoelbus">_CNG!$D$25</definedName>
    <definedName name="verbr_die_A" localSheetId="12">[2]_fossiel_pers!$F$33</definedName>
    <definedName name="verbr_die_A" localSheetId="14">[2]_fossiel_pers!$F$33</definedName>
    <definedName name="verbr_die_A" localSheetId="1">[3]_Personenauto!$F$33</definedName>
    <definedName name="verbr_die_A" localSheetId="0">[4]_Personenauto!$F$33</definedName>
    <definedName name="verbr_die_A" localSheetId="7">[3]_Personenauto!$F$33</definedName>
    <definedName name="verbr_die_A">_fossiel_pers!$F$33</definedName>
    <definedName name="verbr_die_B" localSheetId="12">[2]_fossiel_pers!$F$53</definedName>
    <definedName name="verbr_die_B" localSheetId="14">[2]_fossiel_pers!$F$53</definedName>
    <definedName name="verbr_die_B" localSheetId="1">[3]_Personenauto!$F$53</definedName>
    <definedName name="verbr_die_B" localSheetId="0">[4]_Personenauto!$F$53</definedName>
    <definedName name="verbr_die_B" localSheetId="7">[3]_Personenauto!$F$53</definedName>
    <definedName name="verbr_die_B">_fossiel_pers!$F$53</definedName>
    <definedName name="verbr_die_bestel_groot" localSheetId="12">[2]_fossiel_LCV!$G$82</definedName>
    <definedName name="verbr_die_bestel_groot" localSheetId="14">[2]_fossiel_LCV!$G$82</definedName>
    <definedName name="verbr_die_bestel_groot" localSheetId="1">[3]_Bestelbus!$F$76</definedName>
    <definedName name="verbr_die_bestel_groot" localSheetId="0">[4]_Bestelbus!$F$76</definedName>
    <definedName name="verbr_die_bestel_groot" localSheetId="7">[3]_Bestelbus!$F$76</definedName>
    <definedName name="verbr_die_bestel_groot">_fossiel_LCV!$G$82</definedName>
    <definedName name="verbr_die_bestel_klein" localSheetId="12">[2]_fossiel_LCV!$G$34</definedName>
    <definedName name="verbr_die_bestel_klein" localSheetId="14">[2]_fossiel_LCV!$G$34</definedName>
    <definedName name="verbr_die_bestel_klein" localSheetId="1">[3]_Bestelbus!$F$28</definedName>
    <definedName name="verbr_die_bestel_klein" localSheetId="0">[4]_Bestelbus!$F$28</definedName>
    <definedName name="verbr_die_bestel_klein" localSheetId="7">[3]_Bestelbus!$F$28</definedName>
    <definedName name="verbr_die_bestel_klein">_fossiel_LCV!$G$34</definedName>
    <definedName name="verbr_die_bestel_middel" localSheetId="12">[2]_fossiel_LCV!$G$58</definedName>
    <definedName name="verbr_die_bestel_middel" localSheetId="14">[2]_fossiel_LCV!$G$58</definedName>
    <definedName name="verbr_die_bestel_middel" localSheetId="1">[3]_Bestelbus!$F$52</definedName>
    <definedName name="verbr_die_bestel_middel" localSheetId="0">[4]_Bestelbus!$F$52</definedName>
    <definedName name="verbr_die_bestel_middel" localSheetId="7">[3]_Bestelbus!$F$52</definedName>
    <definedName name="verbr_die_bestel_middel">_fossiel_LCV!$G$58</definedName>
    <definedName name="verbr_die_C" localSheetId="12">[2]_fossiel_pers!$F$73</definedName>
    <definedName name="verbr_die_C" localSheetId="14">[2]_fossiel_pers!$F$73</definedName>
    <definedName name="verbr_die_C" localSheetId="1">[3]_Personenauto!$F$73</definedName>
    <definedName name="verbr_die_C" localSheetId="0">[4]_Personenauto!$F$73</definedName>
    <definedName name="verbr_die_C" localSheetId="7">[3]_Personenauto!$F$73</definedName>
    <definedName name="verbr_die_C">_fossiel_pers!$F$73</definedName>
    <definedName name="verbr_die_D" localSheetId="12">[2]_fossiel_pers!$F$93</definedName>
    <definedName name="verbr_die_D" localSheetId="14">[2]_fossiel_pers!$F$93</definedName>
    <definedName name="verbr_die_D" localSheetId="1">[3]_Personenauto!$F$93</definedName>
    <definedName name="verbr_die_D" localSheetId="0">[4]_Personenauto!$F$93</definedName>
    <definedName name="verbr_die_D" localSheetId="7">[3]_Personenauto!$F$93</definedName>
    <definedName name="verbr_die_D">_fossiel_pers!$F$93</definedName>
    <definedName name="verbr_die_E" localSheetId="12">[2]_fossiel_pers!$F$113</definedName>
    <definedName name="verbr_die_E" localSheetId="14">[2]_fossiel_pers!$F$113</definedName>
    <definedName name="verbr_die_E" localSheetId="1">[3]_Personenauto!$F$113</definedName>
    <definedName name="verbr_die_E" localSheetId="0">[4]_Personenauto!$F$113</definedName>
    <definedName name="verbr_die_E" localSheetId="7">[3]_Personenauto!$F$113</definedName>
    <definedName name="verbr_die_E">_fossiel_pers!$F$113</definedName>
    <definedName name="verbr_die_F" localSheetId="12">[2]_fossiel_pers!$F$133</definedName>
    <definedName name="verbr_die_F" localSheetId="14">[2]_fossiel_pers!$F$133</definedName>
    <definedName name="verbr_die_F" localSheetId="1">[3]_Personenauto!$F$133</definedName>
    <definedName name="verbr_die_F" localSheetId="0">[4]_Personenauto!$F$133</definedName>
    <definedName name="verbr_die_F" localSheetId="7">[3]_Personenauto!$F$133</definedName>
    <definedName name="verbr_die_F">_fossiel_pers!$F$133</definedName>
    <definedName name="verbr_die_groot_taxibus" localSheetId="12">[2]_fossiel_minibus!$E$88</definedName>
    <definedName name="verbr_die_groot_taxibus" localSheetId="14">[2]_fossiel_minibus!$E$88</definedName>
    <definedName name="verbr_die_groot_taxibus">_fossiel_minibus!$E$88</definedName>
    <definedName name="verbr_die_grote_taxibus">[3]_Taxibussen!$E$38</definedName>
    <definedName name="verbr_die_J" localSheetId="12">[2]_fossiel_pers!$F$153</definedName>
    <definedName name="verbr_die_J" localSheetId="14">[2]_fossiel_pers!$F$153</definedName>
    <definedName name="verbr_die_J" localSheetId="1">[3]_Personenauto!$F$153</definedName>
    <definedName name="verbr_die_J" localSheetId="0">[4]_Personenauto!$F$153</definedName>
    <definedName name="verbr_die_J" localSheetId="7">[3]_Personenauto!$F$153</definedName>
    <definedName name="verbr_die_J">_fossiel_pers!$F$153</definedName>
    <definedName name="verbr_die_kleine_taxibus" localSheetId="12">[2]_fossiel_minibus!$E$17</definedName>
    <definedName name="verbr_die_kleine_taxibus" localSheetId="14">[2]_fossiel_minibus!$E$17</definedName>
    <definedName name="verbr_die_kleine_taxibus" localSheetId="1">[3]_Taxibussen!$E$11</definedName>
    <definedName name="verbr_die_kleine_taxibus" localSheetId="7">[3]_Taxibussen!$E$11</definedName>
    <definedName name="verbr_die_kleine_taxibus">_fossiel_minibus!$E$17</definedName>
    <definedName name="verbr_die_L" localSheetId="12">[2]_fossiel_pers!$F$173</definedName>
    <definedName name="verbr_die_L" localSheetId="14">[2]_fossiel_pers!$F$173</definedName>
    <definedName name="verbr_die_L" localSheetId="1">[3]_Personenauto!$F$173</definedName>
    <definedName name="verbr_die_L" localSheetId="0">[4]_Personenauto!$F$173</definedName>
    <definedName name="verbr_die_L" localSheetId="7">[3]_Personenauto!$F$173</definedName>
    <definedName name="verbr_die_L">_fossiel_pers!$F$173</definedName>
    <definedName name="verbr_die_M" localSheetId="12">[2]_fossiel_pers!$F$193</definedName>
    <definedName name="verbr_die_M" localSheetId="14">[2]_fossiel_pers!$F$193</definedName>
    <definedName name="verbr_die_M" localSheetId="1">[3]_Personenauto!$F$193</definedName>
    <definedName name="verbr_die_M" localSheetId="0">[4]_Personenauto!$F$193</definedName>
    <definedName name="verbr_die_M" localSheetId="7">[3]_Personenauto!$F$193</definedName>
    <definedName name="verbr_die_M">_fossiel_pers!$F$193</definedName>
    <definedName name="verbr_die_middel_taxibus" localSheetId="12">[2]_fossiel_minibus!$E$53</definedName>
    <definedName name="verbr_die_middel_taxibus" localSheetId="14">[2]_fossiel_minibus!$E$53</definedName>
    <definedName name="verbr_die_middel_taxibus">_fossiel_minibus!$E$53</definedName>
    <definedName name="verbr_die_rolstoelbus" localSheetId="12">[2]_fossiel_minibus!$E$121</definedName>
    <definedName name="verbr_die_rolstoelbus" localSheetId="14">[2]_fossiel_minibus!$E$121</definedName>
    <definedName name="verbr_die_rolstoelbus" localSheetId="1">[3]_Taxibussen!$E$64</definedName>
    <definedName name="verbr_die_rolstoelbus" localSheetId="7">[3]_Taxibussen!$E$64</definedName>
    <definedName name="verbr_die_rolstoelbus">_fossiel_minibus!$E$121</definedName>
    <definedName name="verbr_die_veegvuilwagen">_fossiel_specials!$G$13</definedName>
    <definedName name="verbr_die_veegwagen">_fossiel_specials!$G$35</definedName>
    <definedName name="verbr_die_vuilniswagen">_fossiel_specials!$G$24</definedName>
    <definedName name="verz_benz_A" localSheetId="12">[2]Parameters!$U$35</definedName>
    <definedName name="verz_benz_A" localSheetId="14">[2]Parameters!$U$35</definedName>
    <definedName name="verz_benz_A" localSheetId="1">[3]Parameters!$X$27</definedName>
    <definedName name="verz_benz_A" localSheetId="0">[4]Parameters!$T$22</definedName>
    <definedName name="verz_benz_A" localSheetId="7">[3]Parameters!$X$27</definedName>
    <definedName name="verz_benz_A">Parameters!$X$35</definedName>
    <definedName name="verz_benz_B" localSheetId="12">[2]Parameters!$U$36</definedName>
    <definedName name="verz_benz_B" localSheetId="14">[2]Parameters!$U$36</definedName>
    <definedName name="verz_benz_B" localSheetId="1">[3]Parameters!$X$28</definedName>
    <definedName name="verz_benz_B" localSheetId="0">[4]Parameters!$T$23</definedName>
    <definedName name="verz_benz_B" localSheetId="7">[3]Parameters!$X$28</definedName>
    <definedName name="verz_benz_B">Parameters!$X$36</definedName>
    <definedName name="verz_benz_bestel_groot" localSheetId="12">[2]Parameters!$U$53</definedName>
    <definedName name="verz_benz_bestel_groot" localSheetId="14">[2]Parameters!$U$53</definedName>
    <definedName name="verz_benz_bestel_groot">Parameters!$X$53</definedName>
    <definedName name="verz_benz_bestel_klein" localSheetId="12">[2]Parameters!$U$51</definedName>
    <definedName name="verz_benz_bestel_klein" localSheetId="14">[2]Parameters!$U$51</definedName>
    <definedName name="verz_benz_bestel_klein">Parameters!$X$51</definedName>
    <definedName name="verz_benz_bestel_middel" localSheetId="12">[2]Parameters!$U$52</definedName>
    <definedName name="verz_benz_bestel_middel" localSheetId="14">[2]Parameters!$U$52</definedName>
    <definedName name="verz_benz_bestel_middel">Parameters!$X$52</definedName>
    <definedName name="verz_benz_C" localSheetId="12">[2]Parameters!$U$37</definedName>
    <definedName name="verz_benz_C" localSheetId="14">[2]Parameters!$U$37</definedName>
    <definedName name="verz_benz_C" localSheetId="1">[3]Parameters!$X$29</definedName>
    <definedName name="verz_benz_C" localSheetId="0">[4]Parameters!$T$24</definedName>
    <definedName name="verz_benz_C" localSheetId="7">[3]Parameters!$X$29</definedName>
    <definedName name="verz_benz_C">Parameters!$X$37</definedName>
    <definedName name="verz_benz_D" localSheetId="12">[2]Parameters!$U$38</definedName>
    <definedName name="verz_benz_D" localSheetId="14">[2]Parameters!$U$38</definedName>
    <definedName name="verz_benz_D" localSheetId="1">[3]Parameters!$X$30</definedName>
    <definedName name="verz_benz_D" localSheetId="0">[4]Parameters!$T$25</definedName>
    <definedName name="verz_benz_D" localSheetId="7">[3]Parameters!$X$30</definedName>
    <definedName name="verz_benz_D">Parameters!$X$38</definedName>
    <definedName name="verz_benz_E" localSheetId="12">[2]Parameters!$U$39</definedName>
    <definedName name="verz_benz_E" localSheetId="14">[2]Parameters!$U$39</definedName>
    <definedName name="verz_benz_E" localSheetId="1">[3]Parameters!$X$31</definedName>
    <definedName name="verz_benz_E" localSheetId="0">[4]Parameters!$T$26</definedName>
    <definedName name="verz_benz_E" localSheetId="7">[3]Parameters!$X$31</definedName>
    <definedName name="verz_benz_E">Parameters!$X$39</definedName>
    <definedName name="verz_benz_F" localSheetId="12">[2]Parameters!$U$40</definedName>
    <definedName name="verz_benz_F" localSheetId="14">[2]Parameters!$U$40</definedName>
    <definedName name="verz_benz_F" localSheetId="1">[3]Parameters!$X$32</definedName>
    <definedName name="verz_benz_F" localSheetId="0">[4]Parameters!$T$27</definedName>
    <definedName name="verz_benz_F" localSheetId="7">[3]Parameters!$X$32</definedName>
    <definedName name="verz_benz_F">Parameters!$X$40</definedName>
    <definedName name="verz_benz_J" localSheetId="12">[2]Parameters!$U$41</definedName>
    <definedName name="verz_benz_J" localSheetId="14">[2]Parameters!$U$41</definedName>
    <definedName name="verz_benz_J">Parameters!$X$41</definedName>
    <definedName name="verz_benz_K" localSheetId="12">[2]Parameters!$U$42</definedName>
    <definedName name="verz_benz_K" localSheetId="14">[2]Parameters!$U$42</definedName>
    <definedName name="verz_benz_K">Parameters!$X$42</definedName>
    <definedName name="verz_benz_L" localSheetId="12">[2]Parameters!$U$43</definedName>
    <definedName name="verz_benz_L" localSheetId="14">[2]Parameters!$U$43</definedName>
    <definedName name="verz_benz_L" localSheetId="1">[3]Parameters!$X$34</definedName>
    <definedName name="verz_benz_L" localSheetId="0">[4]Parameters!$T$29</definedName>
    <definedName name="verz_benz_L" localSheetId="7">[3]Parameters!$X$34</definedName>
    <definedName name="verz_benz_L">Parameters!$X$43</definedName>
    <definedName name="verz_benz_M" localSheetId="12">[2]Parameters!$U$44</definedName>
    <definedName name="verz_benz_M" localSheetId="14">[2]Parameters!$U$44</definedName>
    <definedName name="verz_benz_M" localSheetId="1">[3]Parameters!$X$35</definedName>
    <definedName name="verz_benz_M" localSheetId="0">[4]Parameters!$T$30</definedName>
    <definedName name="verz_benz_M" localSheetId="7">[3]Parameters!$X$35</definedName>
    <definedName name="verz_benz_M">Parameters!$X$44</definedName>
    <definedName name="verz_benz_rolstoelbus" localSheetId="12">[2]Parameters!$U$49</definedName>
    <definedName name="verz_benz_rolstoelbus" localSheetId="14">[2]Parameters!$U$49</definedName>
    <definedName name="verz_benz_rolstoelbus" localSheetId="1">[3]Parameters!$X$39</definedName>
    <definedName name="verz_benz_rolstoelbus" localSheetId="7">[3]Parameters!$X$39</definedName>
    <definedName name="verz_benz_rolstoelbus">Parameters!$X$49</definedName>
    <definedName name="verz_benz_taxibus_groot" localSheetId="12">[2]Parameters!$U$48</definedName>
    <definedName name="verz_benz_taxibus_groot" localSheetId="14">[2]Parameters!$U$48</definedName>
    <definedName name="verz_benz_taxibus_groot" localSheetId="1">[3]Parameters!$X$38</definedName>
    <definedName name="verz_benz_taxibus_groot" localSheetId="7">[3]Parameters!$X$38</definedName>
    <definedName name="verz_benz_taxibus_groot">Parameters!$X$48</definedName>
    <definedName name="verz_benz_taxibus_klein" localSheetId="12">[2]Parameters!$U$46</definedName>
    <definedName name="verz_benz_taxibus_klein" localSheetId="14">[2]Parameters!$U$46</definedName>
    <definedName name="verz_benz_taxibus_klein" localSheetId="1">[3]Parameters!$X$37</definedName>
    <definedName name="verz_benz_taxibus_klein" localSheetId="7">[3]Parameters!$X$37</definedName>
    <definedName name="verz_benz_taxibus_klein">Parameters!$X$46</definedName>
    <definedName name="verz_benz_taxibus_middel" localSheetId="12">[2]Parameters!$U$47</definedName>
    <definedName name="verz_benz_taxibus_middel" localSheetId="14">[2]Parameters!$U$47</definedName>
    <definedName name="verz_benz_taxibus_middel">Parameters!$X$47</definedName>
    <definedName name="verz_BEV_A" localSheetId="12">[2]Parameters!$U$83</definedName>
    <definedName name="verz_BEV_A" localSheetId="14">[2]Parameters!$U$83</definedName>
    <definedName name="verz_BEV_A" localSheetId="1">[3]Parameters!$X$71</definedName>
    <definedName name="verz_BEV_A" localSheetId="0">[4]Parameters!$T$39</definedName>
    <definedName name="verz_BEV_A" localSheetId="7">[3]Parameters!$X$71</definedName>
    <definedName name="verz_BEV_A">Parameters!$X$83</definedName>
    <definedName name="verz_BEV_B" localSheetId="12">[2]Parameters!$U$84</definedName>
    <definedName name="verz_BEV_B" localSheetId="14">[2]Parameters!$U$84</definedName>
    <definedName name="verz_BEV_B" localSheetId="1">[3]Parameters!$X$72</definedName>
    <definedName name="verz_BEV_B" localSheetId="0">[4]Parameters!$T$40</definedName>
    <definedName name="verz_BEV_B" localSheetId="7">[3]Parameters!$X$72</definedName>
    <definedName name="verz_BEV_B">Parameters!$X$84</definedName>
    <definedName name="verz_BEV_bestel_groot" localSheetId="12">[2]Parameters!$U$101</definedName>
    <definedName name="verz_BEV_bestel_groot" localSheetId="14">[2]Parameters!$U$101</definedName>
    <definedName name="verz_BEV_bestel_groot" localSheetId="0">[4]Parameters!$T$50</definedName>
    <definedName name="verz_BEV_bestel_groot">Parameters!$X$101</definedName>
    <definedName name="verz_BEV_bestel_klein" localSheetId="12">[2]Parameters!$U$99</definedName>
    <definedName name="verz_BEV_bestel_klein" localSheetId="14">[2]Parameters!$U$99</definedName>
    <definedName name="verz_BEV_bestel_klein" localSheetId="0">[4]Parameters!$T$48</definedName>
    <definedName name="verz_BEV_bestel_klein">Parameters!$X$99</definedName>
    <definedName name="verz_BEV_bestel_middel" localSheetId="12">[2]Parameters!$U$100</definedName>
    <definedName name="verz_BEV_bestel_middel" localSheetId="14">[2]Parameters!$U$100</definedName>
    <definedName name="verz_BEV_bestel_middel" localSheetId="0">[4]Parameters!$T$49</definedName>
    <definedName name="verz_BEV_bestel_middel">Parameters!$X$100</definedName>
    <definedName name="verz_BEV_C" localSheetId="12">[2]Parameters!$U$85</definedName>
    <definedName name="verz_BEV_C" localSheetId="14">[2]Parameters!$U$85</definedName>
    <definedName name="verz_BEV_C" localSheetId="1">[3]Parameters!$X$73</definedName>
    <definedName name="verz_BEV_C" localSheetId="0">[4]Parameters!$T$41</definedName>
    <definedName name="verz_BEV_C" localSheetId="7">[3]Parameters!$X$73</definedName>
    <definedName name="verz_BEV_C">Parameters!$X$85</definedName>
    <definedName name="verz_BEV_D" localSheetId="12">[2]Parameters!$U$86</definedName>
    <definedName name="verz_BEV_D" localSheetId="14">[2]Parameters!$U$86</definedName>
    <definedName name="verz_BEV_D" localSheetId="1">[3]Parameters!$X$74</definedName>
    <definedName name="verz_BEV_D" localSheetId="0">[4]Parameters!$T$42</definedName>
    <definedName name="verz_BEV_D" localSheetId="7">[3]Parameters!$X$74</definedName>
    <definedName name="verz_BEV_D">Parameters!$X$86</definedName>
    <definedName name="verz_BEV_E" localSheetId="12">[2]Parameters!$U$87</definedName>
    <definedName name="verz_BEV_E" localSheetId="14">[2]Parameters!$U$87</definedName>
    <definedName name="verz_BEV_E" localSheetId="1">[3]Parameters!$X$75</definedName>
    <definedName name="verz_BEV_E" localSheetId="0">[4]Parameters!$T$43</definedName>
    <definedName name="verz_BEV_E" localSheetId="7">[3]Parameters!$X$75</definedName>
    <definedName name="verz_BEV_E">Parameters!$X$87</definedName>
    <definedName name="verz_BEV_F" localSheetId="12">[2]Parameters!$U$88</definedName>
    <definedName name="verz_BEV_F" localSheetId="14">[2]Parameters!$U$88</definedName>
    <definedName name="verz_BEV_F" localSheetId="1">[3]Parameters!$X$76</definedName>
    <definedName name="verz_BEV_F" localSheetId="0">[4]Parameters!$T$44</definedName>
    <definedName name="verz_BEV_F" localSheetId="7">[3]Parameters!$X$76</definedName>
    <definedName name="verz_BEV_F">Parameters!$X$88</definedName>
    <definedName name="verz_BEV_J" localSheetId="12">[2]Parameters!$U$89</definedName>
    <definedName name="verz_BEV_J" localSheetId="14">[2]Parameters!$U$89</definedName>
    <definedName name="verz_BEV_J">Parameters!$X$89</definedName>
    <definedName name="verz_BEV_K" localSheetId="12">[2]Parameters!$U$90</definedName>
    <definedName name="verz_BEV_K" localSheetId="14">[2]Parameters!$U$90</definedName>
    <definedName name="verz_BEV_K">Parameters!$X$90</definedName>
    <definedName name="verz_BEV_L" localSheetId="12">[2]Parameters!$U$91</definedName>
    <definedName name="verz_BEV_L" localSheetId="14">[2]Parameters!$U$91</definedName>
    <definedName name="verz_BEV_L" localSheetId="1">[3]Parameters!$X$78</definedName>
    <definedName name="verz_BEV_L" localSheetId="0">[4]Parameters!$T$46</definedName>
    <definedName name="verz_BEV_L" localSheetId="7">[3]Parameters!$X$78</definedName>
    <definedName name="verz_BEV_L">Parameters!$X$91</definedName>
    <definedName name="verz_BEV_M" localSheetId="12">[2]Parameters!$U$92</definedName>
    <definedName name="verz_BEV_M" localSheetId="14">[2]Parameters!$U$92</definedName>
    <definedName name="verz_BEV_M" localSheetId="1">[3]Parameters!$X$79</definedName>
    <definedName name="verz_BEV_M" localSheetId="0">[4]Parameters!$T$47</definedName>
    <definedName name="verz_BEV_M" localSheetId="7">[3]Parameters!$X$79</definedName>
    <definedName name="verz_BEV_M">Parameters!$X$92</definedName>
    <definedName name="verz_BEV_rolstoelbus" localSheetId="12">[2]Parameters!$U$97</definedName>
    <definedName name="verz_BEV_rolstoelbus" localSheetId="14">[2]Parameters!$U$97</definedName>
    <definedName name="verz_BEV_rolstoelbus" localSheetId="1">[3]Parameters!$X$85</definedName>
    <definedName name="verz_BEV_rolstoelbus" localSheetId="7">[3]Parameters!$X$85</definedName>
    <definedName name="verz_BEV_rolstoelbus">Parameters!$X$97</definedName>
    <definedName name="verz_BEV_rolstoelbus_ombouw" localSheetId="12">[2]Parameters!#REF!</definedName>
    <definedName name="verz_BEV_rolstoelbus_ombouw" localSheetId="14">[2]Parameters!#REF!</definedName>
    <definedName name="verz_BEV_rolstoelbus_ombouw" localSheetId="1">[3]Parameters!$X$84</definedName>
    <definedName name="verz_BEV_rolstoelbus_ombouw" localSheetId="3">Parameters!#REF!</definedName>
    <definedName name="verz_BEV_rolstoelbus_ombouw" localSheetId="7">[3]Parameters!$X$84</definedName>
    <definedName name="verz_BEV_rolstoelbus_ombouw">Parameters!#REF!</definedName>
    <definedName name="verz_BEV_taxibus_groot" localSheetId="12">[2]Parameters!$U$96</definedName>
    <definedName name="verz_BEV_taxibus_groot" localSheetId="14">[2]Parameters!$U$96</definedName>
    <definedName name="verz_BEV_taxibus_groot" localSheetId="1">[3]Parameters!$X$83</definedName>
    <definedName name="verz_BEV_taxibus_groot" localSheetId="7">[3]Parameters!$X$83</definedName>
    <definedName name="verz_BEV_taxibus_groot">Parameters!$X$96</definedName>
    <definedName name="verz_BEV_taxibus_groot_ombouw" localSheetId="12">[2]Parameters!#REF!</definedName>
    <definedName name="verz_BEV_taxibus_groot_ombouw" localSheetId="14">[2]Parameters!#REF!</definedName>
    <definedName name="verz_BEV_taxibus_groot_ombouw" localSheetId="1">[3]Parameters!$X$82</definedName>
    <definedName name="verz_BEV_taxibus_groot_ombouw" localSheetId="3">Parameters!#REF!</definedName>
    <definedName name="verz_BEV_taxibus_groot_ombouw" localSheetId="7">[3]Parameters!$X$82</definedName>
    <definedName name="verz_BEV_taxibus_groot_ombouw">Parameters!#REF!</definedName>
    <definedName name="verz_BEV_taxibus_klein" localSheetId="12">[2]Parameters!$U$94</definedName>
    <definedName name="verz_BEV_taxibus_klein" localSheetId="14">[2]Parameters!$U$94</definedName>
    <definedName name="verz_BEV_taxibus_klein" localSheetId="1">[3]Parameters!$X$81</definedName>
    <definedName name="verz_BEV_taxibus_klein" localSheetId="7">[3]Parameters!$X$81</definedName>
    <definedName name="verz_BEV_taxibus_klein">Parameters!$X$94</definedName>
    <definedName name="verz_BEV_taxibus_middel" localSheetId="12">[2]Parameters!$U$95</definedName>
    <definedName name="verz_BEV_taxibus_middel" localSheetId="14">[2]Parameters!$U$95</definedName>
    <definedName name="verz_BEV_taxibus_middel">Parameters!$X$95</definedName>
    <definedName name="verz_BEV_veegvuilwagen">Parameters!$X$103</definedName>
    <definedName name="verz_BEV_veegwagen">Parameters!$X$105</definedName>
    <definedName name="verz_BEV_vuilniswagen">Parameters!$X$104</definedName>
    <definedName name="verz_CNG_A" localSheetId="12">[2]Parameters!$U$59</definedName>
    <definedName name="verz_CNG_A" localSheetId="14">[2]Parameters!$U$59</definedName>
    <definedName name="verz_CNG_A" localSheetId="1">[3]Parameters!$X$49</definedName>
    <definedName name="verz_CNG_A" localSheetId="7">[3]Parameters!$X$49</definedName>
    <definedName name="verz_CNG_A">Parameters!$X$59</definedName>
    <definedName name="verz_CNG_B" localSheetId="12">[2]Parameters!$U$60</definedName>
    <definedName name="verz_CNG_B" localSheetId="14">[2]Parameters!$U$60</definedName>
    <definedName name="verz_CNG_B" localSheetId="1">[3]Parameters!$X$50</definedName>
    <definedName name="verz_CNG_B" localSheetId="7">[3]Parameters!$X$50</definedName>
    <definedName name="verz_CNG_B">Parameters!$X$60</definedName>
    <definedName name="verz_CNG_bestel_groot" localSheetId="12">[2]Parameters!$U$77</definedName>
    <definedName name="verz_CNG_bestel_groot" localSheetId="14">[2]Parameters!$U$77</definedName>
    <definedName name="verz_CNG_bestel_groot">Parameters!$X$77</definedName>
    <definedName name="verz_CNG_bestel_klein" localSheetId="12">[2]Parameters!$U$75</definedName>
    <definedName name="verz_CNG_bestel_klein" localSheetId="14">[2]Parameters!$U$75</definedName>
    <definedName name="verz_CNG_bestel_klein">Parameters!$X$75</definedName>
    <definedName name="verz_CNG_bestel_middel" localSheetId="12">[2]Parameters!$U$76</definedName>
    <definedName name="verz_CNG_bestel_middel" localSheetId="14">[2]Parameters!$U$76</definedName>
    <definedName name="verz_CNG_bestel_middel">Parameters!$X$76</definedName>
    <definedName name="verz_CNG_C" localSheetId="12">[2]Parameters!$U$61</definedName>
    <definedName name="verz_CNG_C" localSheetId="14">[2]Parameters!$U$61</definedName>
    <definedName name="verz_CNG_C" localSheetId="1">[3]Parameters!$X$51</definedName>
    <definedName name="verz_CNG_C" localSheetId="7">[3]Parameters!$X$51</definedName>
    <definedName name="verz_CNG_C">Parameters!$X$61</definedName>
    <definedName name="verz_CNG_D" localSheetId="12">[2]Parameters!$U$62</definedName>
    <definedName name="verz_CNG_D" localSheetId="14">[2]Parameters!$U$62</definedName>
    <definedName name="verz_CNG_D" localSheetId="1">[3]Parameters!$X$52</definedName>
    <definedName name="verz_CNG_D" localSheetId="7">[3]Parameters!$X$52</definedName>
    <definedName name="verz_CNG_D">Parameters!$X$62</definedName>
    <definedName name="verz_CNG_E" localSheetId="12">[2]Parameters!$U$63</definedName>
    <definedName name="verz_CNG_E" localSheetId="14">[2]Parameters!$U$63</definedName>
    <definedName name="verz_CNG_E" localSheetId="1">[3]Parameters!$X$53</definedName>
    <definedName name="verz_CNG_E" localSheetId="7">[3]Parameters!$X$53</definedName>
    <definedName name="verz_CNG_E">Parameters!$X$63</definedName>
    <definedName name="verz_CNG_F" localSheetId="12">[2]Parameters!$U$64</definedName>
    <definedName name="verz_CNG_F" localSheetId="14">[2]Parameters!$U$64</definedName>
    <definedName name="verz_CNG_F" localSheetId="1">[3]Parameters!$X$54</definedName>
    <definedName name="verz_CNG_F" localSheetId="7">[3]Parameters!$X$54</definedName>
    <definedName name="verz_CNG_F">Parameters!$X$64</definedName>
    <definedName name="verz_CNG_J" localSheetId="12">[2]Parameters!$U$65</definedName>
    <definedName name="verz_CNG_J" localSheetId="14">[2]Parameters!$U$65</definedName>
    <definedName name="verz_CNG_J">Parameters!$X$65</definedName>
    <definedName name="verz_CNG_K" localSheetId="12">[2]Parameters!$U$66</definedName>
    <definedName name="verz_CNG_K" localSheetId="14">[2]Parameters!$U$66</definedName>
    <definedName name="verz_CNG_K">Parameters!$X$66</definedName>
    <definedName name="verz_CNG_L" localSheetId="12">[2]Parameters!$U$67</definedName>
    <definedName name="verz_CNG_L" localSheetId="14">[2]Parameters!$U$67</definedName>
    <definedName name="verz_CNG_L" localSheetId="1">[3]Parameters!$X$56</definedName>
    <definedName name="verz_CNG_L" localSheetId="7">[3]Parameters!$X$56</definedName>
    <definedName name="verz_CNG_L">Parameters!$X$67</definedName>
    <definedName name="verz_CNG_M" localSheetId="12">[2]Parameters!$U$68</definedName>
    <definedName name="verz_CNG_M" localSheetId="14">[2]Parameters!$U$68</definedName>
    <definedName name="verz_CNG_M" localSheetId="1">[3]Parameters!$X$57</definedName>
    <definedName name="verz_CNG_M" localSheetId="7">[3]Parameters!$X$57</definedName>
    <definedName name="verz_CNG_M">Parameters!$X$68</definedName>
    <definedName name="verz_CNG_rolstoelbus" localSheetId="12">[2]Parameters!$U$73</definedName>
    <definedName name="verz_CNG_rolstoelbus" localSheetId="14">[2]Parameters!$U$73</definedName>
    <definedName name="verz_CNG_rolstoelbus" localSheetId="1">[3]Parameters!$X$61</definedName>
    <definedName name="verz_CNG_rolstoelbus" localSheetId="7">[3]Parameters!$X$61</definedName>
    <definedName name="verz_CNG_rolstoelbus">Parameters!$X$73</definedName>
    <definedName name="verz_CNG_taxibus_groot" localSheetId="12">[2]Parameters!$U$72</definedName>
    <definedName name="verz_CNG_taxibus_groot" localSheetId="14">[2]Parameters!$U$72</definedName>
    <definedName name="verz_CNG_taxibus_groot" localSheetId="1">[3]Parameters!$X$60</definedName>
    <definedName name="verz_CNG_taxibus_groot" localSheetId="7">[3]Parameters!$X$60</definedName>
    <definedName name="verz_CNG_taxibus_groot">Parameters!$X$72</definedName>
    <definedName name="verz_CNG_taxibus_klein" localSheetId="12">[2]Parameters!$U$70</definedName>
    <definedName name="verz_CNG_taxibus_klein" localSheetId="14">[2]Parameters!$U$70</definedName>
    <definedName name="verz_CNG_taxibus_klein" localSheetId="1">[3]Parameters!$X$59</definedName>
    <definedName name="verz_CNG_taxibus_klein" localSheetId="7">[3]Parameters!$X$59</definedName>
    <definedName name="verz_CNG_taxibus_klein">Parameters!$X$70</definedName>
    <definedName name="verz_CNG_taxibus_middel" localSheetId="12">[2]Parameters!$U$71</definedName>
    <definedName name="verz_CNG_taxibus_middel" localSheetId="14">[2]Parameters!$U$71</definedName>
    <definedName name="verz_CNG_taxibus_middel">Parameters!$X$71</definedName>
    <definedName name="verz_die_A">Parameters!$X$7</definedName>
    <definedName name="verz_die_B" localSheetId="12">[2]Parameters!$U$8</definedName>
    <definedName name="verz_die_B" localSheetId="14">[2]Parameters!$U$8</definedName>
    <definedName name="verz_die_B" localSheetId="1">[3]Parameters!$X$6</definedName>
    <definedName name="verz_die_B" localSheetId="0">[4]Parameters!$T$6</definedName>
    <definedName name="verz_die_B" localSheetId="7">[3]Parameters!$X$6</definedName>
    <definedName name="verz_die_B">Parameters!$X$8</definedName>
    <definedName name="verz_die_bestel_groot" localSheetId="12">[2]Parameters!$U$25</definedName>
    <definedName name="verz_die_bestel_groot" localSheetId="14">[2]Parameters!$U$25</definedName>
    <definedName name="verz_die_bestel_groot" localSheetId="0">[4]Parameters!$T$16</definedName>
    <definedName name="verz_die_bestel_groot">Parameters!$X$25</definedName>
    <definedName name="verz_die_bestel_klein" localSheetId="12">[2]Parameters!$U$23</definedName>
    <definedName name="verz_die_bestel_klein" localSheetId="14">[2]Parameters!$U$23</definedName>
    <definedName name="verz_die_bestel_klein" localSheetId="0">[4]Parameters!$T$14</definedName>
    <definedName name="verz_die_bestel_klein">Parameters!$X$23</definedName>
    <definedName name="verz_die_bestel_middel" localSheetId="12">[2]Parameters!$U$24</definedName>
    <definedName name="verz_die_bestel_middel" localSheetId="14">[2]Parameters!$U$24</definedName>
    <definedName name="verz_die_bestel_middel" localSheetId="0">[4]Parameters!$T$15</definedName>
    <definedName name="verz_die_bestel_middel">Parameters!$X$24</definedName>
    <definedName name="verz_die_C" localSheetId="12">[2]Parameters!$U$9</definedName>
    <definedName name="verz_die_C" localSheetId="14">[2]Parameters!$U$9</definedName>
    <definedName name="verz_die_C" localSheetId="1">[3]Parameters!$X$7</definedName>
    <definedName name="verz_die_C" localSheetId="0">[4]Parameters!$T$7</definedName>
    <definedName name="verz_die_C" localSheetId="7">[3]Parameters!$X$7</definedName>
    <definedName name="verz_die_C">Parameters!$X$9</definedName>
    <definedName name="verz_die_D" localSheetId="12">[2]Parameters!$U$10</definedName>
    <definedName name="verz_die_D" localSheetId="14">[2]Parameters!$U$10</definedName>
    <definedName name="verz_die_D" localSheetId="1">[3]Parameters!$X$8</definedName>
    <definedName name="verz_die_D" localSheetId="0">[4]Parameters!$T$8</definedName>
    <definedName name="verz_die_D" localSheetId="7">[3]Parameters!$X$8</definedName>
    <definedName name="verz_die_D">Parameters!$X$10</definedName>
    <definedName name="verz_die_E" localSheetId="12">[2]Parameters!$U$11</definedName>
    <definedName name="verz_die_E" localSheetId="14">[2]Parameters!$U$11</definedName>
    <definedName name="verz_die_E" localSheetId="1">[3]Parameters!$X$9</definedName>
    <definedName name="verz_die_E" localSheetId="0">[4]Parameters!$T$9</definedName>
    <definedName name="verz_die_E" localSheetId="7">[3]Parameters!$X$9</definedName>
    <definedName name="verz_die_E">Parameters!$X$11</definedName>
    <definedName name="verz_die_F" localSheetId="12">[2]Parameters!$U$12</definedName>
    <definedName name="verz_die_F" localSheetId="14">[2]Parameters!$U$12</definedName>
    <definedName name="verz_die_F" localSheetId="1">[3]Parameters!$X$10</definedName>
    <definedName name="verz_die_F" localSheetId="0">[4]Parameters!$T$10</definedName>
    <definedName name="verz_die_F" localSheetId="7">[3]Parameters!$X$10</definedName>
    <definedName name="verz_die_F">Parameters!$X$12</definedName>
    <definedName name="verz_die_G" localSheetId="12">[2]Parameters!#REF!</definedName>
    <definedName name="verz_die_G" localSheetId="14">[2]Parameters!#REF!</definedName>
    <definedName name="verz_die_G">Parameters!#REF!</definedName>
    <definedName name="verz_die_H" localSheetId="12">[2]Parameters!#REF!</definedName>
    <definedName name="verz_die_H" localSheetId="14">[2]Parameters!#REF!</definedName>
    <definedName name="verz_die_H">Parameters!#REF!</definedName>
    <definedName name="verz_die_I" localSheetId="12">[2]Parameters!#REF!</definedName>
    <definedName name="verz_die_I" localSheetId="14">[2]Parameters!#REF!</definedName>
    <definedName name="verz_die_I">Parameters!#REF!</definedName>
    <definedName name="verz_die_J" localSheetId="12">[2]Parameters!$U$13</definedName>
    <definedName name="verz_die_J" localSheetId="14">[2]Parameters!$U$13</definedName>
    <definedName name="verz_die_J">Parameters!$X$13</definedName>
    <definedName name="verz_die_K" localSheetId="12">[2]Parameters!$U$14</definedName>
    <definedName name="verz_die_K" localSheetId="14">[2]Parameters!$U$14</definedName>
    <definedName name="verz_die_K">Parameters!$X$14</definedName>
    <definedName name="verz_die_L" localSheetId="12">[2]Parameters!$U$15</definedName>
    <definedName name="verz_die_L" localSheetId="14">[2]Parameters!$U$15</definedName>
    <definedName name="verz_die_L" localSheetId="1">[3]Parameters!$X$12</definedName>
    <definedName name="verz_die_L" localSheetId="0">[4]Parameters!$T$12</definedName>
    <definedName name="verz_die_L" localSheetId="7">[3]Parameters!$X$12</definedName>
    <definedName name="verz_die_L">Parameters!$X$15</definedName>
    <definedName name="verz_die_M" localSheetId="12">[2]Parameters!$U$16</definedName>
    <definedName name="verz_die_M" localSheetId="14">[2]Parameters!$U$16</definedName>
    <definedName name="verz_die_M" localSheetId="1">[3]Parameters!$X$13</definedName>
    <definedName name="verz_die_M" localSheetId="0">[4]Parameters!$T$13</definedName>
    <definedName name="verz_die_M" localSheetId="7">[3]Parameters!$X$13</definedName>
    <definedName name="verz_die_M">Parameters!$X$16</definedName>
    <definedName name="verz_die_rolstoelbus" localSheetId="12">[2]Parameters!$U$21</definedName>
    <definedName name="verz_die_rolstoelbus" localSheetId="14">[2]Parameters!$U$21</definedName>
    <definedName name="verz_die_rolstoelbus" localSheetId="1">[3]Parameters!$X$17</definedName>
    <definedName name="verz_die_rolstoelbus" localSheetId="7">[3]Parameters!$X$17</definedName>
    <definedName name="verz_die_rolstoelbus">Parameters!$X$21</definedName>
    <definedName name="verz_die_taxibus_groot" localSheetId="12">[2]Parameters!$U$20</definedName>
    <definedName name="verz_die_taxibus_groot" localSheetId="14">[2]Parameters!$U$20</definedName>
    <definedName name="verz_die_taxibus_groot" localSheetId="1">[3]Parameters!$X$16</definedName>
    <definedName name="verz_die_taxibus_groot" localSheetId="7">[3]Parameters!$X$16</definedName>
    <definedName name="verz_die_taxibus_groot">Parameters!$X$20</definedName>
    <definedName name="verz_die_taxibus_klein" localSheetId="12">[2]Parameters!$U$18</definedName>
    <definedName name="verz_die_taxibus_klein" localSheetId="14">[2]Parameters!$U$18</definedName>
    <definedName name="verz_die_taxibus_klein" localSheetId="1">[3]Parameters!$X$15</definedName>
    <definedName name="verz_die_taxibus_klein" localSheetId="7">[3]Parameters!$X$15</definedName>
    <definedName name="verz_die_taxibus_klein">Parameters!$X$18</definedName>
    <definedName name="verz_die_taxibus_middel" localSheetId="12">[2]Parameters!$U$19</definedName>
    <definedName name="verz_die_taxibus_middel" localSheetId="14">[2]Parameters!$U$19</definedName>
    <definedName name="verz_die_taxibus_middel">Parameters!$X$19</definedName>
    <definedName name="verz_die_veegmachine">[2]Parameters!#REF!</definedName>
    <definedName name="verz_die_veegvuilwagen">Parameters!$X$27</definedName>
    <definedName name="verz_die_veegwagen">Parameters!$X$29</definedName>
    <definedName name="verz_die_vuilniswagen">Parameters!$X$28</definedName>
    <definedName name="verz_FCEV_A">Parameters!$X$111</definedName>
    <definedName name="verz_FCEV_B">Parameters!$X$112</definedName>
    <definedName name="verz_FCEV_bestel_groot">Parameters!$X$129</definedName>
    <definedName name="verz_FCEV_bestel_klein">Parameters!$X$127</definedName>
    <definedName name="verz_FCEV_bestel_middel">Parameters!$X$128</definedName>
    <definedName name="verz_FCEV_C">Parameters!$X$113</definedName>
    <definedName name="verz_FCEV_D">Parameters!$X$114</definedName>
    <definedName name="verz_FCEV_E">Parameters!$X$115</definedName>
    <definedName name="verz_FCEV_F">Parameters!$X$116</definedName>
    <definedName name="verz_FCEV_J">Parameters!$X$117</definedName>
    <definedName name="verz_FCEV_K">Parameters!$X$118</definedName>
    <definedName name="verz_FCEV_L">Parameters!$X$119</definedName>
    <definedName name="verz_FCEV_M">Parameters!$X$120</definedName>
    <definedName name="verz_FCEV_taxi_groot">Parameters!$X$124</definedName>
    <definedName name="verz_FCEV_taxi_klein">Parameters!$X$122</definedName>
    <definedName name="verz_FCEV_taxi_middel">Parameters!$X$123</definedName>
    <definedName name="verz_FCEV_taxi_rolstoel">Parameters!$X$125</definedName>
    <definedName name="verz_FCEV_taxi_rolstoel_veeg">'Named ranges'!#REF!</definedName>
    <definedName name="verz_FCEV_veegvuilwagen">Parameters!$X$131</definedName>
    <definedName name="verz_FCEV_veegwagen">Parameters!$X$133</definedName>
    <definedName name="verz_FCEV_vuilniswagen">Parameters!$X$132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7" i="32" l="1"/>
  <c r="G8" i="32"/>
  <c r="G29" i="32" l="1"/>
  <c r="H29" i="32"/>
  <c r="F27" i="32"/>
  <c r="E27" i="32"/>
  <c r="E26" i="32"/>
  <c r="E13" i="37"/>
  <c r="I24" i="32"/>
  <c r="F23" i="32"/>
  <c r="G23" i="32"/>
  <c r="H23" i="32"/>
  <c r="E23" i="32"/>
  <c r="E21" i="32"/>
  <c r="E19" i="32"/>
  <c r="E17" i="32"/>
  <c r="E18" i="32"/>
  <c r="F14" i="32"/>
  <c r="E12" i="32"/>
  <c r="Q57" i="15" a="1"/>
  <c r="Q57" i="15" s="1"/>
  <c r="Q60" i="15"/>
  <c r="E10" i="32"/>
  <c r="E9" i="32"/>
  <c r="F10" i="32"/>
  <c r="F11" i="32"/>
  <c r="F6" i="32"/>
  <c r="F12" i="32"/>
  <c r="F7" i="32"/>
  <c r="H8" i="32"/>
  <c r="X90" i="12"/>
  <c r="X66" i="12"/>
  <c r="X42" i="12"/>
  <c r="X14" i="12"/>
  <c r="I60" i="12"/>
  <c r="I61" i="12"/>
  <c r="I62" i="12"/>
  <c r="I63" i="12"/>
  <c r="I64" i="12"/>
  <c r="I65" i="12"/>
  <c r="I66" i="12"/>
  <c r="I67" i="12"/>
  <c r="I68" i="12"/>
  <c r="I69" i="12"/>
  <c r="I70" i="12"/>
  <c r="I72" i="12"/>
  <c r="I73" i="12"/>
  <c r="I74" i="12"/>
  <c r="I75" i="12"/>
  <c r="I77" i="12"/>
  <c r="I59" i="12"/>
  <c r="H60" i="12"/>
  <c r="H61" i="12"/>
  <c r="H62" i="12"/>
  <c r="H63" i="12"/>
  <c r="H64" i="12"/>
  <c r="H65" i="12"/>
  <c r="H66" i="12"/>
  <c r="H67" i="12"/>
  <c r="H68" i="12"/>
  <c r="H69" i="12"/>
  <c r="H70" i="12"/>
  <c r="H72" i="12"/>
  <c r="H73" i="12"/>
  <c r="H74" i="12"/>
  <c r="H75" i="12"/>
  <c r="H77" i="12"/>
  <c r="H59" i="12"/>
  <c r="Q59" i="15" l="1"/>
  <c r="Q58" i="15"/>
  <c r="Q61" i="15"/>
  <c r="C159" i="18" l="1"/>
  <c r="F17" i="32" l="1"/>
  <c r="E6" i="32"/>
  <c r="E112" i="15" l="1"/>
  <c r="B172" i="12"/>
  <c r="B173" i="12"/>
  <c r="B174" i="12"/>
  <c r="B175" i="12"/>
  <c r="C54" i="18" s="1"/>
  <c r="B176" i="12"/>
  <c r="B177" i="12"/>
  <c r="B178" i="12"/>
  <c r="B179" i="12"/>
  <c r="B180" i="12"/>
  <c r="B171" i="12"/>
  <c r="B164" i="12"/>
  <c r="B160" i="12"/>
  <c r="B161" i="12"/>
  <c r="B162" i="12"/>
  <c r="B163" i="12"/>
  <c r="B165" i="12"/>
  <c r="B166" i="12"/>
  <c r="B167" i="12"/>
  <c r="B168" i="12"/>
  <c r="B159" i="12"/>
  <c r="X132" i="12"/>
  <c r="X133" i="12"/>
  <c r="I133" i="12"/>
  <c r="I132" i="12"/>
  <c r="I131" i="12"/>
  <c r="I127" i="12"/>
  <c r="H133" i="12"/>
  <c r="H132" i="12"/>
  <c r="H131" i="12"/>
  <c r="X105" i="12"/>
  <c r="X104" i="12"/>
  <c r="U105" i="12"/>
  <c r="V105" i="12" s="1"/>
  <c r="U104" i="12"/>
  <c r="V104" i="12" s="1"/>
  <c r="AL4" i="43"/>
  <c r="AB15" i="43"/>
  <c r="F105" i="12" s="1"/>
  <c r="G133" i="12" s="1"/>
  <c r="AA15" i="43"/>
  <c r="U29" i="12"/>
  <c r="E118" i="15"/>
  <c r="E119" i="15"/>
  <c r="E120" i="15"/>
  <c r="E121" i="15"/>
  <c r="E117" i="15"/>
  <c r="E9" i="15"/>
  <c r="E10" i="15"/>
  <c r="E11" i="15"/>
  <c r="E15" i="15"/>
  <c r="E16" i="15"/>
  <c r="E17" i="15"/>
  <c r="E21" i="15"/>
  <c r="E22" i="15"/>
  <c r="E23" i="15"/>
  <c r="E27" i="15"/>
  <c r="E28" i="15"/>
  <c r="E29" i="15"/>
  <c r="E33" i="15"/>
  <c r="E34" i="15"/>
  <c r="E35" i="15"/>
  <c r="E39" i="15"/>
  <c r="E40" i="15"/>
  <c r="E41" i="15"/>
  <c r="E45" i="15"/>
  <c r="E46" i="15"/>
  <c r="E47" i="15"/>
  <c r="E51" i="15"/>
  <c r="E52" i="15"/>
  <c r="E53" i="15"/>
  <c r="E57" i="15"/>
  <c r="E58" i="15"/>
  <c r="E59" i="15"/>
  <c r="E63" i="15"/>
  <c r="E64" i="15"/>
  <c r="E65" i="15"/>
  <c r="E69" i="15"/>
  <c r="E70" i="15"/>
  <c r="E71" i="15"/>
  <c r="E75" i="15"/>
  <c r="E76" i="15"/>
  <c r="E77" i="15"/>
  <c r="E81" i="15"/>
  <c r="E82" i="15"/>
  <c r="E83" i="15"/>
  <c r="E87" i="15"/>
  <c r="E88" i="15"/>
  <c r="E89" i="15"/>
  <c r="E93" i="15"/>
  <c r="E94" i="15"/>
  <c r="E95" i="15"/>
  <c r="E99" i="15"/>
  <c r="E100" i="15"/>
  <c r="E101" i="15"/>
  <c r="E105" i="15"/>
  <c r="E106" i="15"/>
  <c r="E107" i="15"/>
  <c r="E111" i="15"/>
  <c r="E113" i="15"/>
  <c r="E132" i="15"/>
  <c r="E133" i="15"/>
  <c r="E134" i="15"/>
  <c r="E135" i="15"/>
  <c r="E136" i="15"/>
  <c r="E137" i="15"/>
  <c r="E138" i="15"/>
  <c r="E139" i="15"/>
  <c r="E140" i="15"/>
  <c r="E141" i="15"/>
  <c r="E142" i="15"/>
  <c r="E143" i="15"/>
  <c r="F29" i="32"/>
  <c r="I29" i="32"/>
  <c r="E29" i="32"/>
  <c r="G27" i="32"/>
  <c r="H27" i="32"/>
  <c r="I27" i="32"/>
  <c r="F26" i="32"/>
  <c r="G26" i="32"/>
  <c r="H26" i="32"/>
  <c r="I26" i="32"/>
  <c r="H507" i="12"/>
  <c r="F506" i="12"/>
  <c r="F507" i="12" s="1"/>
  <c r="H506" i="12"/>
  <c r="H508" i="12" s="1"/>
  <c r="M21" i="37"/>
  <c r="B592" i="12"/>
  <c r="M11" i="37"/>
  <c r="K21" i="37"/>
  <c r="L21" i="37" s="1"/>
  <c r="P117" i="15" l="1" a="1"/>
  <c r="P117" i="15" s="1"/>
  <c r="C53" i="18"/>
  <c r="C241" i="18"/>
  <c r="C245" i="18"/>
  <c r="P111" i="15" a="1"/>
  <c r="P111" i="15" s="1"/>
  <c r="P105" i="15" a="1"/>
  <c r="P106" i="15" s="1"/>
  <c r="G515" i="12"/>
  <c r="H515" i="12" s="1"/>
  <c r="G513" i="12"/>
  <c r="G514" i="12"/>
  <c r="H514" i="12" s="1"/>
  <c r="V29" i="12"/>
  <c r="C240" i="18" s="1"/>
  <c r="P118" i="15"/>
  <c r="P121" i="15"/>
  <c r="U28" i="12"/>
  <c r="U132" i="12"/>
  <c r="B498" i="12"/>
  <c r="I105" i="12"/>
  <c r="H105" i="12"/>
  <c r="I104" i="12"/>
  <c r="H104" i="12"/>
  <c r="I103" i="12"/>
  <c r="H103" i="12"/>
  <c r="AN15" i="43"/>
  <c r="AM15" i="43"/>
  <c r="AK15" i="43"/>
  <c r="AJ15" i="43"/>
  <c r="AI15" i="43"/>
  <c r="AH15" i="43"/>
  <c r="AG15" i="43"/>
  <c r="AF15" i="43"/>
  <c r="AE15" i="43"/>
  <c r="AD15" i="43"/>
  <c r="AC15" i="43"/>
  <c r="Z15" i="43"/>
  <c r="Y15" i="43"/>
  <c r="X15" i="43"/>
  <c r="W15" i="43"/>
  <c r="V15" i="43"/>
  <c r="U15" i="43"/>
  <c r="T15" i="43"/>
  <c r="S15" i="43"/>
  <c r="R15" i="43"/>
  <c r="Q15" i="43"/>
  <c r="P15" i="43"/>
  <c r="O15" i="43"/>
  <c r="N15" i="43"/>
  <c r="M15" i="43"/>
  <c r="L15" i="43"/>
  <c r="K15" i="43"/>
  <c r="J15" i="43"/>
  <c r="I15" i="43"/>
  <c r="H15" i="43"/>
  <c r="G15" i="43"/>
  <c r="F15" i="43"/>
  <c r="E15" i="43"/>
  <c r="AN14" i="43"/>
  <c r="AK14" i="43"/>
  <c r="AJ14" i="43"/>
  <c r="AI14" i="43"/>
  <c r="AH14" i="43"/>
  <c r="AG14" i="43"/>
  <c r="AF14" i="43"/>
  <c r="AE14" i="43"/>
  <c r="AD14" i="43"/>
  <c r="AC14" i="43"/>
  <c r="AB14" i="43"/>
  <c r="AA14" i="43"/>
  <c r="F104" i="12" s="1"/>
  <c r="X14" i="43"/>
  <c r="W14" i="43"/>
  <c r="V14" i="43"/>
  <c r="U14" i="43"/>
  <c r="T14" i="43"/>
  <c r="S14" i="43"/>
  <c r="R14" i="43"/>
  <c r="Q14" i="43"/>
  <c r="P14" i="43"/>
  <c r="O14" i="43"/>
  <c r="N14" i="43"/>
  <c r="M14" i="43"/>
  <c r="L14" i="43"/>
  <c r="K14" i="43"/>
  <c r="J14" i="43"/>
  <c r="I14" i="43"/>
  <c r="H14" i="43"/>
  <c r="G14" i="43"/>
  <c r="F14" i="43"/>
  <c r="E14" i="43"/>
  <c r="D13" i="43"/>
  <c r="AE13" i="43" s="1"/>
  <c r="AO9" i="43"/>
  <c r="AP9" i="43" s="1"/>
  <c r="AL9" i="43"/>
  <c r="AL8" i="43"/>
  <c r="AL15" i="43" s="1"/>
  <c r="AL7" i="43"/>
  <c r="AM6" i="43"/>
  <c r="AL6" i="43"/>
  <c r="Z6" i="43"/>
  <c r="Y6" i="43"/>
  <c r="AM5" i="43"/>
  <c r="AL5" i="43"/>
  <c r="Z5" i="43"/>
  <c r="Y5" i="43"/>
  <c r="AM4" i="43"/>
  <c r="AM14" i="43" s="1"/>
  <c r="Z4" i="43"/>
  <c r="Z14" i="43" s="1"/>
  <c r="Y4" i="43"/>
  <c r="Y14" i="43" s="1"/>
  <c r="AL2" i="43"/>
  <c r="Z2" i="43"/>
  <c r="Z13" i="43" s="1"/>
  <c r="Y2" i="43"/>
  <c r="G132" i="12" l="1"/>
  <c r="AA132" i="12" s="1"/>
  <c r="C127" i="18"/>
  <c r="V132" i="12"/>
  <c r="C246" i="18" s="1"/>
  <c r="P119" i="15"/>
  <c r="AH13" i="43"/>
  <c r="J13" i="43"/>
  <c r="R13" i="43"/>
  <c r="C244" i="18"/>
  <c r="P120" i="15"/>
  <c r="AO4" i="43"/>
  <c r="P115" i="15"/>
  <c r="P112" i="15"/>
  <c r="P113" i="15"/>
  <c r="P114" i="15"/>
  <c r="P107" i="15"/>
  <c r="P105" i="15"/>
  <c r="P108" i="15"/>
  <c r="P109" i="15"/>
  <c r="U133" i="12"/>
  <c r="H513" i="12"/>
  <c r="V28" i="12"/>
  <c r="Y28" i="12" s="1"/>
  <c r="Y29" i="12"/>
  <c r="AA13" i="43"/>
  <c r="F103" i="12" s="1"/>
  <c r="F13" i="43"/>
  <c r="N13" i="43"/>
  <c r="V13" i="43"/>
  <c r="AD13" i="43"/>
  <c r="AM13" i="43"/>
  <c r="K13" i="43"/>
  <c r="S13" i="43"/>
  <c r="AI13" i="43"/>
  <c r="AO6" i="43"/>
  <c r="G13" i="43"/>
  <c r="O13" i="43"/>
  <c r="W13" i="43"/>
  <c r="U27" i="12"/>
  <c r="C498" i="12"/>
  <c r="C104" i="12"/>
  <c r="D105" i="12"/>
  <c r="E105" i="12"/>
  <c r="G123" i="18" s="1"/>
  <c r="E104" i="12"/>
  <c r="G127" i="18" s="1"/>
  <c r="D104" i="12"/>
  <c r="C105" i="12"/>
  <c r="AL13" i="43"/>
  <c r="AO2" i="43"/>
  <c r="AO13" i="43" s="1"/>
  <c r="AO5" i="43"/>
  <c r="AO14" i="43" s="1"/>
  <c r="AO8" i="43"/>
  <c r="AP8" i="43" s="1"/>
  <c r="AO7" i="43"/>
  <c r="AO15" i="43" s="1"/>
  <c r="H13" i="43"/>
  <c r="T13" i="43"/>
  <c r="AB13" i="43"/>
  <c r="AJ13" i="43"/>
  <c r="AL14" i="43"/>
  <c r="L13" i="43"/>
  <c r="P13" i="43"/>
  <c r="X13" i="43"/>
  <c r="AF13" i="43"/>
  <c r="AN13" i="43"/>
  <c r="E13" i="43"/>
  <c r="I13" i="43"/>
  <c r="M13" i="43"/>
  <c r="Q13" i="43"/>
  <c r="U13" i="43"/>
  <c r="Y13" i="43"/>
  <c r="AC13" i="43"/>
  <c r="AG13" i="43"/>
  <c r="AK13" i="43"/>
  <c r="D498" i="12" l="1"/>
  <c r="U131" i="12" s="1"/>
  <c r="U103" i="12"/>
  <c r="V27" i="12"/>
  <c r="Y27" i="12" s="1"/>
  <c r="V133" i="12"/>
  <c r="C242" i="18" s="1"/>
  <c r="E103" i="12"/>
  <c r="G119" i="18" s="1"/>
  <c r="G131" i="12"/>
  <c r="D103" i="12"/>
  <c r="C103" i="12"/>
  <c r="AP2" i="43"/>
  <c r="AP13" i="43" s="1"/>
  <c r="K103" i="12" s="1"/>
  <c r="AP7" i="43"/>
  <c r="AP15" i="43" s="1"/>
  <c r="K105" i="12" s="1"/>
  <c r="O105" i="12" s="1"/>
  <c r="AP14" i="43"/>
  <c r="K104" i="12" s="1"/>
  <c r="O104" i="12" s="1"/>
  <c r="V131" i="12" l="1"/>
  <c r="C238" i="18"/>
  <c r="V103" i="12"/>
  <c r="C237" i="18"/>
  <c r="C236" i="18"/>
  <c r="O103" i="12"/>
  <c r="M103" i="12"/>
  <c r="N103" i="12" s="1"/>
  <c r="M104" i="12"/>
  <c r="N104" i="12" s="1"/>
  <c r="M105" i="12"/>
  <c r="N105" i="12" s="1"/>
  <c r="T133" i="12"/>
  <c r="T132" i="12"/>
  <c r="T131" i="12"/>
  <c r="M35" i="37"/>
  <c r="M24" i="37"/>
  <c r="D13" i="37"/>
  <c r="D27" i="12" s="1"/>
  <c r="AJ114" i="15" l="1"/>
  <c r="AJ115" i="15"/>
  <c r="AJ112" i="15"/>
  <c r="AJ111" i="15"/>
  <c r="AJ113" i="15"/>
  <c r="AJ121" i="15"/>
  <c r="AJ120" i="15"/>
  <c r="AJ117" i="15"/>
  <c r="AJ118" i="15"/>
  <c r="AJ119" i="15"/>
  <c r="AJ107" i="15"/>
  <c r="AJ108" i="15"/>
  <c r="AJ106" i="15"/>
  <c r="AJ109" i="15"/>
  <c r="AJ105" i="15"/>
  <c r="R28" i="12"/>
  <c r="I29" i="12"/>
  <c r="H29" i="12"/>
  <c r="I28" i="12"/>
  <c r="H28" i="12"/>
  <c r="I27" i="12"/>
  <c r="H27" i="12"/>
  <c r="Q117" i="15" a="1"/>
  <c r="Q117" i="15" s="1"/>
  <c r="Q111" i="15" a="1"/>
  <c r="Q111" i="15" s="1"/>
  <c r="Q105" i="15" a="1"/>
  <c r="Q105" i="15" s="1"/>
  <c r="H117" i="15" a="1"/>
  <c r="H117" i="15" s="1"/>
  <c r="H111" i="15" a="1"/>
  <c r="H113" i="15" s="1"/>
  <c r="AU113" i="15" s="1"/>
  <c r="H105" i="15" a="1"/>
  <c r="H105" i="15" s="1"/>
  <c r="AV116" i="15"/>
  <c r="AV110" i="15"/>
  <c r="AV104" i="15"/>
  <c r="M31" i="32"/>
  <c r="J31" i="32"/>
  <c r="E57" i="17"/>
  <c r="I57" i="17"/>
  <c r="K56" i="17"/>
  <c r="P29" i="32" s="1"/>
  <c r="K53" i="17"/>
  <c r="P26" i="32" s="1"/>
  <c r="K54" i="17"/>
  <c r="P27" i="32" s="1"/>
  <c r="K50" i="17"/>
  <c r="J53" i="17"/>
  <c r="F29" i="17"/>
  <c r="G29" i="17"/>
  <c r="H29" i="17"/>
  <c r="I29" i="17"/>
  <c r="J29" i="17"/>
  <c r="K29" i="17"/>
  <c r="L29" i="17"/>
  <c r="M29" i="17"/>
  <c r="N29" i="17"/>
  <c r="E29" i="17"/>
  <c r="O27" i="17"/>
  <c r="O25" i="17"/>
  <c r="O24" i="17"/>
  <c r="J56" i="17"/>
  <c r="J54" i="17"/>
  <c r="K31" i="32"/>
  <c r="L31" i="32"/>
  <c r="N31" i="32"/>
  <c r="BN117" i="15" l="1"/>
  <c r="BN111" i="15"/>
  <c r="BN105" i="15"/>
  <c r="AU117" i="15"/>
  <c r="G105" i="15"/>
  <c r="AU105" i="15"/>
  <c r="BF117" i="15"/>
  <c r="Q120" i="15"/>
  <c r="Q114" i="15"/>
  <c r="Q119" i="15"/>
  <c r="Q118" i="15"/>
  <c r="Q121" i="15"/>
  <c r="H112" i="15"/>
  <c r="AU112" i="15" s="1"/>
  <c r="H120" i="15"/>
  <c r="AU120" i="15" s="1"/>
  <c r="H115" i="15"/>
  <c r="AU115" i="15" s="1"/>
  <c r="H111" i="15"/>
  <c r="H119" i="15"/>
  <c r="AU119" i="15" s="1"/>
  <c r="H118" i="15"/>
  <c r="H114" i="15"/>
  <c r="H121" i="15"/>
  <c r="AU121" i="15" s="1"/>
  <c r="BF111" i="15"/>
  <c r="S28" i="12"/>
  <c r="AQ113" i="15"/>
  <c r="Q113" i="15"/>
  <c r="Q112" i="15"/>
  <c r="L112" i="15" s="1"/>
  <c r="Q115" i="15"/>
  <c r="Q108" i="15"/>
  <c r="Q107" i="15"/>
  <c r="Q106" i="15"/>
  <c r="Q109" i="15"/>
  <c r="H108" i="15"/>
  <c r="H107" i="15"/>
  <c r="H106" i="15"/>
  <c r="H109" i="15"/>
  <c r="G109" i="15" s="1"/>
  <c r="O27" i="32"/>
  <c r="O29" i="32"/>
  <c r="C329" i="18"/>
  <c r="C327" i="18"/>
  <c r="B685" i="12"/>
  <c r="BN121" i="15" l="1"/>
  <c r="BN120" i="15"/>
  <c r="BN118" i="15"/>
  <c r="BN119" i="15"/>
  <c r="BN115" i="15"/>
  <c r="BN114" i="15"/>
  <c r="BN112" i="15"/>
  <c r="BN113" i="15"/>
  <c r="BN108" i="15"/>
  <c r="BN109" i="15"/>
  <c r="BN106" i="15"/>
  <c r="BN107" i="15"/>
  <c r="AQ112" i="15"/>
  <c r="G119" i="15"/>
  <c r="AU118" i="15"/>
  <c r="AQ114" i="15"/>
  <c r="AU114" i="15"/>
  <c r="AU111" i="15"/>
  <c r="G115" i="15"/>
  <c r="AU108" i="15"/>
  <c r="AU109" i="15"/>
  <c r="AU107" i="15"/>
  <c r="AU106" i="15"/>
  <c r="AQ111" i="15"/>
  <c r="G112" i="15"/>
  <c r="AR112" i="15" s="1"/>
  <c r="BF114" i="15"/>
  <c r="BF115" i="15"/>
  <c r="BF121" i="15"/>
  <c r="BF120" i="15"/>
  <c r="BF112" i="15"/>
  <c r="BG112" i="15" s="1"/>
  <c r="BF118" i="15"/>
  <c r="BF113" i="15"/>
  <c r="BF119" i="15"/>
  <c r="L108" i="15"/>
  <c r="AQ115" i="15"/>
  <c r="AR115" i="15" s="1"/>
  <c r="G117" i="15"/>
  <c r="V117" i="15" s="1"/>
  <c r="L113" i="15"/>
  <c r="AK113" i="15" s="1"/>
  <c r="G118" i="15"/>
  <c r="L109" i="15"/>
  <c r="G120" i="15"/>
  <c r="L106" i="15"/>
  <c r="L107" i="15"/>
  <c r="G113" i="15"/>
  <c r="AV115" i="15"/>
  <c r="G107" i="15"/>
  <c r="V109" i="15"/>
  <c r="L119" i="15"/>
  <c r="L121" i="15"/>
  <c r="G114" i="15"/>
  <c r="L120" i="15"/>
  <c r="S108" i="15"/>
  <c r="AK112" i="15"/>
  <c r="S112" i="15"/>
  <c r="L111" i="15"/>
  <c r="L117" i="15"/>
  <c r="G108" i="15"/>
  <c r="G121" i="15"/>
  <c r="G111" i="15"/>
  <c r="L118" i="15"/>
  <c r="L115" i="15"/>
  <c r="L114" i="15"/>
  <c r="L105" i="15"/>
  <c r="G106" i="15"/>
  <c r="AV92" i="15"/>
  <c r="AV112" i="15" l="1"/>
  <c r="AV117" i="15"/>
  <c r="AP108" i="15"/>
  <c r="C22" i="5"/>
  <c r="AK108" i="15"/>
  <c r="S107" i="15"/>
  <c r="BU107" i="15"/>
  <c r="AK106" i="15"/>
  <c r="BG113" i="15"/>
  <c r="AK107" i="15"/>
  <c r="D23" i="5"/>
  <c r="D22" i="5"/>
  <c r="D24" i="5"/>
  <c r="C23" i="5"/>
  <c r="C24" i="5"/>
  <c r="S113" i="15"/>
  <c r="BU106" i="15"/>
  <c r="S106" i="15"/>
  <c r="BU109" i="15"/>
  <c r="AK109" i="15"/>
  <c r="S109" i="15"/>
  <c r="X105" i="15"/>
  <c r="V105" i="15"/>
  <c r="S118" i="15"/>
  <c r="AK118" i="15"/>
  <c r="AR114" i="15"/>
  <c r="AV114" i="15"/>
  <c r="AK121" i="15"/>
  <c r="S121" i="15"/>
  <c r="AK119" i="15"/>
  <c r="S119" i="15"/>
  <c r="AV111" i="15"/>
  <c r="AR111" i="15"/>
  <c r="AK120" i="15"/>
  <c r="S120" i="15"/>
  <c r="V107" i="15"/>
  <c r="AP107" i="15"/>
  <c r="X107" i="15"/>
  <c r="AV113" i="15"/>
  <c r="AR113" i="15"/>
  <c r="BG114" i="15"/>
  <c r="AK114" i="15"/>
  <c r="S114" i="15"/>
  <c r="AP106" i="15"/>
  <c r="X106" i="15"/>
  <c r="V106" i="15"/>
  <c r="AK105" i="15"/>
  <c r="S105" i="15"/>
  <c r="BG115" i="15"/>
  <c r="S115" i="15"/>
  <c r="AK115" i="15"/>
  <c r="X108" i="15"/>
  <c r="V108" i="15"/>
  <c r="AK117" i="15"/>
  <c r="S117" i="15"/>
  <c r="BG111" i="15"/>
  <c r="AK111" i="15"/>
  <c r="S111" i="15"/>
  <c r="I10" i="32"/>
  <c r="F9" i="32"/>
  <c r="I22" i="32"/>
  <c r="I23" i="32"/>
  <c r="H22" i="32"/>
  <c r="H24" i="32"/>
  <c r="G22" i="32"/>
  <c r="G24" i="32"/>
  <c r="F22" i="32"/>
  <c r="F24" i="32"/>
  <c r="E22" i="32"/>
  <c r="E24" i="32"/>
  <c r="F13" i="32" l="1"/>
  <c r="F8" i="32" l="1"/>
  <c r="AQ73" i="29" l="1"/>
  <c r="AN73" i="29"/>
  <c r="AO8" i="30" l="1"/>
  <c r="AN8" i="30" s="1"/>
  <c r="AL8" i="30" s="1"/>
  <c r="AO7" i="30"/>
  <c r="AN7" i="30" s="1"/>
  <c r="AL7" i="30" s="1"/>
  <c r="F7" i="30"/>
  <c r="F8" i="30"/>
  <c r="AO4" i="30"/>
  <c r="O137" i="25"/>
  <c r="O117" i="25"/>
  <c r="I137" i="25"/>
  <c r="I118" i="25"/>
  <c r="I84" i="25"/>
  <c r="J146" i="12" l="1"/>
  <c r="F147" i="12"/>
  <c r="K83" i="25" l="1"/>
  <c r="L83" i="25" s="1"/>
  <c r="K50" i="25"/>
  <c r="L50" i="25" s="1"/>
  <c r="K51" i="25"/>
  <c r="L51" i="25" s="1"/>
  <c r="AZ14" i="29" l="1"/>
  <c r="AZ52" i="29"/>
  <c r="BA52" i="29"/>
  <c r="H13" i="32" l="1"/>
  <c r="H14" i="32"/>
  <c r="G13" i="32"/>
  <c r="G14" i="32"/>
  <c r="E33" i="30"/>
  <c r="S30" i="30"/>
  <c r="AC4" i="30"/>
  <c r="AQ16" i="28"/>
  <c r="AJ19" i="30" l="1"/>
  <c r="AC19" i="30"/>
  <c r="AJ4" i="30"/>
  <c r="AB129" i="12" l="1"/>
  <c r="AB131" i="12" s="1"/>
  <c r="AB127" i="12"/>
  <c r="AA16" i="30"/>
  <c r="AA15" i="30"/>
  <c r="AO9" i="30"/>
  <c r="AO10" i="30"/>
  <c r="AA19" i="30"/>
  <c r="F19" i="30"/>
  <c r="AA18" i="30"/>
  <c r="F18" i="30"/>
  <c r="AA17" i="30"/>
  <c r="F17" i="30"/>
  <c r="F3" i="30"/>
  <c r="F4" i="30"/>
  <c r="F5" i="30"/>
  <c r="F6" i="30"/>
  <c r="F9" i="30"/>
  <c r="F10" i="30"/>
  <c r="F11" i="30"/>
  <c r="F12" i="30"/>
  <c r="F13" i="30"/>
  <c r="F14" i="30"/>
  <c r="F15" i="30"/>
  <c r="F16" i="30"/>
  <c r="F2" i="30"/>
  <c r="AA14" i="30"/>
  <c r="AA13" i="30"/>
  <c r="AN13" i="30"/>
  <c r="AL13" i="30" s="1"/>
  <c r="AO55" i="29"/>
  <c r="AO52" i="29"/>
  <c r="AO51" i="29"/>
  <c r="AO34" i="29"/>
  <c r="AO33" i="29"/>
  <c r="AO36" i="29"/>
  <c r="AO35" i="29"/>
  <c r="AO17" i="29"/>
  <c r="AO18" i="29"/>
  <c r="AP13" i="29"/>
  <c r="AO9" i="29"/>
  <c r="AO8" i="29"/>
  <c r="AP5" i="29"/>
  <c r="AP6" i="29"/>
  <c r="AP7" i="29"/>
  <c r="AP4" i="29"/>
  <c r="AO45" i="29"/>
  <c r="AO43" i="29"/>
  <c r="AO44" i="29"/>
  <c r="AO32" i="29"/>
  <c r="AO31" i="29"/>
  <c r="AP11" i="29"/>
  <c r="AP10" i="29"/>
  <c r="I5" i="29"/>
  <c r="I6" i="29"/>
  <c r="I7" i="29"/>
  <c r="I8" i="29"/>
  <c r="I9" i="29"/>
  <c r="I10" i="29"/>
  <c r="I11" i="29"/>
  <c r="I12" i="29"/>
  <c r="I13" i="29"/>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47" i="29"/>
  <c r="I48" i="29"/>
  <c r="I49" i="29"/>
  <c r="I50" i="29"/>
  <c r="I51" i="29"/>
  <c r="I52" i="29"/>
  <c r="I53" i="29"/>
  <c r="I54" i="29"/>
  <c r="I55" i="29"/>
  <c r="I56" i="29"/>
  <c r="I57" i="29"/>
  <c r="I58" i="29"/>
  <c r="I60" i="29"/>
  <c r="I4" i="29"/>
  <c r="F90" i="12"/>
  <c r="F58" i="28"/>
  <c r="F59" i="28"/>
  <c r="F60" i="28"/>
  <c r="F61" i="28"/>
  <c r="F62" i="28"/>
  <c r="F63" i="28"/>
  <c r="F64" i="28"/>
  <c r="F65" i="28"/>
  <c r="F66" i="28"/>
  <c r="F67" i="28"/>
  <c r="F68" i="28"/>
  <c r="F69" i="28"/>
  <c r="F70" i="28"/>
  <c r="F71" i="28"/>
  <c r="F72" i="28"/>
  <c r="F73" i="28"/>
  <c r="F35" i="28"/>
  <c r="F36" i="28"/>
  <c r="F37" i="28"/>
  <c r="F38" i="28"/>
  <c r="F39" i="28"/>
  <c r="F40" i="28"/>
  <c r="F41" i="28"/>
  <c r="F42" i="28"/>
  <c r="F43" i="28"/>
  <c r="F44" i="28"/>
  <c r="F45" i="28"/>
  <c r="F46" i="28"/>
  <c r="F47" i="28"/>
  <c r="F48" i="28"/>
  <c r="F49" i="28"/>
  <c r="F50" i="28"/>
  <c r="F51" i="28"/>
  <c r="F52" i="28"/>
  <c r="F53" i="28"/>
  <c r="F54" i="28"/>
  <c r="F55" i="28"/>
  <c r="F56" i="28"/>
  <c r="F57" i="28"/>
  <c r="F17" i="28"/>
  <c r="F18" i="28"/>
  <c r="F19" i="28"/>
  <c r="F20" i="28"/>
  <c r="F21" i="28"/>
  <c r="F22" i="28"/>
  <c r="F23" i="28"/>
  <c r="F24" i="28"/>
  <c r="F25" i="28"/>
  <c r="F26" i="28"/>
  <c r="F27" i="28"/>
  <c r="F28" i="28"/>
  <c r="F29" i="28"/>
  <c r="F30" i="28"/>
  <c r="F31" i="28"/>
  <c r="F32" i="28"/>
  <c r="F33" i="28"/>
  <c r="F34" i="28"/>
  <c r="F5" i="28"/>
  <c r="F6" i="28"/>
  <c r="F7" i="28"/>
  <c r="F8" i="28"/>
  <c r="F9" i="28"/>
  <c r="F10" i="28"/>
  <c r="F11" i="28"/>
  <c r="F12" i="28"/>
  <c r="F13" i="28"/>
  <c r="F14" i="28"/>
  <c r="F15" i="28"/>
  <c r="F16" i="28"/>
  <c r="F4" i="28"/>
  <c r="AA49" i="28"/>
  <c r="AA40" i="28"/>
  <c r="X34" i="28"/>
  <c r="AA34" i="28" s="1"/>
  <c r="AA35" i="28"/>
  <c r="AO23" i="30" l="1"/>
  <c r="K95" i="12" s="1"/>
  <c r="X95" i="12" s="1"/>
  <c r="AO22" i="30"/>
  <c r="AY64" i="29"/>
  <c r="AV64" i="29"/>
  <c r="AV63" i="29"/>
  <c r="AL86" i="28"/>
  <c r="H95" i="28"/>
  <c r="C149" i="15" l="1"/>
  <c r="I57" i="5"/>
  <c r="C21" i="18" l="1"/>
  <c r="V52" i="21" l="1"/>
  <c r="V53" i="21"/>
  <c r="C147" i="15"/>
  <c r="C146" i="15"/>
  <c r="C41" i="5" l="1"/>
  <c r="C334" i="18"/>
  <c r="C333" i="18"/>
  <c r="C42" i="5" l="1"/>
  <c r="C44" i="5" s="1"/>
  <c r="I44" i="5" s="1"/>
  <c r="N35" i="37"/>
  <c r="J35" i="37"/>
  <c r="I35" i="37"/>
  <c r="H35" i="37"/>
  <c r="G35" i="37"/>
  <c r="F29" i="12" s="1"/>
  <c r="C122" i="18" s="1"/>
  <c r="E122" i="18" s="1"/>
  <c r="F35" i="37"/>
  <c r="E35" i="37"/>
  <c r="D35" i="37"/>
  <c r="D29" i="12" s="1"/>
  <c r="K33" i="37"/>
  <c r="L33" i="37" s="1"/>
  <c r="K24" i="37"/>
  <c r="J24" i="37"/>
  <c r="L28" i="12" s="1"/>
  <c r="W111" i="15" s="1"/>
  <c r="I24" i="37"/>
  <c r="H24" i="37"/>
  <c r="G24" i="37"/>
  <c r="F28" i="12" s="1"/>
  <c r="C126" i="18" s="1"/>
  <c r="F24" i="37"/>
  <c r="E24" i="37"/>
  <c r="D24" i="37"/>
  <c r="D28" i="12" s="1"/>
  <c r="L24" i="37"/>
  <c r="M13" i="37"/>
  <c r="R27" i="12" s="1"/>
  <c r="AQ106" i="15" s="1"/>
  <c r="J13" i="37"/>
  <c r="L27" i="12" s="1"/>
  <c r="I13" i="37"/>
  <c r="H13" i="37"/>
  <c r="G13" i="37"/>
  <c r="F13" i="37"/>
  <c r="D14" i="37"/>
  <c r="L11" i="37"/>
  <c r="L13" i="37" s="1"/>
  <c r="K11" i="37"/>
  <c r="K13" i="37" s="1"/>
  <c r="D63" i="29"/>
  <c r="E63" i="29"/>
  <c r="F63" i="29"/>
  <c r="G63" i="29"/>
  <c r="I63" i="29"/>
  <c r="J63" i="29"/>
  <c r="K63" i="29"/>
  <c r="L63" i="29"/>
  <c r="M63" i="29"/>
  <c r="N63" i="29"/>
  <c r="O63" i="29"/>
  <c r="P63" i="29"/>
  <c r="Q63" i="29"/>
  <c r="R63" i="29"/>
  <c r="S63" i="29"/>
  <c r="U63" i="29"/>
  <c r="V63" i="29"/>
  <c r="W63" i="29"/>
  <c r="Y63" i="29"/>
  <c r="Z63" i="29"/>
  <c r="AA63" i="29"/>
  <c r="AB63" i="29"/>
  <c r="AC63" i="29"/>
  <c r="AD63" i="29"/>
  <c r="AE63" i="29"/>
  <c r="AF63" i="29"/>
  <c r="AG63" i="29"/>
  <c r="AH63" i="29"/>
  <c r="AM63" i="29"/>
  <c r="AN63" i="29"/>
  <c r="AO63" i="29"/>
  <c r="AP63" i="29"/>
  <c r="AQ63" i="29"/>
  <c r="AR63" i="29"/>
  <c r="AS63" i="29"/>
  <c r="AW63" i="29"/>
  <c r="AY63" i="29"/>
  <c r="AZ63" i="29"/>
  <c r="D64" i="29"/>
  <c r="E64" i="29"/>
  <c r="G64" i="29"/>
  <c r="I64" i="29"/>
  <c r="J64" i="29"/>
  <c r="K64" i="29"/>
  <c r="L64" i="29"/>
  <c r="M64" i="29"/>
  <c r="N64" i="29"/>
  <c r="O64" i="29"/>
  <c r="P64" i="29"/>
  <c r="Q64" i="29"/>
  <c r="R64" i="29"/>
  <c r="S64" i="29"/>
  <c r="T64" i="29"/>
  <c r="U64" i="29"/>
  <c r="V64" i="29"/>
  <c r="W64" i="29"/>
  <c r="Y64" i="29"/>
  <c r="Z64" i="29"/>
  <c r="AA64" i="29"/>
  <c r="AB64" i="29"/>
  <c r="AC64" i="29"/>
  <c r="AD64" i="29"/>
  <c r="AE64" i="29"/>
  <c r="AF64" i="29"/>
  <c r="AG64" i="29"/>
  <c r="AH64" i="29"/>
  <c r="AM64" i="29"/>
  <c r="AN64" i="29"/>
  <c r="AO64" i="29"/>
  <c r="AP64" i="29"/>
  <c r="AQ64" i="29"/>
  <c r="AR64" i="29"/>
  <c r="AS64" i="29"/>
  <c r="AW64" i="29"/>
  <c r="AX64" i="29"/>
  <c r="AZ64" i="29"/>
  <c r="D65" i="29"/>
  <c r="F65" i="29"/>
  <c r="G65" i="29"/>
  <c r="I65" i="29"/>
  <c r="J65" i="29"/>
  <c r="L65" i="29"/>
  <c r="M65" i="29"/>
  <c r="N65" i="29"/>
  <c r="O65" i="29"/>
  <c r="P65" i="29"/>
  <c r="Q65" i="29"/>
  <c r="R65" i="29"/>
  <c r="S65" i="29"/>
  <c r="U65" i="29"/>
  <c r="V65" i="29"/>
  <c r="W65" i="29"/>
  <c r="Y65" i="29"/>
  <c r="Z65" i="29"/>
  <c r="AA65" i="29"/>
  <c r="AB65" i="29"/>
  <c r="AE65" i="29"/>
  <c r="AF65" i="29"/>
  <c r="AG65" i="29"/>
  <c r="AH65" i="29"/>
  <c r="AO65" i="29"/>
  <c r="AP65" i="29"/>
  <c r="AQ65" i="29"/>
  <c r="AR65" i="29"/>
  <c r="AS65" i="29"/>
  <c r="AW65" i="29"/>
  <c r="AY65" i="29"/>
  <c r="AZ65" i="29"/>
  <c r="C63" i="29"/>
  <c r="BD58" i="29"/>
  <c r="BB58" i="29" s="1"/>
  <c r="BA58" i="29"/>
  <c r="AD58" i="29"/>
  <c r="Z58" i="29"/>
  <c r="BD57" i="29"/>
  <c r="BB57" i="29" s="1"/>
  <c r="BA57" i="29"/>
  <c r="AD57" i="29"/>
  <c r="Z57" i="29"/>
  <c r="BD56" i="29"/>
  <c r="BA56" i="29"/>
  <c r="AD56" i="29"/>
  <c r="Z56" i="29"/>
  <c r="T63" i="29" s="1"/>
  <c r="BA55" i="29"/>
  <c r="AZ55" i="29"/>
  <c r="BA54" i="29"/>
  <c r="AZ54" i="29"/>
  <c r="BA53" i="29"/>
  <c r="AZ53" i="29"/>
  <c r="AT64" i="29" s="1"/>
  <c r="AJ52" i="29"/>
  <c r="AR52" i="29" s="1"/>
  <c r="AI52" i="29"/>
  <c r="AQ52" i="29" s="1"/>
  <c r="AD52" i="29"/>
  <c r="BA51" i="29"/>
  <c r="AZ51" i="29"/>
  <c r="AJ51" i="29"/>
  <c r="AR51" i="29" s="1"/>
  <c r="AI51" i="29"/>
  <c r="AQ51" i="29" s="1"/>
  <c r="AD51" i="29"/>
  <c r="BA45" i="29"/>
  <c r="BA44" i="29"/>
  <c r="BA43" i="29"/>
  <c r="BA42" i="29"/>
  <c r="BA41" i="29"/>
  <c r="BA40" i="29"/>
  <c r="BA39" i="29"/>
  <c r="BA38" i="29"/>
  <c r="BA37" i="29"/>
  <c r="AD32" i="29"/>
  <c r="AD31" i="29"/>
  <c r="BD30" i="29"/>
  <c r="BA30" i="29"/>
  <c r="AZ30" i="29"/>
  <c r="AO30" i="29"/>
  <c r="AD30" i="29"/>
  <c r="L30" i="29"/>
  <c r="E65" i="29" s="1"/>
  <c r="BD29" i="29"/>
  <c r="BA29" i="29"/>
  <c r="AZ29" i="29"/>
  <c r="AO29" i="29"/>
  <c r="AD29" i="29"/>
  <c r="BD28" i="29"/>
  <c r="BA28" i="29"/>
  <c r="AZ28" i="29"/>
  <c r="AO28" i="29"/>
  <c r="AD28" i="29"/>
  <c r="BD27" i="29"/>
  <c r="BA27" i="29"/>
  <c r="AR27" i="29"/>
  <c r="AQ27" i="29"/>
  <c r="AO27" i="29"/>
  <c r="Q27" i="29"/>
  <c r="BD26" i="29"/>
  <c r="BA26" i="29"/>
  <c r="AR26" i="29"/>
  <c r="AQ26" i="29"/>
  <c r="AO26" i="29"/>
  <c r="Q26" i="29"/>
  <c r="BD25" i="29"/>
  <c r="BA25" i="29"/>
  <c r="AT25" i="29"/>
  <c r="AN65" i="29" s="1"/>
  <c r="AS25" i="29"/>
  <c r="AM65" i="29" s="1"/>
  <c r="AR25" i="29"/>
  <c r="AQ25" i="29"/>
  <c r="AO25" i="29"/>
  <c r="Q25" i="29"/>
  <c r="BD24" i="29"/>
  <c r="BA24" i="29"/>
  <c r="AR24" i="29"/>
  <c r="AQ24" i="29"/>
  <c r="AO24" i="29"/>
  <c r="Q24" i="29"/>
  <c r="BD23" i="29"/>
  <c r="BA23" i="29"/>
  <c r="AR23" i="29"/>
  <c r="AQ23" i="29"/>
  <c r="AO23" i="29"/>
  <c r="Q23" i="29"/>
  <c r="BD22" i="29"/>
  <c r="BA22" i="29"/>
  <c r="AR22" i="29"/>
  <c r="AQ22" i="29"/>
  <c r="AO22" i="29"/>
  <c r="Q22" i="29"/>
  <c r="BA21" i="29"/>
  <c r="AR21" i="29"/>
  <c r="AQ21" i="29"/>
  <c r="BA20" i="29"/>
  <c r="AR20" i="29"/>
  <c r="AQ20" i="29"/>
  <c r="AI63" i="29"/>
  <c r="BA15" i="29"/>
  <c r="AZ15" i="29"/>
  <c r="AT63" i="29" s="1"/>
  <c r="AR15" i="29"/>
  <c r="AQ15" i="29"/>
  <c r="AP15" i="29"/>
  <c r="BA14" i="29"/>
  <c r="AR14" i="29"/>
  <c r="AP14" i="29"/>
  <c r="J14" i="29"/>
  <c r="BA13" i="29"/>
  <c r="AZ13" i="29"/>
  <c r="AJ13" i="29"/>
  <c r="AR13" i="29" s="1"/>
  <c r="AD13" i="29"/>
  <c r="J13" i="29"/>
  <c r="M12" i="29"/>
  <c r="F64" i="29" s="1"/>
  <c r="BA11" i="29"/>
  <c r="AR11" i="29"/>
  <c r="AQ11" i="29"/>
  <c r="J11" i="29"/>
  <c r="C64" i="29" s="1"/>
  <c r="BA10" i="29"/>
  <c r="AR10" i="29"/>
  <c r="AQ10" i="29"/>
  <c r="BD9" i="29"/>
  <c r="BB9" i="29" s="1"/>
  <c r="BA9" i="29"/>
  <c r="AZ9" i="29"/>
  <c r="AD9" i="29"/>
  <c r="J9" i="29"/>
  <c r="BD8" i="29"/>
  <c r="BB8" i="29" s="1"/>
  <c r="BA8" i="29"/>
  <c r="AZ8" i="29"/>
  <c r="AD8" i="29"/>
  <c r="J8" i="29"/>
  <c r="BD7" i="29"/>
  <c r="BB7" i="29" s="1"/>
  <c r="Z7" i="29"/>
  <c r="BD6" i="29"/>
  <c r="BB6" i="29" s="1"/>
  <c r="Z6" i="29"/>
  <c r="BD5" i="29"/>
  <c r="BB5" i="29" s="1"/>
  <c r="Z5" i="29"/>
  <c r="BD4" i="29"/>
  <c r="BB4" i="29" s="1"/>
  <c r="Z4" i="29"/>
  <c r="AO73" i="28"/>
  <c r="AN73" i="28" s="1"/>
  <c r="AK73" i="28"/>
  <c r="AJ73" i="28"/>
  <c r="AA73" i="28"/>
  <c r="Z73" i="28"/>
  <c r="AO72" i="28"/>
  <c r="AN72" i="28" s="1"/>
  <c r="AK72" i="28"/>
  <c r="AJ72" i="28"/>
  <c r="AA72" i="28"/>
  <c r="Z72" i="28"/>
  <c r="AO71" i="28"/>
  <c r="AN71" i="28" s="1"/>
  <c r="AK71" i="28"/>
  <c r="AJ71" i="28"/>
  <c r="AA71" i="28"/>
  <c r="Z71" i="28"/>
  <c r="AO70" i="28"/>
  <c r="AN70" i="28" s="1"/>
  <c r="AK70" i="28"/>
  <c r="AJ70" i="28"/>
  <c r="AA70" i="28"/>
  <c r="Z70" i="28"/>
  <c r="AO69" i="28"/>
  <c r="AN69" i="28" s="1"/>
  <c r="AK69" i="28"/>
  <c r="AJ69" i="28"/>
  <c r="AA69" i="28"/>
  <c r="Z69" i="28"/>
  <c r="AO68" i="28"/>
  <c r="AN68" i="28" s="1"/>
  <c r="AK68" i="28"/>
  <c r="AJ68" i="28"/>
  <c r="AA68" i="28"/>
  <c r="Z68" i="28"/>
  <c r="AO67" i="28"/>
  <c r="AN67" i="28" s="1"/>
  <c r="AK67" i="28"/>
  <c r="AJ67" i="28"/>
  <c r="AA67" i="28"/>
  <c r="Z67" i="28"/>
  <c r="AO66" i="28"/>
  <c r="AN66" i="28" s="1"/>
  <c r="AK66" i="28"/>
  <c r="AJ66" i="28"/>
  <c r="AA66" i="28"/>
  <c r="Z66" i="28"/>
  <c r="AO65" i="28"/>
  <c r="AN65" i="28" s="1"/>
  <c r="AK65" i="28"/>
  <c r="AJ65" i="28"/>
  <c r="AA65" i="28"/>
  <c r="Z65" i="28"/>
  <c r="AO64" i="28"/>
  <c r="AN64" i="28" s="1"/>
  <c r="AK64" i="28"/>
  <c r="AJ64" i="28"/>
  <c r="AA64" i="28"/>
  <c r="Z64" i="28"/>
  <c r="AO63" i="28"/>
  <c r="AN63" i="28" s="1"/>
  <c r="AK63" i="28"/>
  <c r="AJ63" i="28"/>
  <c r="AA63" i="28"/>
  <c r="Z63" i="28"/>
  <c r="AO62" i="28"/>
  <c r="AN62" i="28" s="1"/>
  <c r="AK62" i="28"/>
  <c r="AJ62" i="28"/>
  <c r="AA62" i="28"/>
  <c r="Z62" i="28"/>
  <c r="AO61" i="28"/>
  <c r="AN61" i="28" s="1"/>
  <c r="AK61" i="28"/>
  <c r="AJ61" i="28"/>
  <c r="AA61" i="28"/>
  <c r="Z61" i="28"/>
  <c r="AO60" i="28"/>
  <c r="AN60" i="28" s="1"/>
  <c r="AK60" i="28"/>
  <c r="AJ60" i="28"/>
  <c r="AA60" i="28"/>
  <c r="Z60" i="28"/>
  <c r="AO59" i="28"/>
  <c r="AN59" i="28" s="1"/>
  <c r="AK59" i="28"/>
  <c r="AJ59" i="28"/>
  <c r="AA59" i="28"/>
  <c r="Z59" i="28"/>
  <c r="AO58" i="28"/>
  <c r="AN58" i="28" s="1"/>
  <c r="AK58" i="28"/>
  <c r="AJ58" i="28"/>
  <c r="AA58" i="28"/>
  <c r="Z58" i="28"/>
  <c r="AO57" i="28"/>
  <c r="AN57" i="28" s="1"/>
  <c r="AK57" i="28"/>
  <c r="AJ57" i="28"/>
  <c r="AA57" i="28"/>
  <c r="Z57" i="28"/>
  <c r="AO56" i="28"/>
  <c r="AN56" i="28" s="1"/>
  <c r="AK56" i="28"/>
  <c r="AJ56" i="28"/>
  <c r="AA56" i="28"/>
  <c r="Z56" i="28"/>
  <c r="AO55" i="28"/>
  <c r="AN55" i="28" s="1"/>
  <c r="AK55" i="28"/>
  <c r="AJ55" i="28"/>
  <c r="AA55" i="28"/>
  <c r="Z55" i="28"/>
  <c r="AO54" i="28"/>
  <c r="AN54" i="28" s="1"/>
  <c r="AK54" i="28"/>
  <c r="AJ54" i="28"/>
  <c r="AA54" i="28"/>
  <c r="Z54" i="28"/>
  <c r="AO53" i="28"/>
  <c r="AN53" i="28" s="1"/>
  <c r="AK53" i="28"/>
  <c r="AJ53" i="28"/>
  <c r="AC53" i="28"/>
  <c r="AA53" i="28"/>
  <c r="Z53" i="28"/>
  <c r="AO52" i="28"/>
  <c r="AN52" i="28" s="1"/>
  <c r="AK52" i="28"/>
  <c r="AJ52" i="28"/>
  <c r="AA52" i="28"/>
  <c r="Z52" i="28"/>
  <c r="AO51" i="28"/>
  <c r="AN51" i="28" s="1"/>
  <c r="AK51" i="28"/>
  <c r="AJ51" i="28"/>
  <c r="AA51" i="28"/>
  <c r="Z51" i="28"/>
  <c r="AO50" i="28"/>
  <c r="AN50" i="28" s="1"/>
  <c r="AK50" i="28"/>
  <c r="AJ50" i="28"/>
  <c r="AA50" i="28"/>
  <c r="Z50" i="28"/>
  <c r="AO49" i="28"/>
  <c r="AN49" i="28" s="1"/>
  <c r="AK49" i="28"/>
  <c r="AJ49" i="28"/>
  <c r="Z49" i="28"/>
  <c r="AB49" i="28" s="1"/>
  <c r="D92" i="28" s="1"/>
  <c r="AO48" i="28"/>
  <c r="AN48" i="28" s="1"/>
  <c r="AK48" i="28"/>
  <c r="AJ48" i="28"/>
  <c r="AO47" i="28"/>
  <c r="AN47" i="28" s="1"/>
  <c r="AK47" i="28"/>
  <c r="AJ47" i="28"/>
  <c r="AA47" i="28"/>
  <c r="Z47" i="28"/>
  <c r="AO46" i="28"/>
  <c r="AN46" i="28" s="1"/>
  <c r="AK46" i="28"/>
  <c r="AJ46" i="28"/>
  <c r="AA46" i="28"/>
  <c r="Z46" i="28"/>
  <c r="AO45" i="28"/>
  <c r="AN45" i="28" s="1"/>
  <c r="AK45" i="28"/>
  <c r="AJ45" i="28"/>
  <c r="AA45" i="28"/>
  <c r="Z45" i="28"/>
  <c r="AO44" i="28"/>
  <c r="AN44" i="28" s="1"/>
  <c r="AK44" i="28"/>
  <c r="AJ44" i="28"/>
  <c r="AA44" i="28"/>
  <c r="Z44" i="28"/>
  <c r="AO43" i="28"/>
  <c r="AN43" i="28" s="1"/>
  <c r="AK43" i="28"/>
  <c r="AJ43" i="28"/>
  <c r="AA43" i="28"/>
  <c r="Z43" i="28"/>
  <c r="AO42" i="28"/>
  <c r="AN42" i="28" s="1"/>
  <c r="AK42" i="28"/>
  <c r="AJ42" i="28"/>
  <c r="AA42" i="28"/>
  <c r="Z42" i="28"/>
  <c r="AO41" i="28"/>
  <c r="AN41" i="28" s="1"/>
  <c r="AK41" i="28"/>
  <c r="AJ41" i="28"/>
  <c r="AA41" i="28"/>
  <c r="Z41" i="28"/>
  <c r="AO40" i="28"/>
  <c r="AN40" i="28" s="1"/>
  <c r="AK40" i="28"/>
  <c r="AJ40" i="28"/>
  <c r="Z40" i="28"/>
  <c r="AO39" i="28"/>
  <c r="AN39" i="28" s="1"/>
  <c r="AK39" i="28"/>
  <c r="AJ39" i="28"/>
  <c r="AA39" i="28"/>
  <c r="Z39" i="28"/>
  <c r="AO38" i="28"/>
  <c r="AN38" i="28" s="1"/>
  <c r="AK38" i="28"/>
  <c r="AJ38" i="28"/>
  <c r="AA38" i="28"/>
  <c r="Z38" i="28"/>
  <c r="AO37" i="28"/>
  <c r="AN37" i="28" s="1"/>
  <c r="AK37" i="28"/>
  <c r="AJ37" i="28"/>
  <c r="AA37" i="28"/>
  <c r="Z37" i="28"/>
  <c r="AO36" i="28"/>
  <c r="AN36" i="28" s="1"/>
  <c r="AK36" i="28"/>
  <c r="AJ36" i="28"/>
  <c r="AA36" i="28"/>
  <c r="Z36" i="28"/>
  <c r="AO35" i="28"/>
  <c r="AN35" i="28" s="1"/>
  <c r="AK35" i="28"/>
  <c r="AJ35" i="28"/>
  <c r="Z35" i="28"/>
  <c r="AO34" i="28"/>
  <c r="AN34" i="28" s="1"/>
  <c r="AK34" i="28"/>
  <c r="AJ34" i="28"/>
  <c r="Z34" i="28"/>
  <c r="AO33" i="28"/>
  <c r="AN33" i="28" s="1"/>
  <c r="AK33" i="28"/>
  <c r="AJ33" i="28"/>
  <c r="AA33" i="28"/>
  <c r="Z33" i="28"/>
  <c r="AO32" i="28"/>
  <c r="AN32" i="28" s="1"/>
  <c r="AK32" i="28"/>
  <c r="AJ32" i="28"/>
  <c r="AA32" i="28"/>
  <c r="Z32" i="28"/>
  <c r="AO31" i="28"/>
  <c r="AN31" i="28" s="1"/>
  <c r="AK31" i="28"/>
  <c r="AJ31" i="28"/>
  <c r="AA31" i="28"/>
  <c r="Z31" i="28"/>
  <c r="AO30" i="28"/>
  <c r="AN30" i="28" s="1"/>
  <c r="AK30" i="28"/>
  <c r="AJ30" i="28"/>
  <c r="AA30" i="28"/>
  <c r="Z30" i="28"/>
  <c r="AO29" i="28"/>
  <c r="AN29" i="28" s="1"/>
  <c r="AK29" i="28"/>
  <c r="AJ29" i="28"/>
  <c r="AA29" i="28"/>
  <c r="Z29" i="28"/>
  <c r="AO28" i="28"/>
  <c r="AN28" i="28" s="1"/>
  <c r="AK28" i="28"/>
  <c r="AJ28" i="28"/>
  <c r="AA28" i="28"/>
  <c r="Z28" i="28"/>
  <c r="AO27" i="28"/>
  <c r="AN27" i="28" s="1"/>
  <c r="AK27" i="28"/>
  <c r="AJ27" i="28"/>
  <c r="AA27" i="28"/>
  <c r="Z27" i="28"/>
  <c r="AO26" i="28"/>
  <c r="AN26" i="28" s="1"/>
  <c r="AK26" i="28"/>
  <c r="AJ26" i="28"/>
  <c r="AA26" i="28"/>
  <c r="Z26" i="28"/>
  <c r="AO25" i="28"/>
  <c r="AN25" i="28" s="1"/>
  <c r="AK25" i="28"/>
  <c r="AJ25" i="28"/>
  <c r="AA25" i="28"/>
  <c r="Z25" i="28"/>
  <c r="AO24" i="28"/>
  <c r="AN24" i="28" s="1"/>
  <c r="AK24" i="28"/>
  <c r="AJ24" i="28"/>
  <c r="Z24" i="28"/>
  <c r="AO23" i="28"/>
  <c r="AN23" i="28" s="1"/>
  <c r="AK23" i="28"/>
  <c r="AJ23" i="28"/>
  <c r="AA23" i="28"/>
  <c r="Z23" i="28"/>
  <c r="AO22" i="28"/>
  <c r="AN22" i="28" s="1"/>
  <c r="AK22" i="28"/>
  <c r="AJ22" i="28"/>
  <c r="AA22" i="28"/>
  <c r="Z22" i="28"/>
  <c r="AO21" i="28"/>
  <c r="AN21" i="28" s="1"/>
  <c r="AK21" i="28"/>
  <c r="AJ21" i="28"/>
  <c r="AA21" i="28"/>
  <c r="Z21" i="28"/>
  <c r="AO20" i="28"/>
  <c r="AN20" i="28" s="1"/>
  <c r="AK20" i="28"/>
  <c r="AJ20" i="28"/>
  <c r="AA20" i="28"/>
  <c r="Z20" i="28"/>
  <c r="AO19" i="28"/>
  <c r="AN19" i="28" s="1"/>
  <c r="AK19" i="28"/>
  <c r="AJ19" i="28"/>
  <c r="AA19" i="28"/>
  <c r="Z19" i="28"/>
  <c r="AO18" i="28"/>
  <c r="AN18" i="28" s="1"/>
  <c r="AK18" i="28"/>
  <c r="AJ18" i="28"/>
  <c r="AA18" i="28"/>
  <c r="Z18" i="28"/>
  <c r="AO17" i="28"/>
  <c r="AN17" i="28" s="1"/>
  <c r="AK17" i="28"/>
  <c r="AJ17" i="28"/>
  <c r="AA17" i="28"/>
  <c r="Z17" i="28"/>
  <c r="AO16" i="28"/>
  <c r="AN16" i="28" s="1"/>
  <c r="AK16" i="28"/>
  <c r="AJ16" i="28"/>
  <c r="AA16" i="28"/>
  <c r="Z16" i="28"/>
  <c r="AO15" i="28"/>
  <c r="AN15" i="28" s="1"/>
  <c r="AK15" i="28"/>
  <c r="AJ15" i="28"/>
  <c r="Z15" i="28"/>
  <c r="AO14" i="28"/>
  <c r="AN14" i="28" s="1"/>
  <c r="AK14" i="28"/>
  <c r="AJ14" i="28"/>
  <c r="AA14" i="28"/>
  <c r="Z14" i="28"/>
  <c r="AO13" i="28"/>
  <c r="AN13" i="28" s="1"/>
  <c r="AK13" i="28"/>
  <c r="AJ13" i="28"/>
  <c r="AA13" i="28"/>
  <c r="Z13" i="28"/>
  <c r="AO12" i="28"/>
  <c r="AN12" i="28" s="1"/>
  <c r="AK12" i="28"/>
  <c r="AJ12" i="28"/>
  <c r="Z12" i="28"/>
  <c r="AO11" i="28"/>
  <c r="AN11" i="28" s="1"/>
  <c r="AK11" i="28"/>
  <c r="AJ11" i="28"/>
  <c r="AA11" i="28"/>
  <c r="Z11" i="28"/>
  <c r="AO10" i="28"/>
  <c r="AN10" i="28" s="1"/>
  <c r="AK10" i="28"/>
  <c r="AJ10" i="28"/>
  <c r="Z10" i="28"/>
  <c r="AO9" i="28"/>
  <c r="AN9" i="28" s="1"/>
  <c r="AK9" i="28"/>
  <c r="AJ9" i="28"/>
  <c r="Z9" i="28"/>
  <c r="AO8" i="28"/>
  <c r="AN8" i="28" s="1"/>
  <c r="AK8" i="28"/>
  <c r="AJ8" i="28"/>
  <c r="Z8" i="28"/>
  <c r="AO7" i="28"/>
  <c r="AN7" i="28" s="1"/>
  <c r="AK7" i="28"/>
  <c r="AJ7" i="28"/>
  <c r="Z7" i="28"/>
  <c r="AO6" i="28"/>
  <c r="AN6" i="28" s="1"/>
  <c r="AK6" i="28"/>
  <c r="AJ6" i="28"/>
  <c r="AA6" i="28"/>
  <c r="Z6" i="28"/>
  <c r="AO5" i="28"/>
  <c r="AN5" i="28" s="1"/>
  <c r="AK5" i="28"/>
  <c r="AJ5" i="28"/>
  <c r="AA5" i="28"/>
  <c r="Z5" i="28"/>
  <c r="AO4" i="28"/>
  <c r="AK4" i="28"/>
  <c r="AJ4" i="28"/>
  <c r="AA4" i="28"/>
  <c r="Z4" i="28"/>
  <c r="K27" i="12" l="1"/>
  <c r="U105" i="15"/>
  <c r="U108" i="15"/>
  <c r="U107" i="15"/>
  <c r="U106" i="15"/>
  <c r="U109" i="15"/>
  <c r="W105" i="15"/>
  <c r="W108" i="15"/>
  <c r="W106" i="15"/>
  <c r="W109" i="15"/>
  <c r="X109" i="15" s="1"/>
  <c r="W107" i="15"/>
  <c r="U117" i="15"/>
  <c r="U118" i="15"/>
  <c r="E14" i="37"/>
  <c r="F27" i="12"/>
  <c r="BX118" i="15"/>
  <c r="BW118" i="15"/>
  <c r="BW117" i="15"/>
  <c r="BX119" i="15"/>
  <c r="BW119" i="15"/>
  <c r="BX120" i="15"/>
  <c r="BW120" i="15"/>
  <c r="BX121" i="15"/>
  <c r="BX117" i="15"/>
  <c r="BY117" i="15" s="1"/>
  <c r="BW121" i="15"/>
  <c r="BX112" i="15"/>
  <c r="BX111" i="15"/>
  <c r="BW115" i="15"/>
  <c r="BX113" i="15"/>
  <c r="BW112" i="15"/>
  <c r="BW111" i="15"/>
  <c r="BX114" i="15"/>
  <c r="BW113" i="15"/>
  <c r="BX115" i="15"/>
  <c r="BW114" i="15"/>
  <c r="K29" i="12"/>
  <c r="U120" i="15"/>
  <c r="U121" i="15"/>
  <c r="U119" i="15"/>
  <c r="E29" i="12"/>
  <c r="G122" i="18" s="1"/>
  <c r="C29" i="12"/>
  <c r="BF109" i="15"/>
  <c r="BG109" i="15" s="1"/>
  <c r="AQ105" i="15"/>
  <c r="AR105" i="15" s="1"/>
  <c r="BF105" i="15"/>
  <c r="BG105" i="15" s="1"/>
  <c r="BF106" i="15"/>
  <c r="BG106" i="15" s="1"/>
  <c r="BF108" i="15"/>
  <c r="BG108" i="15" s="1"/>
  <c r="BF107" i="15"/>
  <c r="BG107" i="15" s="1"/>
  <c r="S27" i="12"/>
  <c r="AQ108" i="15"/>
  <c r="AR108" i="15" s="1"/>
  <c r="AQ109" i="15"/>
  <c r="AR109" i="15" s="1"/>
  <c r="AQ107" i="15"/>
  <c r="AR107" i="15" s="1"/>
  <c r="AR106" i="15"/>
  <c r="C28" i="12"/>
  <c r="E28" i="12"/>
  <c r="G126" i="18" s="1"/>
  <c r="K28" i="12"/>
  <c r="U113" i="15"/>
  <c r="U115" i="15"/>
  <c r="U112" i="15"/>
  <c r="U114" i="15"/>
  <c r="U111" i="15"/>
  <c r="BG121" i="15"/>
  <c r="BG118" i="15"/>
  <c r="BG117" i="15"/>
  <c r="R29" i="12"/>
  <c r="BG119" i="15"/>
  <c r="BG120" i="15"/>
  <c r="AC65" i="29"/>
  <c r="AN4" i="28"/>
  <c r="AO86" i="28"/>
  <c r="AB69" i="28"/>
  <c r="AB68" i="28"/>
  <c r="AB53" i="28"/>
  <c r="AB60" i="28"/>
  <c r="AB22" i="28"/>
  <c r="AB30" i="28"/>
  <c r="AB32" i="28"/>
  <c r="AB19" i="28"/>
  <c r="AB21" i="28"/>
  <c r="AB11" i="28"/>
  <c r="D86" i="28" s="1"/>
  <c r="AK64" i="29"/>
  <c r="AX63" i="29"/>
  <c r="C65" i="29"/>
  <c r="AK63" i="29"/>
  <c r="AU64" i="29"/>
  <c r="AL64" i="29"/>
  <c r="T65" i="29"/>
  <c r="X65" i="29"/>
  <c r="AL63" i="29"/>
  <c r="K65" i="29"/>
  <c r="AK65" i="29"/>
  <c r="AL65" i="29"/>
  <c r="AU65" i="29"/>
  <c r="BB56" i="29"/>
  <c r="X63" i="29"/>
  <c r="AU63" i="29"/>
  <c r="AI65" i="29"/>
  <c r="AV65" i="29"/>
  <c r="AT65" i="29"/>
  <c r="C43" i="5"/>
  <c r="AD12" i="29"/>
  <c r="X64" i="29" s="1"/>
  <c r="AI64" i="29"/>
  <c r="AX65" i="29"/>
  <c r="AD65" i="29"/>
  <c r="L35" i="37"/>
  <c r="K35" i="37"/>
  <c r="AQ14" i="36"/>
  <c r="K133" i="12" s="1"/>
  <c r="AO14" i="36"/>
  <c r="L133" i="12" s="1"/>
  <c r="AM14" i="36"/>
  <c r="AL14" i="36"/>
  <c r="AK14" i="36"/>
  <c r="AJ14" i="36"/>
  <c r="AI14" i="36"/>
  <c r="AH14" i="36"/>
  <c r="AG14" i="36"/>
  <c r="AF14" i="36"/>
  <c r="AE14" i="36"/>
  <c r="AD14" i="36" s="1"/>
  <c r="F133" i="12" s="1"/>
  <c r="AC14" i="36"/>
  <c r="AB14" i="36"/>
  <c r="AA14" i="36"/>
  <c r="AA133" i="12" s="1"/>
  <c r="Z14" i="36"/>
  <c r="Y14" i="36"/>
  <c r="X14" i="36"/>
  <c r="W14" i="36"/>
  <c r="V14" i="36"/>
  <c r="U14" i="36"/>
  <c r="T14" i="36"/>
  <c r="S14" i="36"/>
  <c r="R14" i="36"/>
  <c r="Q14" i="36"/>
  <c r="P14" i="36"/>
  <c r="O14" i="36"/>
  <c r="N14" i="36"/>
  <c r="M14" i="36"/>
  <c r="L14" i="36"/>
  <c r="K14" i="36"/>
  <c r="J14" i="36"/>
  <c r="I14" i="36"/>
  <c r="H14" i="36"/>
  <c r="G14" i="36"/>
  <c r="F14" i="36"/>
  <c r="E14" i="36"/>
  <c r="AQ13" i="36"/>
  <c r="K132" i="12" s="1"/>
  <c r="AO13" i="36"/>
  <c r="L132" i="12" s="1"/>
  <c r="AM13" i="36"/>
  <c r="AL13" i="36"/>
  <c r="AK13" i="36"/>
  <c r="AJ13" i="36"/>
  <c r="AI13" i="36"/>
  <c r="AH13" i="36"/>
  <c r="AG13" i="36"/>
  <c r="AF13" i="36"/>
  <c r="AE13" i="36"/>
  <c r="AD13" i="36" s="1"/>
  <c r="F132" i="12" s="1"/>
  <c r="AC13" i="36"/>
  <c r="AB13" i="36"/>
  <c r="AA13" i="36"/>
  <c r="Z13" i="36"/>
  <c r="Y13" i="36"/>
  <c r="X13" i="36"/>
  <c r="W13" i="36"/>
  <c r="V13" i="36"/>
  <c r="U13" i="36"/>
  <c r="T13" i="36"/>
  <c r="S13" i="36"/>
  <c r="R13" i="36"/>
  <c r="Q13" i="36"/>
  <c r="P13" i="36"/>
  <c r="O13" i="36"/>
  <c r="N13" i="36"/>
  <c r="M13" i="36"/>
  <c r="L13" i="36"/>
  <c r="K13" i="36"/>
  <c r="J13" i="36"/>
  <c r="I13" i="36"/>
  <c r="H13" i="36"/>
  <c r="G13" i="36"/>
  <c r="F13" i="36"/>
  <c r="E13" i="36"/>
  <c r="AQ12" i="36"/>
  <c r="K131" i="12" s="1"/>
  <c r="AO12" i="36"/>
  <c r="L131" i="12" s="1"/>
  <c r="AM12" i="36"/>
  <c r="AL12" i="36"/>
  <c r="AK12" i="36"/>
  <c r="AJ12" i="36"/>
  <c r="AI12" i="36"/>
  <c r="AH12" i="36"/>
  <c r="AG12" i="36"/>
  <c r="AF12" i="36"/>
  <c r="AE12" i="36"/>
  <c r="AD12" i="36" s="1"/>
  <c r="F131" i="12" s="1"/>
  <c r="AC12" i="36"/>
  <c r="AB12" i="36"/>
  <c r="AA12" i="36"/>
  <c r="Z12" i="36"/>
  <c r="Y12" i="36"/>
  <c r="X12" i="36"/>
  <c r="W12" i="36"/>
  <c r="V12" i="36"/>
  <c r="U12" i="36"/>
  <c r="T12" i="36"/>
  <c r="S12" i="36"/>
  <c r="R12" i="36"/>
  <c r="Q12" i="36"/>
  <c r="P12" i="36"/>
  <c r="O12" i="36"/>
  <c r="N12" i="36"/>
  <c r="M12" i="36"/>
  <c r="L12" i="36"/>
  <c r="K12" i="36"/>
  <c r="J12" i="36"/>
  <c r="I12" i="36"/>
  <c r="H12" i="36"/>
  <c r="G12" i="36"/>
  <c r="F12" i="36"/>
  <c r="E12" i="36"/>
  <c r="AP7" i="36"/>
  <c r="AP14" i="36" s="1"/>
  <c r="AN7" i="36"/>
  <c r="AN14" i="36" s="1"/>
  <c r="AP6" i="36"/>
  <c r="AN6" i="36"/>
  <c r="AP5" i="36"/>
  <c r="AP13" i="36" s="1"/>
  <c r="AP4" i="36"/>
  <c r="AP12" i="36" s="1"/>
  <c r="AQ22" i="34"/>
  <c r="AO22" i="34"/>
  <c r="AM22" i="34"/>
  <c r="AL22" i="34"/>
  <c r="AK22" i="34"/>
  <c r="AJ22" i="34"/>
  <c r="AI22" i="34"/>
  <c r="AH22" i="34"/>
  <c r="AG22" i="34"/>
  <c r="AF22" i="34"/>
  <c r="AE22" i="34"/>
  <c r="AC22" i="34"/>
  <c r="Z22" i="34"/>
  <c r="Y22" i="34"/>
  <c r="X22" i="34"/>
  <c r="W22" i="34"/>
  <c r="V22" i="34"/>
  <c r="U22" i="34"/>
  <c r="T22" i="34"/>
  <c r="S22" i="34"/>
  <c r="R22" i="34"/>
  <c r="Q22" i="34"/>
  <c r="P22" i="34"/>
  <c r="O22" i="34"/>
  <c r="N22" i="34"/>
  <c r="M22" i="34"/>
  <c r="L22" i="34"/>
  <c r="K22" i="34"/>
  <c r="J22" i="34"/>
  <c r="I22" i="34"/>
  <c r="H22" i="34"/>
  <c r="G22" i="34"/>
  <c r="F22" i="34"/>
  <c r="E22" i="34"/>
  <c r="AQ21" i="34"/>
  <c r="AO21" i="34"/>
  <c r="AM21" i="34"/>
  <c r="AL21" i="34"/>
  <c r="AK21" i="34"/>
  <c r="AJ21" i="34"/>
  <c r="AI21" i="34"/>
  <c r="AH21" i="34"/>
  <c r="AG21" i="34"/>
  <c r="AF21" i="34"/>
  <c r="AE21" i="34"/>
  <c r="AC21" i="34"/>
  <c r="Z21" i="34"/>
  <c r="Y21" i="34"/>
  <c r="X21" i="34"/>
  <c r="W21" i="34"/>
  <c r="V21" i="34"/>
  <c r="U21" i="34"/>
  <c r="T21" i="34"/>
  <c r="S21" i="34"/>
  <c r="R21" i="34"/>
  <c r="Q21" i="34"/>
  <c r="P21" i="34"/>
  <c r="O21" i="34"/>
  <c r="N21" i="34"/>
  <c r="M21" i="34"/>
  <c r="L21" i="34"/>
  <c r="K21" i="34"/>
  <c r="J21" i="34"/>
  <c r="I21" i="34"/>
  <c r="H21" i="34"/>
  <c r="G21" i="34"/>
  <c r="F21" i="34"/>
  <c r="E21" i="34"/>
  <c r="Y106" i="15" l="1"/>
  <c r="Z106" i="15" s="1"/>
  <c r="B598" i="12"/>
  <c r="M27" i="12"/>
  <c r="N27" i="12" s="1"/>
  <c r="AN4" i="36"/>
  <c r="AN12" i="36" s="1"/>
  <c r="C120" i="18"/>
  <c r="E120" i="18" s="1"/>
  <c r="AB132" i="12"/>
  <c r="AC132" i="12" s="1"/>
  <c r="AD132" i="12" s="1"/>
  <c r="E132" i="12" s="1"/>
  <c r="G128" i="18" s="1"/>
  <c r="C128" i="18"/>
  <c r="E128" i="18" s="1"/>
  <c r="C124" i="18"/>
  <c r="E124" i="18" s="1"/>
  <c r="E133" i="12"/>
  <c r="G124" i="18" s="1"/>
  <c r="Y107" i="15"/>
  <c r="Z107" i="15" s="1"/>
  <c r="C118" i="18"/>
  <c r="E118" i="18" s="1"/>
  <c r="BW105" i="15"/>
  <c r="E27" i="12"/>
  <c r="G118" i="18" s="1"/>
  <c r="BX105" i="15"/>
  <c r="C27" i="12"/>
  <c r="BW108" i="15"/>
  <c r="BX108" i="15"/>
  <c r="BX107" i="15"/>
  <c r="BX106" i="15"/>
  <c r="BW106" i="15"/>
  <c r="BW107" i="15"/>
  <c r="BX109" i="15"/>
  <c r="BW109" i="15"/>
  <c r="Y108" i="15"/>
  <c r="Z108" i="15" s="1"/>
  <c r="Y109" i="15"/>
  <c r="Z109" i="15"/>
  <c r="Y105" i="15"/>
  <c r="Z105" i="15" s="1"/>
  <c r="AQ117" i="15"/>
  <c r="AR117" i="15" s="1"/>
  <c r="AQ118" i="15"/>
  <c r="AN5" i="36"/>
  <c r="AN13" i="36" s="1"/>
  <c r="O131" i="12"/>
  <c r="M131" i="12"/>
  <c r="N131" i="12" s="1"/>
  <c r="AD105" i="15"/>
  <c r="AD108" i="15"/>
  <c r="AD109" i="15"/>
  <c r="AD106" i="15"/>
  <c r="AD107" i="15"/>
  <c r="M132" i="12"/>
  <c r="N132" i="12" s="1"/>
  <c r="O132" i="12"/>
  <c r="O133" i="12"/>
  <c r="M133" i="12"/>
  <c r="N133" i="12" s="1"/>
  <c r="D133" i="12"/>
  <c r="C133" i="12"/>
  <c r="C598" i="12"/>
  <c r="C599" i="12" s="1"/>
  <c r="AD111" i="15"/>
  <c r="AD112" i="15"/>
  <c r="AD115" i="15"/>
  <c r="AD114" i="15"/>
  <c r="AD113" i="15"/>
  <c r="D598" i="12"/>
  <c r="D599" i="12" s="1"/>
  <c r="AD117" i="15"/>
  <c r="AD120" i="15"/>
  <c r="AD118" i="15"/>
  <c r="AD119" i="15"/>
  <c r="AD121" i="15"/>
  <c r="V111" i="15"/>
  <c r="AW111" i="15" s="1"/>
  <c r="Y120" i="15"/>
  <c r="V120" i="15"/>
  <c r="Y118" i="15"/>
  <c r="V118" i="15"/>
  <c r="Y119" i="15"/>
  <c r="V119" i="15"/>
  <c r="Y117" i="15"/>
  <c r="V121" i="15"/>
  <c r="Y121" i="15"/>
  <c r="L29" i="12"/>
  <c r="M29" i="12"/>
  <c r="C600" i="12"/>
  <c r="V112" i="15"/>
  <c r="Y112" i="15"/>
  <c r="Y115" i="15"/>
  <c r="V115" i="15"/>
  <c r="Y111" i="15"/>
  <c r="Y113" i="15"/>
  <c r="V113" i="15"/>
  <c r="V114" i="15"/>
  <c r="Y114" i="15"/>
  <c r="M28" i="12"/>
  <c r="AQ120" i="15"/>
  <c r="AQ121" i="15"/>
  <c r="AQ119" i="15"/>
  <c r="S29" i="12"/>
  <c r="D95" i="28"/>
  <c r="D88" i="28"/>
  <c r="D87" i="28"/>
  <c r="C320" i="18"/>
  <c r="C323" i="18"/>
  <c r="C319" i="18"/>
  <c r="C330" i="18" s="1"/>
  <c r="C324" i="18"/>
  <c r="B599" i="12" l="1"/>
  <c r="B601" i="12" s="1"/>
  <c r="B600" i="12"/>
  <c r="AE117" i="15"/>
  <c r="C132" i="12"/>
  <c r="D132" i="12"/>
  <c r="AH107" i="15"/>
  <c r="AE107" i="15"/>
  <c r="AE105" i="15"/>
  <c r="AH105" i="15"/>
  <c r="AE106" i="15"/>
  <c r="AH106" i="15"/>
  <c r="AH109" i="15"/>
  <c r="AE109" i="15"/>
  <c r="AE108" i="15"/>
  <c r="AH108" i="15"/>
  <c r="C606" i="12"/>
  <c r="C610" i="12"/>
  <c r="N29" i="12"/>
  <c r="D601" i="12"/>
  <c r="X29" i="12" s="1"/>
  <c r="AO119" i="15" s="1"/>
  <c r="AP119" i="15" s="1"/>
  <c r="C601" i="12"/>
  <c r="X28" i="12" s="1"/>
  <c r="BT113" i="15"/>
  <c r="BU113" i="15" s="1"/>
  <c r="BA115" i="15"/>
  <c r="BB115" i="15" s="1"/>
  <c r="BA108" i="15"/>
  <c r="BB108" i="15" s="1"/>
  <c r="BT114" i="15"/>
  <c r="BU114" i="15" s="1"/>
  <c r="BA112" i="15"/>
  <c r="BB112" i="15" s="1"/>
  <c r="BA111" i="15"/>
  <c r="BB111" i="15" s="1"/>
  <c r="BA109" i="15"/>
  <c r="BB109" i="15" s="1"/>
  <c r="BT115" i="15"/>
  <c r="BU115" i="15" s="1"/>
  <c r="BA113" i="15"/>
  <c r="BB113" i="15" s="1"/>
  <c r="BA106" i="15"/>
  <c r="BB106" i="15" s="1"/>
  <c r="BA105" i="15"/>
  <c r="BB105" i="15" s="1"/>
  <c r="BT112" i="15"/>
  <c r="BU112" i="15" s="1"/>
  <c r="BT111" i="15"/>
  <c r="BU111" i="15" s="1"/>
  <c r="BA114" i="15"/>
  <c r="BB114" i="15" s="1"/>
  <c r="BA107" i="15"/>
  <c r="BB107" i="15" s="1"/>
  <c r="AH113" i="15"/>
  <c r="AE113" i="15"/>
  <c r="AH118" i="15"/>
  <c r="AE118" i="15"/>
  <c r="AH117" i="15"/>
  <c r="W118" i="15"/>
  <c r="X118" i="15" s="1"/>
  <c r="W121" i="15"/>
  <c r="W120" i="15"/>
  <c r="X120" i="15" s="1"/>
  <c r="Z120" i="15" s="1"/>
  <c r="W117" i="15"/>
  <c r="W119" i="15"/>
  <c r="AW119" i="15" s="1"/>
  <c r="AE119" i="15"/>
  <c r="AH119" i="15"/>
  <c r="AH121" i="15"/>
  <c r="AE121" i="15"/>
  <c r="AE111" i="15"/>
  <c r="AH111" i="15"/>
  <c r="AH112" i="15"/>
  <c r="AE112" i="15"/>
  <c r="AE120" i="15"/>
  <c r="AH120" i="15"/>
  <c r="AH115" i="15"/>
  <c r="AE115" i="15"/>
  <c r="AE114" i="15"/>
  <c r="AH114" i="15"/>
  <c r="W115" i="15"/>
  <c r="X115" i="15" s="1"/>
  <c r="Z115" i="15" s="1"/>
  <c r="W112" i="15"/>
  <c r="X112" i="15" s="1"/>
  <c r="Z112" i="15" s="1"/>
  <c r="N28" i="12"/>
  <c r="X111" i="15"/>
  <c r="Z111" i="15" s="1"/>
  <c r="W114" i="15"/>
  <c r="X114" i="15" s="1"/>
  <c r="Z114" i="15" s="1"/>
  <c r="W113" i="15"/>
  <c r="X113" i="15" s="1"/>
  <c r="Z113" i="15" s="1"/>
  <c r="D96" i="28"/>
  <c r="AO5" i="30"/>
  <c r="AO24" i="30" s="1"/>
  <c r="AO6" i="30"/>
  <c r="AO25" i="30" s="1"/>
  <c r="AQ5" i="35"/>
  <c r="AQ4" i="35"/>
  <c r="B606" i="12" l="1"/>
  <c r="B610" i="12"/>
  <c r="BT109" i="15"/>
  <c r="BT107" i="15"/>
  <c r="BT106" i="15"/>
  <c r="BT108" i="15"/>
  <c r="BU108" i="15" s="1"/>
  <c r="BT105" i="15"/>
  <c r="BU105" i="15" s="1"/>
  <c r="B605" i="12"/>
  <c r="X103" i="12" s="1"/>
  <c r="X27" i="12"/>
  <c r="B609" i="12"/>
  <c r="X131" i="12" s="1"/>
  <c r="AX118" i="15"/>
  <c r="X121" i="15"/>
  <c r="AX121" i="15" s="1"/>
  <c r="X117" i="15"/>
  <c r="AX117" i="15" s="1"/>
  <c r="AW117" i="15"/>
  <c r="AA117" i="15" s="1"/>
  <c r="AX120" i="15"/>
  <c r="AW118" i="15"/>
  <c r="AA118" i="15" s="1"/>
  <c r="AW121" i="15"/>
  <c r="AW120" i="15"/>
  <c r="AW114" i="15"/>
  <c r="AW113" i="15"/>
  <c r="AX111" i="15"/>
  <c r="AW115" i="15"/>
  <c r="AX115" i="15"/>
  <c r="AX112" i="15"/>
  <c r="AX114" i="15"/>
  <c r="AX113" i="15"/>
  <c r="AW112" i="15"/>
  <c r="AO121" i="15"/>
  <c r="AP121" i="15" s="1"/>
  <c r="AO117" i="15"/>
  <c r="AP117" i="15" s="1"/>
  <c r="AO120" i="15"/>
  <c r="AP120" i="15" s="1"/>
  <c r="AO118" i="15"/>
  <c r="AP118" i="15" s="1"/>
  <c r="BD115" i="15"/>
  <c r="BE115" i="15" s="1"/>
  <c r="BD114" i="15"/>
  <c r="BE114" i="15" s="1"/>
  <c r="BD112" i="15"/>
  <c r="BE112" i="15" s="1"/>
  <c r="BD111" i="15"/>
  <c r="BE111" i="15" s="1"/>
  <c r="BD113" i="15"/>
  <c r="BE113" i="15" s="1"/>
  <c r="AO112" i="15"/>
  <c r="AP112" i="15" s="1"/>
  <c r="AO114" i="15"/>
  <c r="AP114" i="15" s="1"/>
  <c r="AO115" i="15"/>
  <c r="AP115" i="15" s="1"/>
  <c r="AO113" i="15"/>
  <c r="AP113" i="15" s="1"/>
  <c r="AO111" i="15"/>
  <c r="AP111" i="15" s="1"/>
  <c r="BD117" i="15"/>
  <c r="BE117" i="15" s="1"/>
  <c r="BD121" i="15"/>
  <c r="BE121" i="15" s="1"/>
  <c r="BD119" i="15"/>
  <c r="BE119" i="15" s="1"/>
  <c r="BD120" i="15"/>
  <c r="BE120" i="15" s="1"/>
  <c r="BD118" i="15"/>
  <c r="BE118" i="15" s="1"/>
  <c r="D600" i="12"/>
  <c r="Z121" i="15"/>
  <c r="X119" i="15"/>
  <c r="Z119" i="15" s="1"/>
  <c r="Z118" i="15"/>
  <c r="AB16" i="30"/>
  <c r="AB15" i="30"/>
  <c r="AB18" i="30"/>
  <c r="AB19" i="30"/>
  <c r="AB13" i="30"/>
  <c r="AB14" i="30"/>
  <c r="AB17" i="30"/>
  <c r="AP20" i="29"/>
  <c r="AP21" i="29"/>
  <c r="AA48" i="28"/>
  <c r="AP35" i="29"/>
  <c r="AP36" i="29"/>
  <c r="AP33" i="29"/>
  <c r="AP34" i="29"/>
  <c r="AP44" i="29"/>
  <c r="AP52" i="29"/>
  <c r="AP32" i="29"/>
  <c r="AP55" i="29"/>
  <c r="AP43" i="29"/>
  <c r="AP45" i="29"/>
  <c r="AP17" i="29"/>
  <c r="AP51" i="29"/>
  <c r="AP31" i="29"/>
  <c r="AP8" i="29"/>
  <c r="AP9" i="29"/>
  <c r="AP26" i="29"/>
  <c r="AA7" i="28"/>
  <c r="AP22" i="29"/>
  <c r="AA12" i="28"/>
  <c r="AA15" i="28"/>
  <c r="AA8" i="28"/>
  <c r="AP24" i="29"/>
  <c r="AP25" i="29"/>
  <c r="AP23" i="29"/>
  <c r="AA24" i="28"/>
  <c r="AA9" i="28"/>
  <c r="AP27" i="29"/>
  <c r="AA10" i="28"/>
  <c r="C328" i="18"/>
  <c r="C331" i="18" s="1"/>
  <c r="C303" i="18"/>
  <c r="V54" i="21" s="1"/>
  <c r="B265" i="12"/>
  <c r="B269" i="12" s="1"/>
  <c r="B270" i="12" s="1"/>
  <c r="B271" i="12" s="1"/>
  <c r="B272" i="12" s="1"/>
  <c r="B273" i="12" s="1"/>
  <c r="B274" i="12" s="1"/>
  <c r="B275" i="12" s="1"/>
  <c r="B276" i="12" s="1"/>
  <c r="B277" i="12" s="1"/>
  <c r="B278" i="12" s="1"/>
  <c r="D249" i="12"/>
  <c r="D250" i="12" s="1"/>
  <c r="D251" i="12" s="1"/>
  <c r="D252" i="12" s="1"/>
  <c r="D253" i="12" s="1"/>
  <c r="D254" i="12" s="1"/>
  <c r="D255" i="12" s="1"/>
  <c r="D256" i="12" s="1"/>
  <c r="D257" i="12" s="1"/>
  <c r="D258" i="12" s="1"/>
  <c r="D259" i="12" s="1"/>
  <c r="D260" i="12" s="1"/>
  <c r="D261" i="12" s="1"/>
  <c r="D262" i="12" s="1"/>
  <c r="D263" i="12" s="1"/>
  <c r="D238" i="12"/>
  <c r="AO106" i="15" l="1"/>
  <c r="AO108" i="15"/>
  <c r="AO107" i="15"/>
  <c r="AO105" i="15"/>
  <c r="AP105" i="15" s="1"/>
  <c r="AO109" i="15"/>
  <c r="AP109" i="15" s="1"/>
  <c r="BD105" i="15"/>
  <c r="BE105" i="15" s="1"/>
  <c r="BD107" i="15"/>
  <c r="BE107" i="15" s="1"/>
  <c r="BD109" i="15"/>
  <c r="BE109" i="15" s="1"/>
  <c r="BD106" i="15"/>
  <c r="BE106" i="15" s="1"/>
  <c r="BD108" i="15"/>
  <c r="BE108" i="15" s="1"/>
  <c r="Z117" i="15"/>
  <c r="AX119" i="15"/>
  <c r="D606" i="12"/>
  <c r="D610" i="12"/>
  <c r="BA119" i="15"/>
  <c r="BB119" i="15" s="1"/>
  <c r="BT121" i="15"/>
  <c r="BU121" i="15" s="1"/>
  <c r="BT118" i="15"/>
  <c r="BU118" i="15" s="1"/>
  <c r="BA120" i="15"/>
  <c r="BB120" i="15" s="1"/>
  <c r="BT117" i="15"/>
  <c r="BU117" i="15" s="1"/>
  <c r="BA121" i="15"/>
  <c r="BB121" i="15" s="1"/>
  <c r="BT119" i="15"/>
  <c r="BU119" i="15" s="1"/>
  <c r="BA118" i="15"/>
  <c r="BB118" i="15" s="1"/>
  <c r="BA117" i="15"/>
  <c r="BB117" i="15" s="1"/>
  <c r="BT120" i="15"/>
  <c r="BU120" i="15" s="1"/>
  <c r="AJ64" i="29"/>
  <c r="F100" i="12" s="1"/>
  <c r="AJ63" i="29"/>
  <c r="F99" i="12" s="1"/>
  <c r="C119" i="18" s="1"/>
  <c r="AA86" i="28"/>
  <c r="F83" i="12" s="1"/>
  <c r="AJ65" i="29"/>
  <c r="F101" i="12" s="1"/>
  <c r="C123" i="18" s="1"/>
  <c r="E123" i="18" s="1"/>
  <c r="D278" i="12"/>
  <c r="D274" i="12"/>
  <c r="D269" i="12"/>
  <c r="D276" i="12"/>
  <c r="D271" i="12"/>
  <c r="D272" i="12"/>
  <c r="D275" i="12"/>
  <c r="D270" i="12"/>
  <c r="D277" i="12"/>
  <c r="D273" i="12"/>
  <c r="S66" i="12"/>
  <c r="R37" i="12"/>
  <c r="S37" i="12" s="1"/>
  <c r="S42" i="12"/>
  <c r="S14" i="12"/>
  <c r="H427" i="12"/>
  <c r="I427" i="12"/>
  <c r="K427" i="12"/>
  <c r="H428" i="12"/>
  <c r="I428" i="12"/>
  <c r="K428" i="12"/>
  <c r="H429" i="12"/>
  <c r="I429" i="12"/>
  <c r="K429" i="12"/>
  <c r="H430" i="12"/>
  <c r="H447" i="12" s="1"/>
  <c r="I430" i="12"/>
  <c r="I447" i="12" s="1"/>
  <c r="K430" i="12"/>
  <c r="K447" i="12" s="1"/>
  <c r="H431" i="12"/>
  <c r="H448" i="12" s="1"/>
  <c r="I431" i="12"/>
  <c r="I448" i="12" s="1"/>
  <c r="K431" i="12"/>
  <c r="K448" i="12" s="1"/>
  <c r="H432" i="12"/>
  <c r="H449" i="12" s="1"/>
  <c r="I432" i="12"/>
  <c r="I449" i="12" s="1"/>
  <c r="K432" i="12"/>
  <c r="K449" i="12" s="1"/>
  <c r="H433" i="12"/>
  <c r="H450" i="12" s="1"/>
  <c r="I433" i="12"/>
  <c r="I450" i="12" s="1"/>
  <c r="K433" i="12"/>
  <c r="K450" i="12" s="1"/>
  <c r="H434" i="12"/>
  <c r="H451" i="12" s="1"/>
  <c r="I434" i="12"/>
  <c r="I451" i="12" s="1"/>
  <c r="K434" i="12"/>
  <c r="K451" i="12" s="1"/>
  <c r="H435" i="12"/>
  <c r="H452" i="12" s="1"/>
  <c r="I435" i="12"/>
  <c r="I452" i="12" s="1"/>
  <c r="K435" i="12"/>
  <c r="K452" i="12" s="1"/>
  <c r="H436" i="12"/>
  <c r="H453" i="12" s="1"/>
  <c r="I436" i="12"/>
  <c r="I453" i="12" s="1"/>
  <c r="K436" i="12"/>
  <c r="K453" i="12" s="1"/>
  <c r="H437" i="12"/>
  <c r="H454" i="12" s="1"/>
  <c r="I437" i="12"/>
  <c r="I454" i="12" s="1"/>
  <c r="K437" i="12"/>
  <c r="K454" i="12" s="1"/>
  <c r="H438" i="12"/>
  <c r="H455" i="12" s="1"/>
  <c r="I438" i="12"/>
  <c r="I455" i="12" s="1"/>
  <c r="K438" i="12"/>
  <c r="K455" i="12" s="1"/>
  <c r="H439" i="12"/>
  <c r="H456" i="12" s="1"/>
  <c r="I439" i="12"/>
  <c r="I456" i="12" s="1"/>
  <c r="K439" i="12"/>
  <c r="K456" i="12" s="1"/>
  <c r="H440" i="12"/>
  <c r="I440" i="12"/>
  <c r="K440" i="12"/>
  <c r="H441" i="12"/>
  <c r="I441" i="12"/>
  <c r="K441" i="12"/>
  <c r="E426" i="12"/>
  <c r="E446" i="12" s="1"/>
  <c r="F426" i="12"/>
  <c r="F446" i="12" s="1"/>
  <c r="G426" i="12"/>
  <c r="G446" i="12" s="1"/>
  <c r="H426" i="12"/>
  <c r="H446" i="12" s="1"/>
  <c r="I426" i="12"/>
  <c r="I446" i="12" s="1"/>
  <c r="J426" i="12"/>
  <c r="J446" i="12" s="1"/>
  <c r="K426" i="12"/>
  <c r="K446" i="12" s="1"/>
  <c r="L426" i="12"/>
  <c r="L446" i="12" s="1"/>
  <c r="D426" i="12"/>
  <c r="D446" i="12" s="1"/>
  <c r="B411" i="12"/>
  <c r="B428" i="12" s="1"/>
  <c r="B412" i="12"/>
  <c r="B429" i="12" s="1"/>
  <c r="B413" i="12"/>
  <c r="B430" i="12" s="1"/>
  <c r="B414" i="12"/>
  <c r="B431" i="12" s="1"/>
  <c r="B415" i="12"/>
  <c r="B432" i="12" s="1"/>
  <c r="B416" i="12"/>
  <c r="B433" i="12" s="1"/>
  <c r="B417" i="12"/>
  <c r="B434" i="12" s="1"/>
  <c r="B418" i="12"/>
  <c r="B435" i="12" s="1"/>
  <c r="B419" i="12"/>
  <c r="B436" i="12" s="1"/>
  <c r="B420" i="12"/>
  <c r="B437" i="12" s="1"/>
  <c r="B421" i="12"/>
  <c r="B438" i="12" s="1"/>
  <c r="B422" i="12"/>
  <c r="B439" i="12" s="1"/>
  <c r="B423" i="12"/>
  <c r="B440" i="12" s="1"/>
  <c r="B424" i="12"/>
  <c r="B441" i="12" s="1"/>
  <c r="B410" i="12"/>
  <c r="B427" i="12" s="1"/>
  <c r="B392" i="12"/>
  <c r="B393" i="12"/>
  <c r="B394" i="12"/>
  <c r="B395" i="12"/>
  <c r="B396" i="12"/>
  <c r="B397" i="12"/>
  <c r="B398" i="12"/>
  <c r="B399" i="12"/>
  <c r="B400" i="12"/>
  <c r="B401" i="12"/>
  <c r="B402" i="12"/>
  <c r="B403" i="12"/>
  <c r="B404" i="12"/>
  <c r="B405" i="12"/>
  <c r="B391" i="12"/>
  <c r="B443" i="12"/>
  <c r="B447" i="12" s="1"/>
  <c r="D280" i="12" l="1"/>
  <c r="I458" i="12"/>
  <c r="K458" i="12"/>
  <c r="H458" i="12"/>
  <c r="B448" i="12"/>
  <c r="J93" i="15" a="1"/>
  <c r="J93" i="15" s="1"/>
  <c r="I57" i="15" a="1"/>
  <c r="I57" i="15" s="1"/>
  <c r="Q99" i="15" a="1"/>
  <c r="Q99" i="15" s="1"/>
  <c r="Q93" i="15" a="1"/>
  <c r="Q93" i="15" s="1"/>
  <c r="Q75" i="15" a="1"/>
  <c r="Q75" i="15" s="1"/>
  <c r="Q63" i="15" a="1"/>
  <c r="Q63" i="15" s="1"/>
  <c r="Q51" i="15" a="1"/>
  <c r="Q51" i="15" s="1"/>
  <c r="Q27" i="15" a="1"/>
  <c r="Q27" i="15" s="1"/>
  <c r="Q21" i="15" a="1"/>
  <c r="Q22" i="15" s="1"/>
  <c r="I19" i="32"/>
  <c r="F21" i="32"/>
  <c r="G21" i="32"/>
  <c r="H21" i="32"/>
  <c r="I21" i="32"/>
  <c r="F19" i="32"/>
  <c r="G19" i="32"/>
  <c r="H19" i="32"/>
  <c r="F18" i="32"/>
  <c r="G18" i="32"/>
  <c r="H18" i="32"/>
  <c r="I18" i="32"/>
  <c r="G17" i="32"/>
  <c r="H17" i="32"/>
  <c r="I17" i="32"/>
  <c r="F15" i="32"/>
  <c r="G15" i="32"/>
  <c r="H15" i="32"/>
  <c r="I15" i="32"/>
  <c r="I14" i="32"/>
  <c r="G12" i="32"/>
  <c r="H12" i="32"/>
  <c r="I12" i="32"/>
  <c r="G11" i="32"/>
  <c r="H11" i="32"/>
  <c r="I11" i="32"/>
  <c r="G10" i="32"/>
  <c r="H10" i="32"/>
  <c r="G9" i="32"/>
  <c r="H9" i="32"/>
  <c r="I9" i="32"/>
  <c r="I8" i="32"/>
  <c r="G7" i="32"/>
  <c r="H7" i="32"/>
  <c r="I7" i="32"/>
  <c r="G6" i="32"/>
  <c r="H6" i="32"/>
  <c r="I6" i="32"/>
  <c r="E8" i="32"/>
  <c r="E11" i="32"/>
  <c r="E13" i="32"/>
  <c r="P45" i="15" s="1" a="1"/>
  <c r="P45" i="15" s="1"/>
  <c r="E14" i="32"/>
  <c r="E15" i="32"/>
  <c r="P13" i="32"/>
  <c r="E31" i="32" l="1"/>
  <c r="O22" i="32"/>
  <c r="P63" i="15" a="1"/>
  <c r="P63" i="15" s="1"/>
  <c r="L63" i="15" s="1"/>
  <c r="BF45" i="15"/>
  <c r="P93" i="15" a="1"/>
  <c r="P93" i="15" s="1"/>
  <c r="P69" i="15" a="1"/>
  <c r="P70" i="15" s="1"/>
  <c r="P87" i="15" a="1"/>
  <c r="P90" i="15" s="1"/>
  <c r="P21" i="15" a="1"/>
  <c r="P22" i="15" s="1"/>
  <c r="P51" i="15" a="1"/>
  <c r="P51" i="15" s="1"/>
  <c r="P75" i="15" a="1"/>
  <c r="P75" i="15" s="1"/>
  <c r="O23" i="32"/>
  <c r="P99" i="15" a="1"/>
  <c r="P99" i="15" s="1"/>
  <c r="P39" i="15" a="1"/>
  <c r="P39" i="15" s="1"/>
  <c r="P3" i="15" a="1"/>
  <c r="P3" i="15" s="1"/>
  <c r="P81" i="15" a="1"/>
  <c r="P81" i="15" s="1"/>
  <c r="P57" i="15" a="1"/>
  <c r="P57" i="15" s="1"/>
  <c r="P27" i="15" a="1"/>
  <c r="P27" i="15" s="1"/>
  <c r="P9" i="15" a="1"/>
  <c r="P11" i="15" s="1"/>
  <c r="O24" i="32"/>
  <c r="P15" i="15" a="1"/>
  <c r="P15" i="15" s="1"/>
  <c r="P33" i="15" a="1"/>
  <c r="P33" i="15" s="1"/>
  <c r="I61" i="15"/>
  <c r="B449" i="12"/>
  <c r="I60" i="15"/>
  <c r="Q102" i="15"/>
  <c r="Q66" i="15"/>
  <c r="Q25" i="15"/>
  <c r="Q21" i="15"/>
  <c r="Q96" i="15"/>
  <c r="Q101" i="15"/>
  <c r="I58" i="15"/>
  <c r="I59" i="15"/>
  <c r="Q95" i="15"/>
  <c r="Q100" i="15"/>
  <c r="J96" i="15"/>
  <c r="J95" i="15"/>
  <c r="J94" i="15"/>
  <c r="J97" i="15"/>
  <c r="Q103" i="15"/>
  <c r="Q94" i="15"/>
  <c r="Q97" i="15"/>
  <c r="Q77" i="15"/>
  <c r="Q76" i="15"/>
  <c r="Q78" i="15"/>
  <c r="Q79" i="15"/>
  <c r="Q64" i="15"/>
  <c r="Q65" i="15"/>
  <c r="Q67" i="15"/>
  <c r="Q54" i="15"/>
  <c r="Q53" i="15"/>
  <c r="Q52" i="15"/>
  <c r="Q55" i="15"/>
  <c r="Q29" i="15"/>
  <c r="Q28" i="15"/>
  <c r="Q30" i="15"/>
  <c r="Q31" i="15"/>
  <c r="Q24" i="15"/>
  <c r="Q23" i="15"/>
  <c r="L45" i="15"/>
  <c r="BO45" i="15" s="1"/>
  <c r="P47" i="15"/>
  <c r="P46" i="15"/>
  <c r="P48" i="15"/>
  <c r="P49" i="15"/>
  <c r="O7" i="32"/>
  <c r="O18" i="32"/>
  <c r="O12" i="32"/>
  <c r="O15" i="32"/>
  <c r="O21" i="32"/>
  <c r="O19" i="32"/>
  <c r="O14" i="32"/>
  <c r="O11" i="32"/>
  <c r="O9" i="32"/>
  <c r="O8" i="32"/>
  <c r="O6" i="32"/>
  <c r="O17" i="32"/>
  <c r="O10" i="32"/>
  <c r="K129" i="12"/>
  <c r="K127" i="12"/>
  <c r="F125" i="12"/>
  <c r="AQ6" i="33"/>
  <c r="AQ5" i="33"/>
  <c r="F129" i="12" s="1"/>
  <c r="AQ4" i="33"/>
  <c r="F127" i="12" s="1"/>
  <c r="AP6" i="33"/>
  <c r="AP5" i="33"/>
  <c r="G129" i="12" s="1"/>
  <c r="AP4" i="33"/>
  <c r="G127" i="12" s="1"/>
  <c r="AC4" i="35"/>
  <c r="AA125" i="12"/>
  <c r="AC125" i="12" s="1"/>
  <c r="AD125" i="12" s="1"/>
  <c r="AA124" i="12"/>
  <c r="AC124" i="12" s="1"/>
  <c r="AA127" i="12"/>
  <c r="AC127" i="12" s="1"/>
  <c r="AD127" i="12" s="1"/>
  <c r="AA129" i="12"/>
  <c r="AA131" i="12" s="1"/>
  <c r="AA115" i="12"/>
  <c r="AC115" i="12" s="1"/>
  <c r="AD115" i="12" s="1"/>
  <c r="AA120" i="12"/>
  <c r="AC120" i="12" s="1"/>
  <c r="AD120" i="12" s="1"/>
  <c r="AA119" i="12"/>
  <c r="AC119" i="12" s="1"/>
  <c r="AD119" i="12" s="1"/>
  <c r="AA114" i="12"/>
  <c r="AC114" i="12" s="1"/>
  <c r="AD114" i="12" s="1"/>
  <c r="K125" i="12"/>
  <c r="K124" i="12"/>
  <c r="E571" i="12"/>
  <c r="C489" i="12"/>
  <c r="U120" i="12" s="1"/>
  <c r="O124" i="12" l="1"/>
  <c r="X124" i="12"/>
  <c r="O127" i="12"/>
  <c r="X127" i="12"/>
  <c r="O125" i="12"/>
  <c r="X125" i="12"/>
  <c r="O129" i="12"/>
  <c r="X129" i="12"/>
  <c r="AD124" i="12"/>
  <c r="M127" i="12"/>
  <c r="V129" i="12"/>
  <c r="P66" i="15"/>
  <c r="L66" i="15" s="1"/>
  <c r="P67" i="15"/>
  <c r="P64" i="15"/>
  <c r="L64" i="15" s="1"/>
  <c r="P65" i="15"/>
  <c r="L65" i="15" s="1"/>
  <c r="P40" i="15"/>
  <c r="L40" i="15" s="1"/>
  <c r="BU45" i="15"/>
  <c r="CC45" i="15"/>
  <c r="P52" i="15"/>
  <c r="L52" i="15" s="1"/>
  <c r="L33" i="15"/>
  <c r="L27" i="15"/>
  <c r="L39" i="15"/>
  <c r="L51" i="15"/>
  <c r="L93" i="15"/>
  <c r="BF46" i="15"/>
  <c r="L70" i="15"/>
  <c r="BF47" i="15"/>
  <c r="L57" i="15"/>
  <c r="L99" i="15"/>
  <c r="L22" i="15"/>
  <c r="L75" i="15"/>
  <c r="L81" i="15"/>
  <c r="L90" i="15"/>
  <c r="P95" i="15"/>
  <c r="L95" i="15" s="1"/>
  <c r="P21" i="15"/>
  <c r="P23" i="15"/>
  <c r="L23" i="15" s="1"/>
  <c r="P69" i="15"/>
  <c r="P97" i="15"/>
  <c r="BI45" i="15"/>
  <c r="BG45" i="15"/>
  <c r="BE45" i="15"/>
  <c r="P96" i="15"/>
  <c r="P43" i="15"/>
  <c r="P60" i="15"/>
  <c r="P54" i="15"/>
  <c r="AM45" i="15"/>
  <c r="AK45" i="15"/>
  <c r="AG45" i="15"/>
  <c r="AE45" i="15"/>
  <c r="P31" i="15"/>
  <c r="L31" i="15" s="1"/>
  <c r="P7" i="15"/>
  <c r="P30" i="15"/>
  <c r="P73" i="15"/>
  <c r="P91" i="15"/>
  <c r="P10" i="15"/>
  <c r="P84" i="15"/>
  <c r="P28" i="15"/>
  <c r="P41" i="15"/>
  <c r="P16" i="15"/>
  <c r="P29" i="15"/>
  <c r="P55" i="15"/>
  <c r="P42" i="15"/>
  <c r="P94" i="15"/>
  <c r="P53" i="15"/>
  <c r="L3" i="15"/>
  <c r="P71" i="15"/>
  <c r="P78" i="15"/>
  <c r="P77" i="15"/>
  <c r="P5" i="15"/>
  <c r="P89" i="15"/>
  <c r="P88" i="15"/>
  <c r="P35" i="15"/>
  <c r="P37" i="15"/>
  <c r="P34" i="15"/>
  <c r="P82" i="15"/>
  <c r="P18" i="15"/>
  <c r="P17" i="15"/>
  <c r="P79" i="15"/>
  <c r="P85" i="15"/>
  <c r="P87" i="15"/>
  <c r="P19" i="15"/>
  <c r="P76" i="15"/>
  <c r="P83" i="15"/>
  <c r="P72" i="15"/>
  <c r="Q127" i="15"/>
  <c r="Q128" i="15"/>
  <c r="P12" i="15"/>
  <c r="P9" i="15"/>
  <c r="P13" i="15"/>
  <c r="P36" i="15"/>
  <c r="P4" i="15"/>
  <c r="P6" i="15"/>
  <c r="P58" i="15"/>
  <c r="P100" i="15"/>
  <c r="P25" i="15"/>
  <c r="P102" i="15"/>
  <c r="P59" i="15"/>
  <c r="P103" i="15"/>
  <c r="P24" i="15"/>
  <c r="P61" i="15"/>
  <c r="P101" i="15"/>
  <c r="B450" i="12"/>
  <c r="BN49" i="15"/>
  <c r="BF49" i="15"/>
  <c r="BN48" i="15"/>
  <c r="BF48" i="15"/>
  <c r="L15" i="15"/>
  <c r="L49" i="15"/>
  <c r="L11" i="15"/>
  <c r="L48" i="15"/>
  <c r="L47" i="15"/>
  <c r="BO47" i="15" s="1"/>
  <c r="Q123" i="15"/>
  <c r="L46" i="15"/>
  <c r="BO46" i="15" s="1"/>
  <c r="N127" i="12"/>
  <c r="V124" i="12"/>
  <c r="M129" i="12"/>
  <c r="N129" i="12" s="1"/>
  <c r="AC129" i="12"/>
  <c r="AC131" i="12" s="1"/>
  <c r="AD131" i="12" s="1"/>
  <c r="E131" i="12" s="1"/>
  <c r="G120" i="18" s="1"/>
  <c r="M124" i="12"/>
  <c r="N124" i="12" s="1"/>
  <c r="M125" i="12"/>
  <c r="N125" i="12" s="1"/>
  <c r="V125" i="12"/>
  <c r="U119" i="12"/>
  <c r="D131" i="12" l="1"/>
  <c r="C131" i="12"/>
  <c r="AC135" i="12"/>
  <c r="S90" i="15"/>
  <c r="S48" i="15"/>
  <c r="BO48" i="15"/>
  <c r="S66" i="15"/>
  <c r="S49" i="15"/>
  <c r="BO49" i="15"/>
  <c r="S31" i="15"/>
  <c r="S22" i="15"/>
  <c r="S3" i="15"/>
  <c r="L97" i="15"/>
  <c r="L67" i="15"/>
  <c r="AD129" i="12"/>
  <c r="AD135" i="12" s="1"/>
  <c r="BU48" i="15"/>
  <c r="CC48" i="15"/>
  <c r="BU49" i="15"/>
  <c r="CC49" i="15"/>
  <c r="BU47" i="15"/>
  <c r="CC47" i="15"/>
  <c r="BU46" i="15"/>
  <c r="CC46" i="15"/>
  <c r="L96" i="15"/>
  <c r="L61" i="15"/>
  <c r="L102" i="15"/>
  <c r="L6" i="15"/>
  <c r="L34" i="15"/>
  <c r="L76" i="15"/>
  <c r="L79" i="15"/>
  <c r="L89" i="15"/>
  <c r="L78" i="15"/>
  <c r="L94" i="15"/>
  <c r="L16" i="15"/>
  <c r="L10" i="15"/>
  <c r="L7" i="15"/>
  <c r="L43" i="15"/>
  <c r="L24" i="15"/>
  <c r="L25" i="15"/>
  <c r="L4" i="15"/>
  <c r="L9" i="15"/>
  <c r="L19" i="15"/>
  <c r="L17" i="15"/>
  <c r="L37" i="15"/>
  <c r="L71" i="15"/>
  <c r="L42" i="15"/>
  <c r="L41" i="15"/>
  <c r="L91" i="15"/>
  <c r="BG90" i="15"/>
  <c r="L103" i="15"/>
  <c r="L100" i="15"/>
  <c r="L36" i="15"/>
  <c r="L72" i="15"/>
  <c r="L87" i="15"/>
  <c r="L18" i="15"/>
  <c r="L35" i="15"/>
  <c r="L5" i="15"/>
  <c r="L55" i="15"/>
  <c r="L28" i="15"/>
  <c r="L73" i="15"/>
  <c r="L54" i="15"/>
  <c r="L21" i="15"/>
  <c r="L101" i="15"/>
  <c r="L59" i="15"/>
  <c r="L58" i="15"/>
  <c r="L13" i="15"/>
  <c r="L12" i="15"/>
  <c r="L83" i="15"/>
  <c r="L85" i="15"/>
  <c r="L82" i="15"/>
  <c r="L88" i="15"/>
  <c r="L77" i="15"/>
  <c r="L53" i="15"/>
  <c r="L29" i="15"/>
  <c r="L84" i="15"/>
  <c r="L30" i="15"/>
  <c r="L60" i="15"/>
  <c r="L69" i="15"/>
  <c r="BI46" i="15"/>
  <c r="BG46" i="15"/>
  <c r="BE46" i="15"/>
  <c r="BI48" i="15"/>
  <c r="BG48" i="15"/>
  <c r="BE48" i="15"/>
  <c r="BI47" i="15"/>
  <c r="BG47" i="15"/>
  <c r="BE47" i="15"/>
  <c r="BI49" i="15"/>
  <c r="BG49" i="15"/>
  <c r="BE49" i="15"/>
  <c r="AM47" i="15"/>
  <c r="AE47" i="15"/>
  <c r="AK47" i="15"/>
  <c r="AG47" i="15"/>
  <c r="AK48" i="15"/>
  <c r="AG48" i="15"/>
  <c r="AM48" i="15"/>
  <c r="AE48" i="15"/>
  <c r="AM49" i="15"/>
  <c r="AK49" i="15"/>
  <c r="AG49" i="15"/>
  <c r="AE49" i="15"/>
  <c r="AM46" i="15"/>
  <c r="AK46" i="15"/>
  <c r="AG46" i="15"/>
  <c r="AE46" i="15"/>
  <c r="BT3" i="15"/>
  <c r="BU3" i="15" s="1"/>
  <c r="B451" i="12"/>
  <c r="F119" i="12"/>
  <c r="F120" i="12"/>
  <c r="I120" i="12"/>
  <c r="H120" i="12"/>
  <c r="I119" i="12"/>
  <c r="H119" i="12"/>
  <c r="I115" i="12"/>
  <c r="I114" i="12"/>
  <c r="H115" i="12"/>
  <c r="H114" i="12"/>
  <c r="L123" i="15" l="1"/>
  <c r="S103" i="15"/>
  <c r="S24" i="15"/>
  <c r="S102" i="15"/>
  <c r="S84" i="15"/>
  <c r="S12" i="15"/>
  <c r="S18" i="15"/>
  <c r="S25" i="15"/>
  <c r="S6" i="15"/>
  <c r="S13" i="15"/>
  <c r="S55" i="15"/>
  <c r="S42" i="15"/>
  <c r="S19" i="15"/>
  <c r="S79" i="15"/>
  <c r="S67" i="15"/>
  <c r="S60" i="15"/>
  <c r="S85" i="15"/>
  <c r="S54" i="15"/>
  <c r="S5" i="15"/>
  <c r="S72" i="15"/>
  <c r="S43" i="15"/>
  <c r="S61" i="15"/>
  <c r="S97" i="15"/>
  <c r="S30" i="15"/>
  <c r="S73" i="15"/>
  <c r="S36" i="15"/>
  <c r="S91" i="15"/>
  <c r="S37" i="15"/>
  <c r="S4" i="15"/>
  <c r="BT4" i="15"/>
  <c r="BU4" i="15" s="1"/>
  <c r="S7" i="15"/>
  <c r="S78" i="15"/>
  <c r="S96" i="15"/>
  <c r="BG91" i="15"/>
  <c r="B452" i="12"/>
  <c r="B453" i="12" s="1"/>
  <c r="E119" i="12"/>
  <c r="C120" i="12"/>
  <c r="C119" i="12"/>
  <c r="E120" i="12"/>
  <c r="D120" i="12"/>
  <c r="D119" i="12"/>
  <c r="I129" i="12"/>
  <c r="I125" i="12"/>
  <c r="I124" i="12"/>
  <c r="H129" i="12"/>
  <c r="H127" i="12"/>
  <c r="H125" i="12"/>
  <c r="H124" i="12"/>
  <c r="B201" i="12"/>
  <c r="T129" i="12"/>
  <c r="T127" i="12"/>
  <c r="T125" i="12"/>
  <c r="T124" i="12"/>
  <c r="T120" i="12"/>
  <c r="T119" i="12"/>
  <c r="T115" i="12"/>
  <c r="T114" i="12"/>
  <c r="K120" i="12"/>
  <c r="X120" i="12" s="1"/>
  <c r="K119" i="12"/>
  <c r="X119" i="12" s="1"/>
  <c r="K115" i="12"/>
  <c r="X115" i="12" s="1"/>
  <c r="K114" i="12"/>
  <c r="X114" i="12" s="1"/>
  <c r="F115" i="12"/>
  <c r="C115" i="12" s="1"/>
  <c r="F114" i="12"/>
  <c r="AP4" i="35"/>
  <c r="AN4" i="35" s="1"/>
  <c r="AD5" i="35"/>
  <c r="F124" i="12" s="1"/>
  <c r="C115" i="18" s="1"/>
  <c r="E115" i="18" s="1"/>
  <c r="AP5" i="35"/>
  <c r="AN5" i="35" s="1"/>
  <c r="AD4" i="34"/>
  <c r="AD21" i="34" s="1"/>
  <c r="AP4" i="34"/>
  <c r="AD5" i="34"/>
  <c r="AD22" i="34" s="1"/>
  <c r="AP5" i="34"/>
  <c r="H4" i="33"/>
  <c r="J4" i="33"/>
  <c r="BE4" i="33"/>
  <c r="BC4" i="33" s="1"/>
  <c r="H5" i="33"/>
  <c r="BE5" i="33"/>
  <c r="BC5" i="33" s="1"/>
  <c r="H6" i="33"/>
  <c r="J6" i="33"/>
  <c r="BC6" i="33"/>
  <c r="BE6" i="33"/>
  <c r="AN4" i="34" l="1"/>
  <c r="AN21" i="34" s="1"/>
  <c r="AP21" i="34"/>
  <c r="AN5" i="34"/>
  <c r="AN22" i="34" s="1"/>
  <c r="AP22" i="34"/>
  <c r="C89" i="18"/>
  <c r="C108" i="18"/>
  <c r="E108" i="18" s="1"/>
  <c r="B454" i="12"/>
  <c r="O120" i="12"/>
  <c r="O114" i="12"/>
  <c r="O115" i="12"/>
  <c r="O119" i="12"/>
  <c r="E115" i="12"/>
  <c r="D115" i="12"/>
  <c r="E114" i="12"/>
  <c r="C114" i="12"/>
  <c r="D114" i="12"/>
  <c r="M119" i="12"/>
  <c r="N119" i="12" s="1"/>
  <c r="M114" i="12"/>
  <c r="N114" i="12" s="1"/>
  <c r="M115" i="12"/>
  <c r="N115" i="12" s="1"/>
  <c r="M120" i="12"/>
  <c r="N120" i="12" s="1"/>
  <c r="O13" i="32"/>
  <c r="G108" i="18" l="1"/>
  <c r="B455" i="12"/>
  <c r="V101" i="12"/>
  <c r="V100" i="12"/>
  <c r="V96" i="12"/>
  <c r="V95" i="12"/>
  <c r="V72" i="12"/>
  <c r="V77" i="12"/>
  <c r="V20" i="12"/>
  <c r="V19" i="12"/>
  <c r="V25" i="12"/>
  <c r="V24" i="12"/>
  <c r="I563" i="12"/>
  <c r="V97" i="12" s="1"/>
  <c r="E568" i="12"/>
  <c r="V94" i="12" s="1"/>
  <c r="I559" i="12"/>
  <c r="V21" i="12" s="1"/>
  <c r="E564" i="12"/>
  <c r="C485" i="12"/>
  <c r="U24" i="12" s="1"/>
  <c r="D485" i="12"/>
  <c r="U25" i="12" s="1"/>
  <c r="U11" i="12"/>
  <c r="U8" i="12"/>
  <c r="Y24" i="12" l="1"/>
  <c r="Y25" i="12"/>
  <c r="B456" i="12"/>
  <c r="BN90" i="15"/>
  <c r="BO90" i="15" s="1"/>
  <c r="BN91" i="15"/>
  <c r="BO91" i="15" s="1"/>
  <c r="BN72" i="15"/>
  <c r="BO72" i="15" s="1"/>
  <c r="BN73" i="15"/>
  <c r="BO73" i="15" s="1"/>
  <c r="BN78" i="15"/>
  <c r="BO78" i="15" s="1"/>
  <c r="BN79" i="15"/>
  <c r="BO79" i="15" s="1"/>
  <c r="V46" i="12"/>
  <c r="V18" i="12"/>
  <c r="F485" i="12"/>
  <c r="V73" i="12"/>
  <c r="I485" i="12"/>
  <c r="U77" i="12"/>
  <c r="H485" i="12"/>
  <c r="D482" i="12"/>
  <c r="E530" i="12"/>
  <c r="E478" i="12"/>
  <c r="B489" i="12" s="1"/>
  <c r="P181" i="8"/>
  <c r="L391" i="12" s="1"/>
  <c r="L392" i="12" s="1"/>
  <c r="L393" i="12" s="1"/>
  <c r="L394" i="12" s="1"/>
  <c r="L395" i="12" s="1"/>
  <c r="L396" i="12" s="1"/>
  <c r="L397" i="12" s="1"/>
  <c r="L398" i="12" s="1"/>
  <c r="L399" i="12" s="1"/>
  <c r="L400" i="12" s="1"/>
  <c r="L401" i="12" s="1"/>
  <c r="L402" i="12" s="1"/>
  <c r="L403" i="12" s="1"/>
  <c r="L404" i="12" s="1"/>
  <c r="L405" i="12" s="1"/>
  <c r="P159" i="8"/>
  <c r="F391" i="12" s="1"/>
  <c r="F392" i="12" s="1"/>
  <c r="F393" i="12" s="1"/>
  <c r="F394" i="12" s="1"/>
  <c r="F395" i="12" s="1"/>
  <c r="F396" i="12" s="1"/>
  <c r="F397" i="12" s="1"/>
  <c r="F398" i="12" s="1"/>
  <c r="F399" i="12" s="1"/>
  <c r="F400" i="12" s="1"/>
  <c r="F401" i="12" s="1"/>
  <c r="F402" i="12" s="1"/>
  <c r="F403" i="12" s="1"/>
  <c r="F404" i="12" s="1"/>
  <c r="F405" i="12" s="1"/>
  <c r="BO120" i="15" l="1"/>
  <c r="AV121" i="15"/>
  <c r="BO117" i="15"/>
  <c r="BO118" i="15"/>
  <c r="AV118" i="15"/>
  <c r="AV119" i="15"/>
  <c r="BO119" i="15"/>
  <c r="AV120" i="15"/>
  <c r="BO121" i="15"/>
  <c r="U19" i="12"/>
  <c r="Y19" i="12" s="1"/>
  <c r="U114" i="12"/>
  <c r="U115" i="12"/>
  <c r="U73" i="12"/>
  <c r="U21" i="12"/>
  <c r="Y21" i="12" s="1"/>
  <c r="U20" i="12"/>
  <c r="Y20" i="12" s="1"/>
  <c r="U72" i="12"/>
  <c r="K77" i="12"/>
  <c r="I46" i="12"/>
  <c r="F298" i="12"/>
  <c r="F299" i="12" s="1"/>
  <c r="F300" i="12" s="1"/>
  <c r="F301" i="12" s="1"/>
  <c r="L77" i="12" l="1"/>
  <c r="X77" i="12"/>
  <c r="BO114" i="15"/>
  <c r="BO115" i="15"/>
  <c r="BO111" i="15"/>
  <c r="BO113" i="15"/>
  <c r="BO112" i="15"/>
  <c r="I117" i="25"/>
  <c r="C66" i="12" l="1"/>
  <c r="O140" i="25"/>
  <c r="G140" i="25"/>
  <c r="F140" i="25"/>
  <c r="K138" i="25"/>
  <c r="L138" i="25" s="1"/>
  <c r="I140" i="25"/>
  <c r="K137" i="25" l="1"/>
  <c r="K140" i="25" s="1"/>
  <c r="L137" i="25" l="1"/>
  <c r="L140" i="25" s="1"/>
  <c r="I81" i="15" l="1" a="1"/>
  <c r="I81" i="15" s="1"/>
  <c r="E26" i="25"/>
  <c r="D26" i="25"/>
  <c r="E121" i="25"/>
  <c r="E140" i="25" s="1"/>
  <c r="G88" i="25"/>
  <c r="F88" i="25"/>
  <c r="D15" i="25"/>
  <c r="D17" i="25" s="1"/>
  <c r="G41" i="25"/>
  <c r="F41" i="25"/>
  <c r="M109" i="25"/>
  <c r="R72" i="12" s="1"/>
  <c r="S72" i="12" s="1"/>
  <c r="I109" i="25"/>
  <c r="G109" i="25"/>
  <c r="F109" i="25"/>
  <c r="K107" i="25"/>
  <c r="L107" i="25" s="1"/>
  <c r="K106" i="25"/>
  <c r="L106" i="25" s="1"/>
  <c r="K105" i="25"/>
  <c r="L105" i="25" s="1"/>
  <c r="M41" i="25"/>
  <c r="R70" i="12" s="1"/>
  <c r="S70" i="12" s="1"/>
  <c r="I41" i="25"/>
  <c r="K39" i="25"/>
  <c r="L39" i="25" s="1"/>
  <c r="K38" i="25"/>
  <c r="L38" i="25" s="1"/>
  <c r="K37" i="25"/>
  <c r="L37" i="25" s="1"/>
  <c r="K36" i="25"/>
  <c r="G17" i="25"/>
  <c r="F17" i="25"/>
  <c r="E15" i="25"/>
  <c r="E17" i="25" s="1"/>
  <c r="E41" i="25" s="1"/>
  <c r="I19" i="12"/>
  <c r="I20" i="12"/>
  <c r="I181" i="8"/>
  <c r="H181" i="8"/>
  <c r="H159" i="8"/>
  <c r="I159" i="8"/>
  <c r="K73" i="12" l="1"/>
  <c r="X73" i="12" s="1"/>
  <c r="K72" i="12"/>
  <c r="X72" i="12" s="1"/>
  <c r="I84" i="15"/>
  <c r="I83" i="15"/>
  <c r="I85" i="15"/>
  <c r="I82" i="15"/>
  <c r="L109" i="25"/>
  <c r="K109" i="25"/>
  <c r="K41" i="25"/>
  <c r="E18" i="25"/>
  <c r="L36" i="25"/>
  <c r="L41" i="25" s="1"/>
  <c r="D18" i="25"/>
  <c r="G53" i="25"/>
  <c r="F53" i="25"/>
  <c r="I116" i="8"/>
  <c r="H116" i="8"/>
  <c r="I82" i="8"/>
  <c r="H82" i="8"/>
  <c r="I58" i="8"/>
  <c r="H58" i="8"/>
  <c r="I34" i="8"/>
  <c r="H34" i="8"/>
  <c r="H193" i="9"/>
  <c r="G193" i="9"/>
  <c r="G184" i="9"/>
  <c r="H184" i="9"/>
  <c r="G173" i="9"/>
  <c r="H173" i="9"/>
  <c r="G164" i="9"/>
  <c r="H164" i="9"/>
  <c r="G153" i="9"/>
  <c r="H153" i="9"/>
  <c r="G144" i="9"/>
  <c r="H144" i="9"/>
  <c r="G133" i="9"/>
  <c r="H133" i="9"/>
  <c r="G124" i="9"/>
  <c r="H124" i="9"/>
  <c r="G113" i="9"/>
  <c r="H113" i="9"/>
  <c r="H104" i="9"/>
  <c r="G104" i="9"/>
  <c r="G93" i="9"/>
  <c r="H93" i="9"/>
  <c r="G84" i="9"/>
  <c r="H84" i="9"/>
  <c r="G73" i="9"/>
  <c r="H73" i="9"/>
  <c r="G64" i="9"/>
  <c r="H64" i="9"/>
  <c r="G53" i="9"/>
  <c r="H53" i="9"/>
  <c r="G44" i="9"/>
  <c r="H44" i="9"/>
  <c r="G25" i="9"/>
  <c r="H25" i="9"/>
  <c r="F107" i="8" l="1"/>
  <c r="G107" i="8"/>
  <c r="F24" i="8"/>
  <c r="G24" i="8"/>
  <c r="D29" i="25"/>
  <c r="D46" i="12" s="1"/>
  <c r="L46" i="12" s="1"/>
  <c r="G28" i="8"/>
  <c r="G111" i="8"/>
  <c r="F111" i="8"/>
  <c r="F42" i="9"/>
  <c r="E42" i="9"/>
  <c r="E39" i="9"/>
  <c r="E40" i="9"/>
  <c r="E71" i="9"/>
  <c r="E21" i="9"/>
  <c r="E25" i="9" s="1"/>
  <c r="F21" i="9"/>
  <c r="E26" i="9" l="1"/>
  <c r="E145" i="9"/>
  <c r="E111" i="9"/>
  <c r="F111" i="9"/>
  <c r="E102" i="9"/>
  <c r="F102" i="9"/>
  <c r="E41" i="9"/>
  <c r="F41" i="9"/>
  <c r="E91" i="9"/>
  <c r="F91" i="9"/>
  <c r="E82" i="9"/>
  <c r="F82" i="9"/>
  <c r="F79" i="9"/>
  <c r="E79" i="9"/>
  <c r="F50" i="9"/>
  <c r="E50" i="9"/>
  <c r="G20" i="8" l="1"/>
  <c r="F20" i="8"/>
  <c r="F26" i="8"/>
  <c r="G26" i="8"/>
  <c r="F109" i="8"/>
  <c r="G109" i="8"/>
  <c r="E50" i="25"/>
  <c r="G82" i="8"/>
  <c r="F69" i="8"/>
  <c r="F82" i="8" s="1"/>
  <c r="D88" i="25" s="1"/>
  <c r="E51" i="25"/>
  <c r="D51" i="25"/>
  <c r="D53" i="25" s="1"/>
  <c r="F43" i="8"/>
  <c r="G43" i="8"/>
  <c r="G12" i="8"/>
  <c r="F12" i="8"/>
  <c r="E49" i="25"/>
  <c r="F55" i="8"/>
  <c r="G55" i="8"/>
  <c r="F41" i="8"/>
  <c r="G41" i="8"/>
  <c r="P116" i="8"/>
  <c r="E391" i="12" s="1"/>
  <c r="E392" i="12" s="1"/>
  <c r="E393" i="12" s="1"/>
  <c r="E394" i="12" s="1"/>
  <c r="E395" i="12" s="1"/>
  <c r="E396" i="12" s="1"/>
  <c r="E397" i="12" s="1"/>
  <c r="E398" i="12" s="1"/>
  <c r="E399" i="12" s="1"/>
  <c r="E400" i="12" s="1"/>
  <c r="E401" i="12" s="1"/>
  <c r="E402" i="12" s="1"/>
  <c r="E403" i="12" s="1"/>
  <c r="E404" i="12" s="1"/>
  <c r="E405" i="12" s="1"/>
  <c r="O82" i="8"/>
  <c r="O58" i="8"/>
  <c r="E373" i="12" s="1"/>
  <c r="O34" i="8"/>
  <c r="P82" i="8"/>
  <c r="J391" i="12" s="1"/>
  <c r="J392" i="12" s="1"/>
  <c r="J393" i="12" s="1"/>
  <c r="J394" i="12" s="1"/>
  <c r="J395" i="12" s="1"/>
  <c r="J396" i="12" s="1"/>
  <c r="J397" i="12" s="1"/>
  <c r="J398" i="12" s="1"/>
  <c r="J399" i="12" s="1"/>
  <c r="J400" i="12" s="1"/>
  <c r="J401" i="12" s="1"/>
  <c r="J402" i="12" s="1"/>
  <c r="J403" i="12" s="1"/>
  <c r="J404" i="12" s="1"/>
  <c r="J405" i="12" s="1"/>
  <c r="P58" i="8"/>
  <c r="G391" i="12" s="1"/>
  <c r="G392" i="12" s="1"/>
  <c r="G393" i="12" s="1"/>
  <c r="G394" i="12" s="1"/>
  <c r="G395" i="12" s="1"/>
  <c r="G396" i="12" s="1"/>
  <c r="G397" i="12" s="1"/>
  <c r="G398" i="12" s="1"/>
  <c r="G399" i="12" s="1"/>
  <c r="G400" i="12" s="1"/>
  <c r="G401" i="12" s="1"/>
  <c r="G402" i="12" s="1"/>
  <c r="G403" i="12" s="1"/>
  <c r="G404" i="12" s="1"/>
  <c r="G405" i="12" s="1"/>
  <c r="P34" i="8"/>
  <c r="D391" i="12" s="1"/>
  <c r="D392" i="12" s="1"/>
  <c r="D393" i="12" s="1"/>
  <c r="D394" i="12" s="1"/>
  <c r="D395" i="12" s="1"/>
  <c r="D396" i="12" s="1"/>
  <c r="D397" i="12" s="1"/>
  <c r="D398" i="12" s="1"/>
  <c r="D399" i="12" s="1"/>
  <c r="D400" i="12" s="1"/>
  <c r="D401" i="12" s="1"/>
  <c r="D402" i="12" s="1"/>
  <c r="D403" i="12" s="1"/>
  <c r="D404" i="12" s="1"/>
  <c r="D405" i="12" s="1"/>
  <c r="K25" i="9"/>
  <c r="R35" i="12" s="1"/>
  <c r="S35" i="12" s="1"/>
  <c r="O181" i="8" l="1"/>
  <c r="F373" i="12"/>
  <c r="O116" i="8"/>
  <c r="D373" i="12"/>
  <c r="G84" i="8"/>
  <c r="E88" i="25"/>
  <c r="E109" i="25" s="1"/>
  <c r="G58" i="8"/>
  <c r="G60" i="8" s="1"/>
  <c r="O127" i="8"/>
  <c r="F58" i="8"/>
  <c r="O159" i="8"/>
  <c r="F34" i="8"/>
  <c r="F84" i="8"/>
  <c r="F60" i="8"/>
  <c r="G34" i="8"/>
  <c r="G36" i="8" s="1"/>
  <c r="O138" i="8"/>
  <c r="D20" i="12" l="1"/>
  <c r="L20" i="12" s="1"/>
  <c r="G185" i="8"/>
  <c r="F36" i="8"/>
  <c r="F185" i="8" s="1"/>
  <c r="D117" i="25" l="1"/>
  <c r="D119" i="25"/>
  <c r="D118" i="25"/>
  <c r="N116" i="8"/>
  <c r="M116" i="8"/>
  <c r="L116" i="8"/>
  <c r="F116" i="8"/>
  <c r="G116" i="8"/>
  <c r="G118" i="8" l="1"/>
  <c r="G186" i="8" s="1"/>
  <c r="F51" i="12"/>
  <c r="D121" i="25"/>
  <c r="D51" i="12"/>
  <c r="F118" i="8"/>
  <c r="I51" i="12"/>
  <c r="C51" i="12" s="1"/>
  <c r="H51" i="12"/>
  <c r="F186" i="8" l="1"/>
  <c r="F159" i="8"/>
  <c r="G181" i="8"/>
  <c r="G159" i="8"/>
  <c r="I95" i="28"/>
  <c r="J95" i="28"/>
  <c r="K95" i="28"/>
  <c r="L95" i="28"/>
  <c r="M95" i="28"/>
  <c r="N95" i="28"/>
  <c r="O95" i="28"/>
  <c r="P95" i="28"/>
  <c r="Q95" i="28"/>
  <c r="R95" i="28"/>
  <c r="S95" i="28"/>
  <c r="T95" i="28"/>
  <c r="U95" i="28"/>
  <c r="V95" i="28"/>
  <c r="W95" i="28"/>
  <c r="X95" i="28"/>
  <c r="Y95" i="28"/>
  <c r="Z95" i="28"/>
  <c r="AA95" i="28"/>
  <c r="F92" i="12" s="1"/>
  <c r="AC95" i="28"/>
  <c r="AD95" i="28"/>
  <c r="AE95" i="28"/>
  <c r="AF95" i="28"/>
  <c r="AG95" i="28"/>
  <c r="AH95" i="28"/>
  <c r="AI95" i="28"/>
  <c r="AJ95" i="28"/>
  <c r="AK95" i="28"/>
  <c r="AL95" i="28"/>
  <c r="AM95" i="28"/>
  <c r="AN95" i="28"/>
  <c r="AO95" i="28"/>
  <c r="G95" i="28"/>
  <c r="H94" i="28"/>
  <c r="I94" i="28"/>
  <c r="J94" i="28"/>
  <c r="K94" i="28"/>
  <c r="L94" i="28"/>
  <c r="M94" i="28"/>
  <c r="N94" i="28"/>
  <c r="O94" i="28"/>
  <c r="P94" i="28"/>
  <c r="Q94" i="28"/>
  <c r="R94" i="28"/>
  <c r="S94" i="28"/>
  <c r="T94" i="28"/>
  <c r="U94" i="28"/>
  <c r="V94" i="28"/>
  <c r="W94" i="28"/>
  <c r="X94" i="28"/>
  <c r="Y94" i="28"/>
  <c r="Z94" i="28"/>
  <c r="AA94" i="28"/>
  <c r="F91" i="12" s="1"/>
  <c r="AC94" i="28"/>
  <c r="AD94" i="28"/>
  <c r="AE94" i="28"/>
  <c r="AF94" i="28"/>
  <c r="AG94" i="28"/>
  <c r="AH94" i="28"/>
  <c r="AI94" i="28"/>
  <c r="AJ94" i="28"/>
  <c r="AK94" i="28"/>
  <c r="AL94" i="28"/>
  <c r="AM94" i="28"/>
  <c r="AN94" i="28"/>
  <c r="AO94" i="28"/>
  <c r="G94" i="28"/>
  <c r="H92" i="28"/>
  <c r="I92" i="28"/>
  <c r="J92" i="28"/>
  <c r="K92" i="28"/>
  <c r="L92" i="28"/>
  <c r="M92" i="28"/>
  <c r="N92" i="28"/>
  <c r="O92" i="28"/>
  <c r="P92" i="28"/>
  <c r="Q92" i="28"/>
  <c r="R92" i="28"/>
  <c r="S92" i="28"/>
  <c r="T92" i="28"/>
  <c r="U92" i="28"/>
  <c r="V92" i="28"/>
  <c r="W92" i="28"/>
  <c r="X92" i="28"/>
  <c r="Y92" i="28"/>
  <c r="Z92" i="28"/>
  <c r="AA92" i="28"/>
  <c r="F89" i="12" s="1"/>
  <c r="AC92" i="28"/>
  <c r="AD92" i="28"/>
  <c r="AE92" i="28"/>
  <c r="AF92" i="28"/>
  <c r="AG92" i="28"/>
  <c r="AH92" i="28"/>
  <c r="AI92" i="28"/>
  <c r="AJ92" i="28"/>
  <c r="AK92" i="28"/>
  <c r="AL92" i="28"/>
  <c r="AM92" i="28"/>
  <c r="AN92" i="28"/>
  <c r="AO92" i="28"/>
  <c r="G92" i="28"/>
  <c r="H91" i="28"/>
  <c r="I91" i="28"/>
  <c r="J91" i="28"/>
  <c r="K91" i="28"/>
  <c r="L91" i="28"/>
  <c r="M91" i="28"/>
  <c r="N91" i="28"/>
  <c r="O91" i="28"/>
  <c r="P91" i="28"/>
  <c r="Q91" i="28"/>
  <c r="R91" i="28"/>
  <c r="S91" i="28"/>
  <c r="T91" i="28"/>
  <c r="U91" i="28"/>
  <c r="V91" i="28"/>
  <c r="W91" i="28"/>
  <c r="X91" i="28"/>
  <c r="Y91" i="28"/>
  <c r="Z91" i="28"/>
  <c r="AA91" i="28"/>
  <c r="F88" i="12" s="1"/>
  <c r="AC91" i="28"/>
  <c r="AD91" i="28"/>
  <c r="AE91" i="28"/>
  <c r="AF91" i="28"/>
  <c r="AG91" i="28"/>
  <c r="AH91" i="28"/>
  <c r="AI91" i="28"/>
  <c r="AJ91" i="28"/>
  <c r="AK91" i="28"/>
  <c r="AL91" i="28"/>
  <c r="AM91" i="28"/>
  <c r="AN91" i="28"/>
  <c r="AO91" i="28"/>
  <c r="G91" i="28"/>
  <c r="H90" i="28"/>
  <c r="I90" i="28"/>
  <c r="J90" i="28"/>
  <c r="K90" i="28"/>
  <c r="L90" i="28"/>
  <c r="M90" i="28"/>
  <c r="N90" i="28"/>
  <c r="O90" i="28"/>
  <c r="P90" i="28"/>
  <c r="Q90" i="28"/>
  <c r="R90" i="28"/>
  <c r="S90" i="28"/>
  <c r="T90" i="28"/>
  <c r="U90" i="28"/>
  <c r="V90" i="28"/>
  <c r="W90" i="28"/>
  <c r="X90" i="28"/>
  <c r="Y90" i="28"/>
  <c r="Z90" i="28"/>
  <c r="AA90" i="28"/>
  <c r="F87" i="12" s="1"/>
  <c r="AC90" i="28"/>
  <c r="AD90" i="28"/>
  <c r="AE90" i="28"/>
  <c r="AF90" i="28"/>
  <c r="AG90" i="28"/>
  <c r="AH90" i="28"/>
  <c r="AI90" i="28"/>
  <c r="AJ90" i="28"/>
  <c r="AK90" i="28"/>
  <c r="AL90" i="28"/>
  <c r="AM90" i="28"/>
  <c r="AN90" i="28"/>
  <c r="AO90" i="28"/>
  <c r="G90" i="28"/>
  <c r="H89" i="28"/>
  <c r="I89" i="28"/>
  <c r="J89" i="28"/>
  <c r="K89" i="28"/>
  <c r="L89" i="28"/>
  <c r="M89" i="28"/>
  <c r="N89" i="28"/>
  <c r="O89" i="28"/>
  <c r="P89" i="28"/>
  <c r="Q89" i="28"/>
  <c r="R89" i="28"/>
  <c r="S89" i="28"/>
  <c r="T89" i="28"/>
  <c r="U89" i="28"/>
  <c r="V89" i="28"/>
  <c r="W89" i="28"/>
  <c r="X89" i="28"/>
  <c r="Y89" i="28"/>
  <c r="Z89" i="28"/>
  <c r="AA89" i="28"/>
  <c r="F86" i="12" s="1"/>
  <c r="AC89" i="28"/>
  <c r="AD89" i="28"/>
  <c r="AE89" i="28"/>
  <c r="AF89" i="28"/>
  <c r="AG89" i="28"/>
  <c r="AH89" i="28"/>
  <c r="AI89" i="28"/>
  <c r="AJ89" i="28"/>
  <c r="AK89" i="28"/>
  <c r="AL89" i="28"/>
  <c r="AM89" i="28"/>
  <c r="AN89" i="28"/>
  <c r="AO89" i="28"/>
  <c r="G89" i="28"/>
  <c r="H88" i="28"/>
  <c r="I88" i="28"/>
  <c r="J88" i="28"/>
  <c r="K88" i="28"/>
  <c r="L88" i="28"/>
  <c r="M88" i="28"/>
  <c r="N88" i="28"/>
  <c r="O88" i="28"/>
  <c r="P88" i="28"/>
  <c r="Q88" i="28"/>
  <c r="R88" i="28"/>
  <c r="S88" i="28"/>
  <c r="T88" i="28"/>
  <c r="U88" i="28"/>
  <c r="V88" i="28"/>
  <c r="W88" i="28"/>
  <c r="X88" i="28"/>
  <c r="Y88" i="28"/>
  <c r="Z88" i="28"/>
  <c r="AA88" i="28"/>
  <c r="F85" i="12" s="1"/>
  <c r="AC88" i="28"/>
  <c r="AD88" i="28"/>
  <c r="AE88" i="28"/>
  <c r="AF88" i="28"/>
  <c r="AG88" i="28"/>
  <c r="AH88" i="28"/>
  <c r="AI88" i="28"/>
  <c r="AJ88" i="28"/>
  <c r="AK88" i="28"/>
  <c r="AL88" i="28"/>
  <c r="AM88" i="28"/>
  <c r="AN88" i="28"/>
  <c r="AO88" i="28"/>
  <c r="G88" i="28"/>
  <c r="H87" i="28"/>
  <c r="I87" i="28"/>
  <c r="J87" i="28"/>
  <c r="K87" i="28"/>
  <c r="L87" i="28"/>
  <c r="M87" i="28"/>
  <c r="N87" i="28"/>
  <c r="O87" i="28"/>
  <c r="P87" i="28"/>
  <c r="Q87" i="28"/>
  <c r="R87" i="28"/>
  <c r="S87" i="28"/>
  <c r="T87" i="28"/>
  <c r="U87" i="28"/>
  <c r="V87" i="28"/>
  <c r="W87" i="28"/>
  <c r="X87" i="28"/>
  <c r="Y87" i="28"/>
  <c r="Z87" i="28"/>
  <c r="AA87" i="28"/>
  <c r="F84" i="12" s="1"/>
  <c r="AC87" i="28"/>
  <c r="AD87" i="28"/>
  <c r="AE87" i="28"/>
  <c r="AF87" i="28"/>
  <c r="AG87" i="28"/>
  <c r="AH87" i="28"/>
  <c r="AI87" i="28"/>
  <c r="AJ87" i="28"/>
  <c r="AK87" i="28"/>
  <c r="AL87" i="28"/>
  <c r="AM87" i="28"/>
  <c r="AN87" i="28"/>
  <c r="AO87" i="28"/>
  <c r="G87" i="28"/>
  <c r="I86" i="28"/>
  <c r="J86" i="28"/>
  <c r="K86" i="28"/>
  <c r="L86" i="28"/>
  <c r="M86" i="28"/>
  <c r="N86" i="28"/>
  <c r="O86" i="28"/>
  <c r="P86" i="28"/>
  <c r="Q86" i="28"/>
  <c r="R86" i="28"/>
  <c r="S86" i="28"/>
  <c r="T86" i="28"/>
  <c r="U86" i="28"/>
  <c r="V86" i="28"/>
  <c r="W86" i="28"/>
  <c r="X86" i="28"/>
  <c r="Y86" i="28"/>
  <c r="Z86" i="28"/>
  <c r="AC86" i="28"/>
  <c r="AD86" i="28"/>
  <c r="AE86" i="28"/>
  <c r="AF86" i="28"/>
  <c r="AG86" i="28"/>
  <c r="AH86" i="28"/>
  <c r="AI86" i="28"/>
  <c r="AJ86" i="28"/>
  <c r="AK86" i="28"/>
  <c r="AM86" i="28"/>
  <c r="AN86" i="28"/>
  <c r="H86" i="28"/>
  <c r="G86" i="28"/>
  <c r="D140" i="25" l="1"/>
  <c r="F181" i="8"/>
  <c r="D109" i="25"/>
  <c r="D41" i="25"/>
  <c r="C107" i="18"/>
  <c r="M140" i="25"/>
  <c r="R73" i="12" s="1"/>
  <c r="S73" i="12" s="1"/>
  <c r="M121" i="25"/>
  <c r="M88" i="25"/>
  <c r="R20" i="12" s="1"/>
  <c r="S20" i="12" s="1"/>
  <c r="M53" i="25"/>
  <c r="R19" i="12" s="1"/>
  <c r="M29" i="25"/>
  <c r="R46" i="12" s="1"/>
  <c r="S46" i="12" s="1"/>
  <c r="M17" i="25"/>
  <c r="R18" i="12" s="1"/>
  <c r="S18" i="12" s="1"/>
  <c r="H19" i="12"/>
  <c r="I88" i="25"/>
  <c r="K20" i="12" s="1"/>
  <c r="X20" i="12" s="1"/>
  <c r="F20" i="12"/>
  <c r="L86" i="25"/>
  <c r="L85" i="25"/>
  <c r="K51" i="17"/>
  <c r="P24" i="32" s="1"/>
  <c r="P23" i="32"/>
  <c r="K49" i="17"/>
  <c r="P22" i="32" s="1"/>
  <c r="K48" i="17"/>
  <c r="P21" i="32" s="1"/>
  <c r="K46" i="17"/>
  <c r="P19" i="32" s="1"/>
  <c r="K45" i="17"/>
  <c r="K44" i="17"/>
  <c r="K34" i="17"/>
  <c r="P7" i="32" s="1"/>
  <c r="K35" i="17"/>
  <c r="P8" i="32" s="1"/>
  <c r="K36" i="17"/>
  <c r="P9" i="32" s="1"/>
  <c r="K37" i="17"/>
  <c r="P10" i="32" s="1"/>
  <c r="K38" i="17"/>
  <c r="P11" i="32" s="1"/>
  <c r="K39" i="17"/>
  <c r="K40" i="17"/>
  <c r="K41" i="17"/>
  <c r="K42" i="17"/>
  <c r="P12" i="32" s="1"/>
  <c r="K33" i="17"/>
  <c r="AC10" i="30"/>
  <c r="AC9" i="30"/>
  <c r="AB10" i="30"/>
  <c r="AB9" i="30"/>
  <c r="AC5" i="30"/>
  <c r="AC6" i="30"/>
  <c r="AB6" i="30"/>
  <c r="AB25" i="30" s="1"/>
  <c r="AB5" i="30"/>
  <c r="AB24" i="30" s="1"/>
  <c r="AB2" i="30"/>
  <c r="AB4" i="30"/>
  <c r="AB23" i="30" s="1"/>
  <c r="AC3" i="30"/>
  <c r="AC2" i="30"/>
  <c r="AA4" i="30"/>
  <c r="AA3" i="30"/>
  <c r="AA2" i="30"/>
  <c r="Y3" i="30"/>
  <c r="AB3" i="30" s="1"/>
  <c r="R21" i="12" l="1"/>
  <c r="S21" i="12" s="1"/>
  <c r="BF103" i="15"/>
  <c r="S19" i="12"/>
  <c r="BF90" i="15"/>
  <c r="BF89" i="15"/>
  <c r="BF91" i="15"/>
  <c r="BF88" i="15"/>
  <c r="BF87" i="15"/>
  <c r="K57" i="17"/>
  <c r="P31" i="32" s="1"/>
  <c r="P18" i="32"/>
  <c r="P15" i="32"/>
  <c r="P6" i="32"/>
  <c r="AB22" i="30"/>
  <c r="F94" i="12" s="1"/>
  <c r="BF94" i="15"/>
  <c r="BF93" i="15"/>
  <c r="BF95" i="15"/>
  <c r="BF96" i="15"/>
  <c r="BG96" i="15" s="1"/>
  <c r="BF97" i="15"/>
  <c r="BG97" i="15" s="1"/>
  <c r="BF84" i="15"/>
  <c r="BG84" i="15" s="1"/>
  <c r="BF85" i="15"/>
  <c r="BG85" i="15" s="1"/>
  <c r="BF82" i="15"/>
  <c r="BF83" i="15"/>
  <c r="BF81" i="15"/>
  <c r="BG103" i="15"/>
  <c r="BF100" i="15"/>
  <c r="BF99" i="15"/>
  <c r="BF101" i="15"/>
  <c r="BF102" i="15"/>
  <c r="BG102" i="15" s="1"/>
  <c r="P17" i="32"/>
  <c r="P14" i="32"/>
  <c r="C24" i="27"/>
  <c r="K88" i="25"/>
  <c r="L88" i="25"/>
  <c r="H95" i="12"/>
  <c r="I95" i="12"/>
  <c r="H22" i="30"/>
  <c r="J22" i="30"/>
  <c r="K22" i="30"/>
  <c r="L22" i="30"/>
  <c r="M22" i="30"/>
  <c r="N22" i="30"/>
  <c r="O22" i="30"/>
  <c r="P22" i="30"/>
  <c r="Q22" i="30"/>
  <c r="R22" i="30"/>
  <c r="S22" i="30"/>
  <c r="T22" i="30"/>
  <c r="U22" i="30"/>
  <c r="V22" i="30"/>
  <c r="W22" i="30"/>
  <c r="X22" i="30"/>
  <c r="Y22" i="30"/>
  <c r="Z22" i="30"/>
  <c r="AA22" i="30"/>
  <c r="AC22" i="30"/>
  <c r="AD22" i="30"/>
  <c r="AE22" i="30"/>
  <c r="AF22" i="30"/>
  <c r="AG22" i="30"/>
  <c r="AH22" i="30"/>
  <c r="AI22" i="30"/>
  <c r="AJ22" i="30"/>
  <c r="AK22" i="30"/>
  <c r="AL22" i="30"/>
  <c r="AM22" i="30"/>
  <c r="AN22" i="30"/>
  <c r="K94" i="12"/>
  <c r="X94" i="12" s="1"/>
  <c r="H23" i="30"/>
  <c r="J23" i="30"/>
  <c r="K23" i="30"/>
  <c r="L23" i="30"/>
  <c r="M23" i="30"/>
  <c r="N23" i="30"/>
  <c r="O23" i="30"/>
  <c r="P23" i="30"/>
  <c r="Q23" i="30"/>
  <c r="R23" i="30"/>
  <c r="S23" i="30"/>
  <c r="T23" i="30"/>
  <c r="U23" i="30"/>
  <c r="V23" i="30"/>
  <c r="W23" i="30"/>
  <c r="X23" i="30"/>
  <c r="Y23" i="30"/>
  <c r="Z23" i="30"/>
  <c r="AA23" i="30"/>
  <c r="AC23" i="30"/>
  <c r="AD23" i="30"/>
  <c r="AE23" i="30"/>
  <c r="AF23" i="30"/>
  <c r="AG23" i="30"/>
  <c r="AH23" i="30"/>
  <c r="AI23" i="30"/>
  <c r="AJ23" i="30"/>
  <c r="AK23" i="30"/>
  <c r="AM23" i="30"/>
  <c r="H24" i="30"/>
  <c r="J24" i="30"/>
  <c r="K24" i="30"/>
  <c r="L24" i="30"/>
  <c r="M24" i="30"/>
  <c r="N24" i="30"/>
  <c r="O24" i="30"/>
  <c r="P24" i="30"/>
  <c r="Q24" i="30"/>
  <c r="R24" i="30"/>
  <c r="S24" i="30"/>
  <c r="T24" i="30"/>
  <c r="U24" i="30"/>
  <c r="V24" i="30"/>
  <c r="W24" i="30"/>
  <c r="X24" i="30"/>
  <c r="Y24" i="30"/>
  <c r="Z24" i="30"/>
  <c r="AA24" i="30"/>
  <c r="AC24" i="30"/>
  <c r="AD24" i="30"/>
  <c r="AE24" i="30"/>
  <c r="AF24" i="30"/>
  <c r="AG24" i="30"/>
  <c r="AH24" i="30"/>
  <c r="AI24" i="30"/>
  <c r="AJ24" i="30"/>
  <c r="AK24" i="30"/>
  <c r="AM24" i="30"/>
  <c r="H25" i="30"/>
  <c r="J25" i="30"/>
  <c r="K25" i="30"/>
  <c r="L25" i="30"/>
  <c r="M25" i="30"/>
  <c r="N25" i="30"/>
  <c r="O25" i="30"/>
  <c r="P25" i="30"/>
  <c r="Q25" i="30"/>
  <c r="R25" i="30"/>
  <c r="S25" i="30"/>
  <c r="T25" i="30"/>
  <c r="U25" i="30"/>
  <c r="V25" i="30"/>
  <c r="W25" i="30"/>
  <c r="X25" i="30"/>
  <c r="Y25" i="30"/>
  <c r="Z25" i="30"/>
  <c r="AA25" i="30"/>
  <c r="AC25" i="30"/>
  <c r="AD25" i="30"/>
  <c r="AE25" i="30"/>
  <c r="AF25" i="30"/>
  <c r="AG25" i="30"/>
  <c r="AH25" i="30"/>
  <c r="AI25" i="30"/>
  <c r="AJ25" i="30"/>
  <c r="AK25" i="30"/>
  <c r="AM25" i="30"/>
  <c r="G25" i="30"/>
  <c r="G24" i="30"/>
  <c r="G23" i="30"/>
  <c r="G22" i="30"/>
  <c r="F95" i="12"/>
  <c r="AN10" i="30"/>
  <c r="AL10" i="30" s="1"/>
  <c r="AN9" i="30"/>
  <c r="AL9" i="30" s="1"/>
  <c r="AN6" i="30"/>
  <c r="AL6" i="30" s="1"/>
  <c r="AN5" i="30"/>
  <c r="AL5" i="30" s="1"/>
  <c r="AN4" i="30"/>
  <c r="AN23" i="30" s="1"/>
  <c r="U86" i="12"/>
  <c r="O94" i="12" l="1"/>
  <c r="V51" i="21"/>
  <c r="F97" i="12"/>
  <c r="G125" i="12" s="1"/>
  <c r="F96" i="12"/>
  <c r="C95" i="12"/>
  <c r="O95" i="12"/>
  <c r="AL25" i="30"/>
  <c r="K96" i="12"/>
  <c r="AL4" i="30"/>
  <c r="AL23" i="30" s="1"/>
  <c r="AL24" i="30"/>
  <c r="AN24" i="30"/>
  <c r="K97" i="12"/>
  <c r="X97" i="12" s="1"/>
  <c r="AN25" i="30"/>
  <c r="M95" i="12"/>
  <c r="N95" i="12" s="1"/>
  <c r="D95" i="12"/>
  <c r="E95" i="12"/>
  <c r="K99" i="12"/>
  <c r="X99" i="12" s="1"/>
  <c r="K100" i="12"/>
  <c r="X100" i="12" s="1"/>
  <c r="K101" i="12"/>
  <c r="X101" i="12" s="1"/>
  <c r="O96" i="12" l="1"/>
  <c r="X96" i="12"/>
  <c r="O101" i="12"/>
  <c r="O100" i="12"/>
  <c r="O99" i="12"/>
  <c r="O97" i="12"/>
  <c r="G124" i="12"/>
  <c r="C114" i="18"/>
  <c r="E114" i="18" s="1"/>
  <c r="AD97" i="15"/>
  <c r="AD96" i="15"/>
  <c r="AD94" i="15"/>
  <c r="AD93" i="15"/>
  <c r="AD95" i="15"/>
  <c r="M99" i="12"/>
  <c r="N99" i="12" s="1"/>
  <c r="M97" i="12"/>
  <c r="N97" i="12" s="1"/>
  <c r="M96" i="12"/>
  <c r="AE96" i="15" l="1"/>
  <c r="AE97" i="15"/>
  <c r="AD45" i="15"/>
  <c r="AD46" i="15"/>
  <c r="AD48" i="15"/>
  <c r="AD47" i="15"/>
  <c r="AD49" i="15"/>
  <c r="U89" i="12" l="1"/>
  <c r="C550" i="12"/>
  <c r="F559" i="12"/>
  <c r="K87" i="12" l="1"/>
  <c r="X87" i="12" s="1"/>
  <c r="K86" i="12"/>
  <c r="X86" i="12" s="1"/>
  <c r="K91" i="12"/>
  <c r="X91" i="12" s="1"/>
  <c r="K83" i="12"/>
  <c r="K84" i="12"/>
  <c r="X84" i="12" s="1"/>
  <c r="K89" i="12"/>
  <c r="X89" i="12" s="1"/>
  <c r="K85" i="12"/>
  <c r="X85" i="12" s="1"/>
  <c r="K88" i="12"/>
  <c r="X88" i="12" s="1"/>
  <c r="K92" i="12"/>
  <c r="X92" i="12" s="1"/>
  <c r="O83" i="12" l="1"/>
  <c r="X83" i="12"/>
  <c r="O91" i="12"/>
  <c r="O88" i="12"/>
  <c r="O85" i="12"/>
  <c r="O86" i="12"/>
  <c r="O92" i="12"/>
  <c r="O84" i="12"/>
  <c r="O87" i="12"/>
  <c r="M89" i="12"/>
  <c r="N89" i="12" s="1"/>
  <c r="O89" i="12"/>
  <c r="BD48" i="15" l="1"/>
  <c r="BD49" i="15"/>
  <c r="BD46" i="15"/>
  <c r="BD45" i="15"/>
  <c r="BD47" i="15"/>
  <c r="J34" i="17"/>
  <c r="J35" i="17"/>
  <c r="J36" i="17"/>
  <c r="J37" i="17"/>
  <c r="J38" i="17"/>
  <c r="J39" i="17"/>
  <c r="J40" i="17"/>
  <c r="J41" i="17"/>
  <c r="J42" i="17"/>
  <c r="J44" i="17"/>
  <c r="J45" i="17"/>
  <c r="J46" i="17"/>
  <c r="J48" i="17"/>
  <c r="J49" i="17"/>
  <c r="J50" i="17"/>
  <c r="J51" i="17"/>
  <c r="O5" i="17"/>
  <c r="G31" i="32" l="1"/>
  <c r="I31" i="32"/>
  <c r="O22" i="17"/>
  <c r="O21" i="17"/>
  <c r="O20" i="17"/>
  <c r="O19" i="17"/>
  <c r="O17" i="17"/>
  <c r="O16" i="17"/>
  <c r="O15" i="17"/>
  <c r="O13" i="17"/>
  <c r="O12" i="17"/>
  <c r="O11" i="17"/>
  <c r="O10" i="17"/>
  <c r="O9" i="17"/>
  <c r="O8" i="17"/>
  <c r="O7" i="17"/>
  <c r="O6" i="17"/>
  <c r="O4" i="17"/>
  <c r="O29" i="17" l="1"/>
  <c r="H31" i="32"/>
  <c r="F31" i="32"/>
  <c r="J45" i="15" a="1"/>
  <c r="J45" i="15" s="1"/>
  <c r="I45" i="15" a="1"/>
  <c r="I45" i="15" s="1"/>
  <c r="H45" i="15" a="1"/>
  <c r="H45" i="15" s="1"/>
  <c r="J39" i="15" a="1"/>
  <c r="J39" i="15" s="1"/>
  <c r="I39" i="15" a="1"/>
  <c r="I39" i="15" s="1"/>
  <c r="H39" i="15" a="1"/>
  <c r="H39" i="15" s="1"/>
  <c r="S47" i="15"/>
  <c r="S46" i="15"/>
  <c r="S45" i="15"/>
  <c r="S41" i="15"/>
  <c r="S40" i="15"/>
  <c r="S39" i="15"/>
  <c r="J75" i="15" a="1"/>
  <c r="J76" i="15" s="1"/>
  <c r="J63" i="15" a="1"/>
  <c r="J64" i="15" s="1"/>
  <c r="I63" i="15" a="1"/>
  <c r="I63" i="15" s="1"/>
  <c r="H87" i="15" a="1"/>
  <c r="H90" i="15" s="1"/>
  <c r="H75" i="15" a="1"/>
  <c r="H75" i="15" s="1"/>
  <c r="H69" i="15" a="1"/>
  <c r="H70" i="15" s="1"/>
  <c r="G70" i="15" s="1"/>
  <c r="H63" i="15" a="1"/>
  <c r="H63" i="15" s="1"/>
  <c r="O26" i="32" l="1"/>
  <c r="O31" i="32" s="1"/>
  <c r="G39" i="15"/>
  <c r="G45" i="15"/>
  <c r="BN47" i="15"/>
  <c r="BN45" i="15"/>
  <c r="G90" i="15"/>
  <c r="BN46" i="15"/>
  <c r="U45" i="15"/>
  <c r="W45" i="15"/>
  <c r="AU45" i="15"/>
  <c r="AO45" i="15"/>
  <c r="AQ45" i="15"/>
  <c r="H42" i="15"/>
  <c r="H41" i="15"/>
  <c r="I42" i="15"/>
  <c r="H40" i="15"/>
  <c r="I41" i="15"/>
  <c r="H48" i="15"/>
  <c r="H43" i="15"/>
  <c r="I40" i="15"/>
  <c r="H47" i="15"/>
  <c r="J48" i="15"/>
  <c r="J47" i="15"/>
  <c r="J46" i="15"/>
  <c r="J49" i="15"/>
  <c r="I47" i="15"/>
  <c r="I48" i="15"/>
  <c r="I46" i="15"/>
  <c r="I49" i="15"/>
  <c r="H46" i="15"/>
  <c r="H49" i="15"/>
  <c r="J42" i="15"/>
  <c r="J40" i="15"/>
  <c r="J41" i="15"/>
  <c r="J43" i="15"/>
  <c r="I43" i="15"/>
  <c r="J79" i="15"/>
  <c r="J75" i="15"/>
  <c r="J78" i="15"/>
  <c r="J77" i="15"/>
  <c r="J67" i="15"/>
  <c r="J63" i="15"/>
  <c r="J66" i="15"/>
  <c r="J65" i="15"/>
  <c r="I66" i="15"/>
  <c r="I65" i="15"/>
  <c r="I64" i="15"/>
  <c r="I67" i="15"/>
  <c r="H89" i="15"/>
  <c r="G89" i="15" s="1"/>
  <c r="H88" i="15"/>
  <c r="G88" i="15" s="1"/>
  <c r="H87" i="15"/>
  <c r="AQ87" i="15" s="1"/>
  <c r="H91" i="15"/>
  <c r="H78" i="15"/>
  <c r="H77" i="15"/>
  <c r="H76" i="15"/>
  <c r="G76" i="15" s="1"/>
  <c r="H79" i="15"/>
  <c r="H73" i="15"/>
  <c r="H69" i="15"/>
  <c r="G69" i="15" s="1"/>
  <c r="H72" i="15"/>
  <c r="H71" i="15"/>
  <c r="G71" i="15" s="1"/>
  <c r="H66" i="15"/>
  <c r="H64" i="15"/>
  <c r="H65" i="15"/>
  <c r="H67" i="15"/>
  <c r="S70" i="15"/>
  <c r="S71" i="15"/>
  <c r="S77" i="15"/>
  <c r="S76" i="15"/>
  <c r="S75" i="15"/>
  <c r="S69" i="15"/>
  <c r="S65" i="15"/>
  <c r="S64" i="15"/>
  <c r="S63" i="15"/>
  <c r="S89" i="15"/>
  <c r="S88" i="15"/>
  <c r="S87" i="15"/>
  <c r="G75" i="15" l="1"/>
  <c r="BA75" i="15" s="1"/>
  <c r="BB75" i="15" s="1"/>
  <c r="G63" i="15"/>
  <c r="BA63" i="15" s="1"/>
  <c r="BB63" i="15" s="1"/>
  <c r="AV45" i="15"/>
  <c r="AT45" i="15"/>
  <c r="BB45" i="15"/>
  <c r="BY45" i="15"/>
  <c r="BG87" i="15"/>
  <c r="BG88" i="15"/>
  <c r="BG89" i="15"/>
  <c r="AR45" i="15"/>
  <c r="BR45" i="15"/>
  <c r="AP45" i="15"/>
  <c r="AZ45" i="15"/>
  <c r="AB45" i="15"/>
  <c r="V45" i="15"/>
  <c r="X45" i="15"/>
  <c r="G67" i="15"/>
  <c r="G79" i="15"/>
  <c r="G91" i="15"/>
  <c r="G72" i="15"/>
  <c r="G49" i="15"/>
  <c r="G73" i="15"/>
  <c r="G66" i="15"/>
  <c r="G78" i="15"/>
  <c r="G47" i="15"/>
  <c r="G42" i="15"/>
  <c r="G40" i="15"/>
  <c r="Y45" i="15"/>
  <c r="G87" i="15"/>
  <c r="G43" i="15"/>
  <c r="G65" i="15"/>
  <c r="G64" i="15"/>
  <c r="G77" i="15"/>
  <c r="G46" i="15"/>
  <c r="G48" i="15"/>
  <c r="G41" i="15"/>
  <c r="BA41" i="15" s="1"/>
  <c r="AQ88" i="15"/>
  <c r="AR88" i="15" s="1"/>
  <c r="BA70" i="15"/>
  <c r="BB70" i="15" s="1"/>
  <c r="BA88" i="15"/>
  <c r="BB88" i="15" s="1"/>
  <c r="AQ91" i="15"/>
  <c r="AQ89" i="15"/>
  <c r="AR89" i="15" s="1"/>
  <c r="BA90" i="15"/>
  <c r="BB90" i="15" s="1"/>
  <c r="AQ90" i="15"/>
  <c r="AR90" i="15" s="1"/>
  <c r="BA39" i="15"/>
  <c r="BB39" i="15" s="1"/>
  <c r="BA45" i="15"/>
  <c r="W46" i="15"/>
  <c r="AO46" i="15"/>
  <c r="AU46" i="15"/>
  <c r="U46" i="15"/>
  <c r="AQ46" i="15"/>
  <c r="U48" i="15"/>
  <c r="AO48" i="15"/>
  <c r="AU48" i="15"/>
  <c r="AQ48" i="15"/>
  <c r="W48" i="15"/>
  <c r="AQ49" i="15"/>
  <c r="U49" i="15"/>
  <c r="AU49" i="15"/>
  <c r="AO49" i="15"/>
  <c r="W49" i="15"/>
  <c r="AQ47" i="15"/>
  <c r="AU47" i="15"/>
  <c r="W47" i="15"/>
  <c r="U47" i="15"/>
  <c r="AO47" i="15"/>
  <c r="AT47" i="15" l="1"/>
  <c r="AV47" i="15"/>
  <c r="AV49" i="15"/>
  <c r="AT49" i="15"/>
  <c r="AT48" i="15"/>
  <c r="AV48" i="15"/>
  <c r="AT46" i="15"/>
  <c r="AV46" i="15"/>
  <c r="BB46" i="15"/>
  <c r="BY46" i="15"/>
  <c r="BB47" i="15"/>
  <c r="BY47" i="15"/>
  <c r="BB49" i="15"/>
  <c r="BY49" i="15"/>
  <c r="BB48" i="15"/>
  <c r="BY48" i="15"/>
  <c r="Z45" i="15"/>
  <c r="BB41" i="15"/>
  <c r="BR47" i="15"/>
  <c r="AP47" i="15"/>
  <c r="AR47" i="15"/>
  <c r="AR49" i="15"/>
  <c r="BR49" i="15"/>
  <c r="AP49" i="15"/>
  <c r="AR87" i="15"/>
  <c r="AP48" i="15"/>
  <c r="BR48" i="15"/>
  <c r="AR48" i="15"/>
  <c r="AR46" i="15"/>
  <c r="AP46" i="15"/>
  <c r="BR46" i="15"/>
  <c r="AR91" i="15"/>
  <c r="AZ47" i="15"/>
  <c r="AB47" i="15"/>
  <c r="X47" i="15"/>
  <c r="V47" i="15"/>
  <c r="AZ49" i="15"/>
  <c r="AB49" i="15"/>
  <c r="V49" i="15"/>
  <c r="X49" i="15"/>
  <c r="AZ48" i="15"/>
  <c r="X48" i="15"/>
  <c r="V48" i="15"/>
  <c r="AB48" i="15"/>
  <c r="AZ46" i="15"/>
  <c r="AB46" i="15"/>
  <c r="X46" i="15"/>
  <c r="V46" i="15"/>
  <c r="Y47" i="15"/>
  <c r="Y48" i="15"/>
  <c r="Y46" i="15"/>
  <c r="BA72" i="15"/>
  <c r="BB72" i="15" s="1"/>
  <c r="BA73" i="15"/>
  <c r="BB73" i="15" s="1"/>
  <c r="C11" i="5"/>
  <c r="AJ41" i="15"/>
  <c r="AK41" i="15" s="1"/>
  <c r="BA79" i="15"/>
  <c r="BB79" i="15" s="1"/>
  <c r="BA77" i="15"/>
  <c r="BB77" i="15" s="1"/>
  <c r="BA78" i="15"/>
  <c r="BB78" i="15" s="1"/>
  <c r="BA76" i="15"/>
  <c r="BB76" i="15" s="1"/>
  <c r="BA71" i="15"/>
  <c r="BB71" i="15" s="1"/>
  <c r="BA69" i="15"/>
  <c r="BB69" i="15" s="1"/>
  <c r="C12" i="5"/>
  <c r="BA67" i="15"/>
  <c r="BB67" i="15" s="1"/>
  <c r="BA66" i="15"/>
  <c r="BB66" i="15" s="1"/>
  <c r="BA64" i="15"/>
  <c r="BB64" i="15" s="1"/>
  <c r="BA65" i="15"/>
  <c r="BB65" i="15" s="1"/>
  <c r="BA91" i="15"/>
  <c r="BB91" i="15" s="1"/>
  <c r="BA89" i="15"/>
  <c r="BB89" i="15" s="1"/>
  <c r="AJ90" i="15"/>
  <c r="AK90" i="15" s="1"/>
  <c r="BA87" i="15"/>
  <c r="BB87" i="15" s="1"/>
  <c r="AJ88" i="15"/>
  <c r="AK88" i="15" s="1"/>
  <c r="AJ39" i="15"/>
  <c r="BA40" i="15"/>
  <c r="BB40" i="15" s="1"/>
  <c r="BA42" i="15"/>
  <c r="BB42" i="15" s="1"/>
  <c r="BA43" i="15"/>
  <c r="BB43" i="15" s="1"/>
  <c r="Y49" i="15"/>
  <c r="BA47" i="15"/>
  <c r="BA46" i="15"/>
  <c r="BA49" i="15"/>
  <c r="BA48" i="15"/>
  <c r="AJ45" i="15"/>
  <c r="C16" i="5"/>
  <c r="C15" i="5"/>
  <c r="C19" i="5"/>
  <c r="C17" i="5"/>
  <c r="F57" i="17"/>
  <c r="AK39" i="15" l="1"/>
  <c r="Z49" i="15"/>
  <c r="Z48" i="15"/>
  <c r="Z46" i="15"/>
  <c r="Z47" i="15"/>
  <c r="BT41" i="15"/>
  <c r="BU41" i="15" s="1"/>
  <c r="BT75" i="15"/>
  <c r="BU75" i="15" s="1"/>
  <c r="BT73" i="15"/>
  <c r="BU73" i="15" s="1"/>
  <c r="BT70" i="15"/>
  <c r="BU70" i="15" s="1"/>
  <c r="BT72" i="15"/>
  <c r="BU72" i="15" s="1"/>
  <c r="BT63" i="15"/>
  <c r="BU63" i="15" s="1"/>
  <c r="AJ87" i="15"/>
  <c r="AK87" i="15" s="1"/>
  <c r="BT90" i="15"/>
  <c r="BU90" i="15" s="1"/>
  <c r="AJ89" i="15"/>
  <c r="AK89" i="15" s="1"/>
  <c r="BT88" i="15"/>
  <c r="BU88" i="15" s="1"/>
  <c r="AJ91" i="15"/>
  <c r="AK91" i="15" s="1"/>
  <c r="AJ40" i="15"/>
  <c r="AK40" i="15" s="1"/>
  <c r="AJ43" i="15"/>
  <c r="AK43" i="15" s="1"/>
  <c r="AJ42" i="15"/>
  <c r="AK42" i="15" s="1"/>
  <c r="BT39" i="15"/>
  <c r="BU39" i="15" s="1"/>
  <c r="AH45" i="15"/>
  <c r="BT45" i="15"/>
  <c r="AJ47" i="15"/>
  <c r="AJ49" i="15"/>
  <c r="AJ46" i="15"/>
  <c r="AJ48" i="15"/>
  <c r="D11" i="5" l="1"/>
  <c r="AH47" i="15"/>
  <c r="AH48" i="15"/>
  <c r="BT78" i="15"/>
  <c r="BU78" i="15" s="1"/>
  <c r="D17" i="5"/>
  <c r="BT79" i="15"/>
  <c r="BU79" i="15" s="1"/>
  <c r="BT76" i="15"/>
  <c r="BU76" i="15" s="1"/>
  <c r="BT77" i="15"/>
  <c r="BU77" i="15" s="1"/>
  <c r="BT71" i="15"/>
  <c r="BU71" i="15" s="1"/>
  <c r="BT69" i="15"/>
  <c r="BU69" i="15" s="1"/>
  <c r="D16" i="5"/>
  <c r="D12" i="5"/>
  <c r="BT67" i="15"/>
  <c r="BU67" i="15" s="1"/>
  <c r="BT65" i="15"/>
  <c r="BU65" i="15" s="1"/>
  <c r="BT64" i="15"/>
  <c r="BU64" i="15" s="1"/>
  <c r="D15" i="5"/>
  <c r="BT66" i="15"/>
  <c r="BU66" i="15" s="1"/>
  <c r="BT87" i="15"/>
  <c r="BU87" i="15" s="1"/>
  <c r="D19" i="5"/>
  <c r="BT91" i="15"/>
  <c r="BU91" i="15" s="1"/>
  <c r="BT89" i="15"/>
  <c r="BU89" i="15" s="1"/>
  <c r="BT42" i="15"/>
  <c r="BU42" i="15" s="1"/>
  <c r="BT40" i="15"/>
  <c r="BU40" i="15" s="1"/>
  <c r="BT43" i="15"/>
  <c r="BU43" i="15" s="1"/>
  <c r="AH49" i="15"/>
  <c r="AH46" i="15"/>
  <c r="BT48" i="15"/>
  <c r="BT46" i="15"/>
  <c r="BT49" i="15"/>
  <c r="BT47" i="15"/>
  <c r="J33" i="17" l="1"/>
  <c r="J57" i="17" s="1"/>
  <c r="E127" i="18" l="1"/>
  <c r="E126" i="18"/>
  <c r="E119" i="18"/>
  <c r="E107" i="18"/>
  <c r="F20" i="27" l="1"/>
  <c r="R68" i="12" s="1"/>
  <c r="S68" i="12" s="1"/>
  <c r="F19" i="27"/>
  <c r="R67" i="12" s="1"/>
  <c r="S67" i="12" s="1"/>
  <c r="F18" i="27"/>
  <c r="R65" i="12" s="1"/>
  <c r="S65" i="12" s="1"/>
  <c r="F17" i="27"/>
  <c r="R64" i="12" s="1"/>
  <c r="S64" i="12" s="1"/>
  <c r="F16" i="27"/>
  <c r="R63" i="12" s="1"/>
  <c r="S63" i="12" s="1"/>
  <c r="F15" i="27"/>
  <c r="R62" i="12" s="1"/>
  <c r="S62" i="12" s="1"/>
  <c r="F14" i="27"/>
  <c r="R61" i="12" s="1"/>
  <c r="S61" i="12" s="1"/>
  <c r="F13" i="27"/>
  <c r="R60" i="12" s="1"/>
  <c r="S60" i="12" s="1"/>
  <c r="F12" i="27"/>
  <c r="E53" i="25"/>
  <c r="I121" i="25"/>
  <c r="H99" i="15" a="1"/>
  <c r="H101" i="15" s="1"/>
  <c r="M101" i="12"/>
  <c r="N101" i="12" s="1"/>
  <c r="H81" i="15" a="1"/>
  <c r="H81" i="15" s="1"/>
  <c r="J51" i="15" a="1"/>
  <c r="J52" i="15" s="1"/>
  <c r="I51" i="15" a="1"/>
  <c r="I51" i="15" s="1"/>
  <c r="M123" i="15"/>
  <c r="N123" i="15"/>
  <c r="O123" i="15"/>
  <c r="BS123" i="15"/>
  <c r="E230" i="12"/>
  <c r="B230" i="12" s="1"/>
  <c r="E232" i="12"/>
  <c r="B232" i="12" s="1"/>
  <c r="E235" i="12"/>
  <c r="B235" i="12" s="1"/>
  <c r="E236" i="12"/>
  <c r="B236" i="12" s="1"/>
  <c r="C162" i="18" s="1"/>
  <c r="E237" i="12"/>
  <c r="B237" i="12" s="1"/>
  <c r="C161" i="18" s="1"/>
  <c r="E238" i="12"/>
  <c r="B238" i="12" s="1"/>
  <c r="C160" i="18" s="1"/>
  <c r="E231" i="12"/>
  <c r="B231" i="12" s="1"/>
  <c r="B156" i="12"/>
  <c r="H57" i="17"/>
  <c r="G57" i="17"/>
  <c r="I29" i="25"/>
  <c r="K25" i="25"/>
  <c r="L25" i="25" s="1"/>
  <c r="K26" i="25"/>
  <c r="L26" i="25" s="1"/>
  <c r="K27" i="25"/>
  <c r="L27" i="25" s="1"/>
  <c r="K24" i="25"/>
  <c r="L24" i="25" s="1"/>
  <c r="E29" i="25"/>
  <c r="F46" i="12" s="1"/>
  <c r="H46" i="12"/>
  <c r="C33" i="27"/>
  <c r="J99" i="15" a="1"/>
  <c r="J100" i="15" s="1"/>
  <c r="J81" i="15" a="1"/>
  <c r="J84" i="15" s="1"/>
  <c r="J57" i="15" a="1"/>
  <c r="J60" i="15" s="1"/>
  <c r="J33" i="15" a="1"/>
  <c r="J33" i="15" s="1"/>
  <c r="J27" i="15" a="1"/>
  <c r="J27" i="15" s="1"/>
  <c r="J21" i="15" a="1"/>
  <c r="J15" i="15" a="1"/>
  <c r="J15" i="15" s="1"/>
  <c r="J9" i="15" a="1"/>
  <c r="J9" i="15" s="1"/>
  <c r="J3" i="15" a="1"/>
  <c r="J6" i="15" s="1"/>
  <c r="F59" i="12"/>
  <c r="D59" i="12" s="1"/>
  <c r="L59" i="12" s="1"/>
  <c r="E204" i="12"/>
  <c r="D204" i="12"/>
  <c r="C91" i="18"/>
  <c r="C90" i="18"/>
  <c r="C85" i="18"/>
  <c r="C84" i="18"/>
  <c r="C83" i="18"/>
  <c r="C82" i="18"/>
  <c r="C81" i="18"/>
  <c r="B204" i="12"/>
  <c r="B21" i="5"/>
  <c r="AB97" i="12"/>
  <c r="AA97" i="12"/>
  <c r="AB94" i="12"/>
  <c r="AB96" i="12"/>
  <c r="AA96" i="12"/>
  <c r="C20" i="12"/>
  <c r="I21" i="12"/>
  <c r="H20" i="12"/>
  <c r="H21" i="12"/>
  <c r="O121" i="25"/>
  <c r="K121" i="25"/>
  <c r="J121" i="25"/>
  <c r="H121" i="25"/>
  <c r="H53" i="25"/>
  <c r="I53" i="25"/>
  <c r="J53" i="25"/>
  <c r="K53" i="25"/>
  <c r="D19" i="12"/>
  <c r="L19" i="12" s="1"/>
  <c r="L117" i="25"/>
  <c r="L121" i="25" s="1"/>
  <c r="L53" i="25"/>
  <c r="L11" i="25"/>
  <c r="L17" i="25" s="1"/>
  <c r="I96" i="12"/>
  <c r="C96" i="12" s="1"/>
  <c r="I97" i="12"/>
  <c r="C97" i="12" s="1"/>
  <c r="H96" i="12"/>
  <c r="C124" i="12" s="1"/>
  <c r="H97" i="12"/>
  <c r="I33" i="15" a="1"/>
  <c r="I33" i="15" s="1"/>
  <c r="I27" i="15" a="1"/>
  <c r="I28" i="15" s="1"/>
  <c r="I21" i="15" a="1"/>
  <c r="I23" i="15" s="1"/>
  <c r="I15" i="15" a="1"/>
  <c r="I15" i="15" s="1"/>
  <c r="H93" i="15" a="1"/>
  <c r="H95" i="15" s="1"/>
  <c r="H57" i="15" a="1"/>
  <c r="H57" i="15" s="1"/>
  <c r="H51" i="15" a="1"/>
  <c r="H33" i="15" a="1"/>
  <c r="H37" i="15" s="1"/>
  <c r="H27" i="15" a="1"/>
  <c r="H29" i="15" s="1"/>
  <c r="H21" i="15" a="1"/>
  <c r="H25" i="15" s="1"/>
  <c r="H15" i="15" a="1"/>
  <c r="H15" i="15" s="1"/>
  <c r="I9" i="15" a="1"/>
  <c r="I9" i="15" s="1"/>
  <c r="H9" i="15" a="1"/>
  <c r="H13" i="15" s="1"/>
  <c r="I3" i="15" a="1"/>
  <c r="I5" i="15" s="1"/>
  <c r="H3" i="15" a="1"/>
  <c r="H4" i="15" s="1"/>
  <c r="B564" i="12"/>
  <c r="B568" i="12"/>
  <c r="V91" i="12"/>
  <c r="H559" i="12"/>
  <c r="C559" i="12"/>
  <c r="V88" i="12" s="1"/>
  <c r="B559" i="12"/>
  <c r="V87" i="12" s="1"/>
  <c r="E550" i="12"/>
  <c r="V84" i="12"/>
  <c r="D550" i="12"/>
  <c r="V85" i="12" s="1"/>
  <c r="B550" i="12"/>
  <c r="V83" i="12" s="1"/>
  <c r="H555" i="12"/>
  <c r="F555" i="12"/>
  <c r="V43" i="12" s="1"/>
  <c r="V67" i="12" s="1"/>
  <c r="D555" i="12"/>
  <c r="V13" i="12" s="1"/>
  <c r="B555" i="12"/>
  <c r="V11" i="12" s="1"/>
  <c r="C533" i="12"/>
  <c r="C555" i="12" s="1"/>
  <c r="E546" i="12"/>
  <c r="V10" i="12" s="1"/>
  <c r="C546" i="12"/>
  <c r="V36" i="12" s="1"/>
  <c r="V60" i="12" s="1"/>
  <c r="D546" i="12"/>
  <c r="V37" i="12" s="1"/>
  <c r="V61" i="12" s="1"/>
  <c r="B546" i="12"/>
  <c r="V35" i="12" s="1"/>
  <c r="AA94" i="12"/>
  <c r="I94" i="12"/>
  <c r="C94" i="12" s="1"/>
  <c r="H94" i="12"/>
  <c r="I18" i="12"/>
  <c r="H18" i="12"/>
  <c r="J17" i="25"/>
  <c r="D18" i="12"/>
  <c r="L18" i="12" s="1"/>
  <c r="K17" i="25"/>
  <c r="I17" i="25"/>
  <c r="H17" i="25"/>
  <c r="C148" i="15"/>
  <c r="I84" i="12"/>
  <c r="C84" i="12" s="1"/>
  <c r="I85" i="12"/>
  <c r="C85" i="12" s="1"/>
  <c r="I86" i="12"/>
  <c r="C86" i="12" s="1"/>
  <c r="I87" i="12"/>
  <c r="C87" i="12" s="1"/>
  <c r="I88" i="12"/>
  <c r="I89" i="12"/>
  <c r="I91" i="12"/>
  <c r="I92" i="12"/>
  <c r="C92" i="12" s="1"/>
  <c r="I99" i="12"/>
  <c r="C99" i="12" s="1"/>
  <c r="I100" i="12"/>
  <c r="C100" i="12" s="1"/>
  <c r="I101" i="12"/>
  <c r="C101" i="12" s="1"/>
  <c r="I83" i="12"/>
  <c r="C83" i="12" s="1"/>
  <c r="H84" i="12"/>
  <c r="H85" i="12"/>
  <c r="H86" i="12"/>
  <c r="H87" i="12"/>
  <c r="H88" i="12"/>
  <c r="H89" i="12"/>
  <c r="E89" i="12" s="1"/>
  <c r="H91" i="12"/>
  <c r="H92" i="12"/>
  <c r="H99" i="12"/>
  <c r="H100" i="12"/>
  <c r="H101" i="12"/>
  <c r="H83" i="12"/>
  <c r="F184" i="9"/>
  <c r="F164" i="9"/>
  <c r="M100" i="12"/>
  <c r="N100" i="12" s="1"/>
  <c r="B643" i="12"/>
  <c r="D198" i="12"/>
  <c r="B198" i="12"/>
  <c r="C481" i="12"/>
  <c r="U40" i="12" s="1"/>
  <c r="U64" i="12" s="1"/>
  <c r="B153" i="12"/>
  <c r="B154" i="12"/>
  <c r="B155" i="12"/>
  <c r="B152" i="12"/>
  <c r="B149" i="12"/>
  <c r="B150" i="12"/>
  <c r="B148" i="12"/>
  <c r="F151" i="12"/>
  <c r="E148" i="12"/>
  <c r="E149" i="12"/>
  <c r="E150" i="12"/>
  <c r="E151" i="12"/>
  <c r="E147" i="12"/>
  <c r="F148" i="12"/>
  <c r="F149" i="12"/>
  <c r="F150" i="12"/>
  <c r="AB86" i="12"/>
  <c r="AB85" i="12"/>
  <c r="AA86" i="12"/>
  <c r="AA85" i="12"/>
  <c r="U16" i="12"/>
  <c r="U15" i="12"/>
  <c r="U13" i="12"/>
  <c r="U10" i="12"/>
  <c r="U9" i="12"/>
  <c r="U43" i="12"/>
  <c r="U67" i="12" s="1"/>
  <c r="U41" i="12"/>
  <c r="U65" i="12" s="1"/>
  <c r="U39" i="12"/>
  <c r="U38" i="12"/>
  <c r="U62" i="12" s="1"/>
  <c r="U37" i="12"/>
  <c r="U61" i="12" s="1"/>
  <c r="U36" i="12"/>
  <c r="U35" i="12"/>
  <c r="U44" i="12"/>
  <c r="U68" i="12" s="1"/>
  <c r="B485" i="12"/>
  <c r="B486" i="12"/>
  <c r="U92" i="12"/>
  <c r="U91" i="12"/>
  <c r="U88" i="12"/>
  <c r="U87" i="12"/>
  <c r="U85" i="12"/>
  <c r="U84" i="12"/>
  <c r="U83" i="12"/>
  <c r="F25" i="9"/>
  <c r="S101" i="15"/>
  <c r="S100" i="15"/>
  <c r="S99" i="15"/>
  <c r="S95" i="15"/>
  <c r="S94" i="15"/>
  <c r="S93" i="15"/>
  <c r="S83" i="15"/>
  <c r="S82" i="15"/>
  <c r="S81" i="15"/>
  <c r="S59" i="15"/>
  <c r="S58" i="15"/>
  <c r="S57" i="15"/>
  <c r="S53" i="15"/>
  <c r="S52" i="15"/>
  <c r="S51" i="15"/>
  <c r="S35" i="15"/>
  <c r="S34" i="15"/>
  <c r="S33" i="15"/>
  <c r="S29" i="15"/>
  <c r="S28" i="15"/>
  <c r="S27" i="15"/>
  <c r="S23" i="15"/>
  <c r="S21" i="15"/>
  <c r="S17" i="15"/>
  <c r="S16" i="15"/>
  <c r="S15" i="15"/>
  <c r="S11" i="15"/>
  <c r="S10" i="15"/>
  <c r="S9" i="15"/>
  <c r="K193" i="9"/>
  <c r="R16" i="12" s="1"/>
  <c r="S16" i="12" s="1"/>
  <c r="K53" i="9"/>
  <c r="R8" i="12" s="1"/>
  <c r="S8" i="12" s="1"/>
  <c r="C33" i="5"/>
  <c r="E124" i="9"/>
  <c r="E193" i="9"/>
  <c r="J184" i="9"/>
  <c r="K44" i="12" s="1"/>
  <c r="X44" i="12" s="1"/>
  <c r="J164" i="9"/>
  <c r="K43" i="12" s="1"/>
  <c r="X43" i="12" s="1"/>
  <c r="J144" i="9"/>
  <c r="K41" i="12" s="1"/>
  <c r="X41" i="12" s="1"/>
  <c r="J124" i="9"/>
  <c r="K40" i="12" s="1"/>
  <c r="X40" i="12" s="1"/>
  <c r="K184" i="9"/>
  <c r="R44" i="12" s="1"/>
  <c r="S44" i="12" s="1"/>
  <c r="K164" i="9"/>
  <c r="R43" i="12" s="1"/>
  <c r="S43" i="12" s="1"/>
  <c r="K144" i="9"/>
  <c r="R41" i="12" s="1"/>
  <c r="S41" i="12" s="1"/>
  <c r="K124" i="9"/>
  <c r="R40" i="12" s="1"/>
  <c r="S40" i="12" s="1"/>
  <c r="K173" i="9"/>
  <c r="R15" i="12" s="1"/>
  <c r="S15" i="12" s="1"/>
  <c r="K153" i="9"/>
  <c r="R13" i="12" s="1"/>
  <c r="S13" i="12" s="1"/>
  <c r="K133" i="9"/>
  <c r="R12" i="12" s="1"/>
  <c r="S12" i="12" s="1"/>
  <c r="K113" i="9"/>
  <c r="R11" i="12" s="1"/>
  <c r="S11" i="12" s="1"/>
  <c r="K93" i="9"/>
  <c r="R10" i="12" s="1"/>
  <c r="S10" i="12" s="1"/>
  <c r="J193" i="9"/>
  <c r="K16" i="12" s="1"/>
  <c r="X16" i="12" s="1"/>
  <c r="J173" i="9"/>
  <c r="K15" i="12" s="1"/>
  <c r="X15" i="12" s="1"/>
  <c r="J153" i="9"/>
  <c r="K13" i="12" s="1"/>
  <c r="J133" i="9"/>
  <c r="K12" i="12" s="1"/>
  <c r="F144" i="9"/>
  <c r="F41" i="12" s="1"/>
  <c r="F124" i="9"/>
  <c r="E184" i="9"/>
  <c r="E164" i="9"/>
  <c r="E144" i="9"/>
  <c r="D41" i="12" s="1"/>
  <c r="L41" i="12" s="1"/>
  <c r="F193" i="9"/>
  <c r="F173" i="9"/>
  <c r="F153" i="9"/>
  <c r="F133" i="9"/>
  <c r="E173" i="9"/>
  <c r="E153" i="9"/>
  <c r="E133" i="9"/>
  <c r="J113" i="9"/>
  <c r="J104" i="9"/>
  <c r="I193" i="9"/>
  <c r="I184" i="9"/>
  <c r="I173" i="9"/>
  <c r="I164" i="9"/>
  <c r="I153" i="9"/>
  <c r="I144" i="9"/>
  <c r="I133" i="9"/>
  <c r="I124" i="9"/>
  <c r="K104" i="9"/>
  <c r="R39" i="12" s="1"/>
  <c r="S39" i="12" s="1"/>
  <c r="I113" i="9"/>
  <c r="I104" i="9"/>
  <c r="F53" i="9"/>
  <c r="F44" i="9"/>
  <c r="F45" i="9" s="1"/>
  <c r="F93" i="9"/>
  <c r="F84" i="9"/>
  <c r="F85" i="9" s="1"/>
  <c r="F23" i="12"/>
  <c r="C28" i="27"/>
  <c r="F73" i="9"/>
  <c r="F64" i="9"/>
  <c r="F65" i="9" s="1"/>
  <c r="F113" i="9"/>
  <c r="F104" i="9"/>
  <c r="K44" i="9"/>
  <c r="R36" i="12" s="1"/>
  <c r="S36" i="12" s="1"/>
  <c r="K84" i="9"/>
  <c r="R38" i="12" s="1"/>
  <c r="S38" i="12" s="1"/>
  <c r="K73" i="9"/>
  <c r="R9" i="12" s="1"/>
  <c r="S9" i="12" s="1"/>
  <c r="J25" i="9"/>
  <c r="K35" i="12" s="1"/>
  <c r="X35" i="12" s="1"/>
  <c r="AB100" i="12"/>
  <c r="AA100" i="12"/>
  <c r="F68" i="11"/>
  <c r="F69" i="11"/>
  <c r="F70" i="11"/>
  <c r="F72" i="11" s="1"/>
  <c r="F71" i="11"/>
  <c r="AB101" i="12"/>
  <c r="I53" i="11"/>
  <c r="M50" i="11"/>
  <c r="M49" i="11"/>
  <c r="M48" i="11"/>
  <c r="M47" i="11"/>
  <c r="N47" i="11" s="1"/>
  <c r="M51" i="11"/>
  <c r="J48" i="11"/>
  <c r="M52" i="11"/>
  <c r="N52" i="11" s="1"/>
  <c r="H35" i="12"/>
  <c r="H8" i="12"/>
  <c r="H9" i="12"/>
  <c r="H10" i="12"/>
  <c r="H11" i="12"/>
  <c r="H12" i="12"/>
  <c r="H13" i="12"/>
  <c r="H15" i="12"/>
  <c r="H16" i="12"/>
  <c r="H23" i="12"/>
  <c r="H24" i="12"/>
  <c r="H25" i="12"/>
  <c r="H36" i="12"/>
  <c r="H37" i="12"/>
  <c r="H38" i="12"/>
  <c r="H39" i="12"/>
  <c r="H40" i="12"/>
  <c r="H41" i="12"/>
  <c r="H43" i="12"/>
  <c r="H44" i="12"/>
  <c r="I36" i="12"/>
  <c r="I37" i="12"/>
  <c r="I38" i="12"/>
  <c r="I39" i="12"/>
  <c r="I40" i="12"/>
  <c r="I41" i="12"/>
  <c r="I43" i="12"/>
  <c r="I44" i="12"/>
  <c r="I35" i="12"/>
  <c r="I9" i="12"/>
  <c r="I10" i="12"/>
  <c r="I11" i="12"/>
  <c r="I12" i="12"/>
  <c r="I13" i="12"/>
  <c r="I15" i="12"/>
  <c r="I16" i="12"/>
  <c r="I23" i="12"/>
  <c r="I24" i="12"/>
  <c r="I25" i="12"/>
  <c r="I8" i="12"/>
  <c r="AB99" i="12"/>
  <c r="AA99" i="12"/>
  <c r="J50" i="11"/>
  <c r="K50" i="11" s="1"/>
  <c r="J49" i="11"/>
  <c r="K49" i="11" s="1"/>
  <c r="K3" i="11"/>
  <c r="K47" i="11"/>
  <c r="K48" i="11"/>
  <c r="AB92" i="12"/>
  <c r="AA92" i="12"/>
  <c r="K21" i="11"/>
  <c r="M21" i="11"/>
  <c r="N21" i="11"/>
  <c r="AB91" i="12"/>
  <c r="AA91" i="12"/>
  <c r="M18" i="11"/>
  <c r="N18" i="11"/>
  <c r="K18" i="11"/>
  <c r="AB87" i="12"/>
  <c r="AB88" i="12"/>
  <c r="AA87" i="12"/>
  <c r="AA88" i="12"/>
  <c r="AB83" i="12"/>
  <c r="AA83" i="12"/>
  <c r="AB84" i="12"/>
  <c r="AA84" i="12"/>
  <c r="K4" i="11"/>
  <c r="K5" i="11"/>
  <c r="K6" i="11"/>
  <c r="K7" i="11"/>
  <c r="K8" i="11"/>
  <c r="K9" i="11"/>
  <c r="K10" i="11"/>
  <c r="K11" i="11"/>
  <c r="K12" i="11"/>
  <c r="K13" i="11"/>
  <c r="K15" i="11"/>
  <c r="K16" i="11"/>
  <c r="K19" i="11"/>
  <c r="K20" i="11"/>
  <c r="E64" i="9"/>
  <c r="E44" i="9"/>
  <c r="K11" i="12"/>
  <c r="K39" i="12"/>
  <c r="J84" i="9"/>
  <c r="K38" i="12" s="1"/>
  <c r="X38" i="12" s="1"/>
  <c r="J93" i="9"/>
  <c r="K10" i="12" s="1"/>
  <c r="X10" i="12" s="1"/>
  <c r="M91" i="12"/>
  <c r="N91" i="12" s="1"/>
  <c r="N82" i="8"/>
  <c r="K25" i="12" s="1"/>
  <c r="N58" i="8"/>
  <c r="K24" i="12" s="1"/>
  <c r="N34" i="8"/>
  <c r="K23" i="12" s="1"/>
  <c r="D25" i="12"/>
  <c r="D24" i="12"/>
  <c r="D23" i="12"/>
  <c r="J73" i="9"/>
  <c r="K9" i="12" s="1"/>
  <c r="X9" i="12" s="1"/>
  <c r="J64" i="9"/>
  <c r="K37" i="12" s="1"/>
  <c r="X37" i="12" s="1"/>
  <c r="J44" i="9"/>
  <c r="K36" i="12" s="1"/>
  <c r="A323" i="12"/>
  <c r="F38" i="12"/>
  <c r="F37" i="12"/>
  <c r="F36" i="12"/>
  <c r="E84" i="9"/>
  <c r="D35" i="12"/>
  <c r="L35" i="12" s="1"/>
  <c r="J53" i="9"/>
  <c r="K8" i="12" s="1"/>
  <c r="X8" i="12" s="1"/>
  <c r="F10" i="12"/>
  <c r="E93" i="9"/>
  <c r="E73" i="9"/>
  <c r="E53" i="9"/>
  <c r="M20" i="11"/>
  <c r="N20" i="11" s="1"/>
  <c r="M19" i="11"/>
  <c r="N19" i="11" s="1"/>
  <c r="M13" i="11"/>
  <c r="N13" i="11" s="1"/>
  <c r="M8" i="11"/>
  <c r="N8" i="11" s="1"/>
  <c r="M16" i="11"/>
  <c r="N16" i="11" s="1"/>
  <c r="M15" i="11"/>
  <c r="N15" i="11" s="1"/>
  <c r="M12" i="11"/>
  <c r="N12" i="11" s="1"/>
  <c r="M5" i="11"/>
  <c r="N5" i="11" s="1"/>
  <c r="M11" i="11"/>
  <c r="N11" i="11" s="1"/>
  <c r="M4" i="11"/>
  <c r="N4" i="11" s="1"/>
  <c r="M6" i="11"/>
  <c r="N6" i="11" s="1"/>
  <c r="M9" i="11"/>
  <c r="N9" i="11" s="1"/>
  <c r="M3" i="11"/>
  <c r="N3" i="11" s="1"/>
  <c r="M10" i="11"/>
  <c r="N10" i="11" s="1"/>
  <c r="M7" i="11"/>
  <c r="N7" i="11" s="1"/>
  <c r="I84" i="9"/>
  <c r="I93" i="9"/>
  <c r="I73" i="9"/>
  <c r="I64" i="9"/>
  <c r="I44" i="9"/>
  <c r="I25" i="9"/>
  <c r="I53" i="9"/>
  <c r="E104" i="9"/>
  <c r="F11" i="12"/>
  <c r="E113" i="9"/>
  <c r="M82" i="8"/>
  <c r="L82" i="8"/>
  <c r="K82" i="8"/>
  <c r="J82" i="8"/>
  <c r="L58" i="8"/>
  <c r="J58" i="8"/>
  <c r="K58" i="8"/>
  <c r="M58" i="8"/>
  <c r="J34" i="8"/>
  <c r="K34" i="8"/>
  <c r="L34" i="8"/>
  <c r="M34" i="8"/>
  <c r="F12" i="12"/>
  <c r="F15" i="12"/>
  <c r="F35" i="12"/>
  <c r="G52" i="11" l="1"/>
  <c r="G51" i="11"/>
  <c r="I51" i="11" s="1"/>
  <c r="M36" i="12"/>
  <c r="X36" i="12"/>
  <c r="L25" i="12"/>
  <c r="X25" i="12"/>
  <c r="M39" i="12"/>
  <c r="X39" i="12"/>
  <c r="C16" i="27"/>
  <c r="D16" i="27" s="1"/>
  <c r="F63" i="12" s="1"/>
  <c r="F114" i="9"/>
  <c r="C13" i="27"/>
  <c r="D13" i="27" s="1"/>
  <c r="F60" i="12" s="1"/>
  <c r="F54" i="9"/>
  <c r="D15" i="12"/>
  <c r="L15" i="12" s="1"/>
  <c r="E174" i="9"/>
  <c r="C20" i="27"/>
  <c r="D20" i="27" s="1"/>
  <c r="F194" i="9"/>
  <c r="F40" i="12"/>
  <c r="F125" i="9"/>
  <c r="D40" i="12"/>
  <c r="L40" i="12" s="1"/>
  <c r="E125" i="9"/>
  <c r="D11" i="12"/>
  <c r="L11" i="12" s="1"/>
  <c r="E114" i="9"/>
  <c r="D8" i="12"/>
  <c r="L8" i="12" s="1"/>
  <c r="E54" i="9"/>
  <c r="X11" i="12"/>
  <c r="C17" i="27"/>
  <c r="D17" i="27" s="1"/>
  <c r="F64" i="12" s="1"/>
  <c r="F134" i="9"/>
  <c r="F26" i="9"/>
  <c r="F145" i="9"/>
  <c r="F43" i="12"/>
  <c r="F165" i="9"/>
  <c r="D9" i="12"/>
  <c r="L9" i="12" s="1"/>
  <c r="E74" i="9"/>
  <c r="L23" i="12"/>
  <c r="X23" i="12"/>
  <c r="D36" i="12"/>
  <c r="L36" i="12" s="1"/>
  <c r="E45" i="9"/>
  <c r="C15" i="27"/>
  <c r="D15" i="27" s="1"/>
  <c r="F62" i="12" s="1"/>
  <c r="F94" i="9"/>
  <c r="D12" i="12"/>
  <c r="L12" i="12" s="1"/>
  <c r="E134" i="9"/>
  <c r="F13" i="12"/>
  <c r="F154" i="9"/>
  <c r="D43" i="12"/>
  <c r="L43" i="12" s="1"/>
  <c r="E165" i="9"/>
  <c r="X12" i="12"/>
  <c r="F44" i="12"/>
  <c r="F185" i="9"/>
  <c r="D39" i="12"/>
  <c r="L39" i="12" s="1"/>
  <c r="E105" i="9"/>
  <c r="D10" i="12"/>
  <c r="L10" i="12" s="1"/>
  <c r="E94" i="9"/>
  <c r="D38" i="12"/>
  <c r="L38" i="12" s="1"/>
  <c r="E85" i="9"/>
  <c r="X24" i="12"/>
  <c r="L24" i="12"/>
  <c r="D37" i="12"/>
  <c r="L37" i="12" s="1"/>
  <c r="E65" i="9"/>
  <c r="F39" i="12"/>
  <c r="F105" i="9"/>
  <c r="D13" i="12"/>
  <c r="L13" i="12" s="1"/>
  <c r="E154" i="9"/>
  <c r="C19" i="27"/>
  <c r="D19" i="27" s="1"/>
  <c r="F67" i="12" s="1"/>
  <c r="F174" i="9"/>
  <c r="D44" i="12"/>
  <c r="L44" i="12" s="1"/>
  <c r="E185" i="9"/>
  <c r="X13" i="12"/>
  <c r="S59" i="12"/>
  <c r="R59" i="12"/>
  <c r="G95" i="15"/>
  <c r="AQ95" i="15"/>
  <c r="C164" i="18"/>
  <c r="D16" i="12"/>
  <c r="L16" i="12" s="1"/>
  <c r="E194" i="9"/>
  <c r="E197" i="9" s="1"/>
  <c r="CB118" i="15"/>
  <c r="CB105" i="15"/>
  <c r="CC105" i="15" s="1"/>
  <c r="CB119" i="15"/>
  <c r="CB111" i="15"/>
  <c r="CB117" i="15"/>
  <c r="CB112" i="15"/>
  <c r="CB115" i="15"/>
  <c r="CB121" i="15"/>
  <c r="CB108" i="15"/>
  <c r="CB107" i="15"/>
  <c r="CB114" i="15"/>
  <c r="CB109" i="15"/>
  <c r="CB106" i="15"/>
  <c r="CB113" i="15"/>
  <c r="CB120" i="15"/>
  <c r="CA117" i="15"/>
  <c r="CA105" i="15"/>
  <c r="CA111" i="15"/>
  <c r="CA121" i="15"/>
  <c r="CA118" i="15"/>
  <c r="CA115" i="15"/>
  <c r="CA112" i="15"/>
  <c r="CA120" i="15"/>
  <c r="CA114" i="15"/>
  <c r="CA109" i="15"/>
  <c r="CA107" i="15"/>
  <c r="CA108" i="15"/>
  <c r="CA106" i="15"/>
  <c r="CA119" i="15"/>
  <c r="CA113" i="15"/>
  <c r="CC106" i="15"/>
  <c r="CC107" i="15"/>
  <c r="CC108" i="15"/>
  <c r="CC109" i="15"/>
  <c r="CC120" i="15"/>
  <c r="CC119" i="15"/>
  <c r="CC111" i="15"/>
  <c r="CC115" i="15"/>
  <c r="CC114" i="15"/>
  <c r="CC118" i="15"/>
  <c r="CC121" i="15"/>
  <c r="CC113" i="15"/>
  <c r="CC117" i="15"/>
  <c r="CC112" i="15"/>
  <c r="D489" i="12"/>
  <c r="U127" i="12" s="1"/>
  <c r="D571" i="12"/>
  <c r="V127" i="12" s="1"/>
  <c r="E129" i="12"/>
  <c r="C129" i="12"/>
  <c r="C46" i="12"/>
  <c r="C111" i="18"/>
  <c r="E111" i="18" s="1"/>
  <c r="BY109" i="15"/>
  <c r="BY105" i="15"/>
  <c r="BY115" i="15"/>
  <c r="BY113" i="15"/>
  <c r="BY111" i="15"/>
  <c r="BY119" i="15"/>
  <c r="BY108" i="15"/>
  <c r="BY118" i="15"/>
  <c r="BY120" i="15"/>
  <c r="BY107" i="15"/>
  <c r="BY114" i="15"/>
  <c r="BY112" i="15"/>
  <c r="BY121" i="15"/>
  <c r="BY106" i="15"/>
  <c r="C104" i="18"/>
  <c r="E104" i="18" s="1"/>
  <c r="S123" i="15"/>
  <c r="BG81" i="15"/>
  <c r="BG94" i="15"/>
  <c r="BG101" i="15"/>
  <c r="BG100" i="15"/>
  <c r="BG82" i="15"/>
  <c r="BG95" i="15"/>
  <c r="BG93" i="15"/>
  <c r="BG83" i="15"/>
  <c r="BG99" i="15"/>
  <c r="AE95" i="15"/>
  <c r="AE93" i="15"/>
  <c r="AE94" i="15"/>
  <c r="G15" i="15"/>
  <c r="C249" i="12"/>
  <c r="C250" i="12" s="1"/>
  <c r="C251" i="12" s="1"/>
  <c r="C252" i="12" s="1"/>
  <c r="E374" i="12"/>
  <c r="G410" i="12"/>
  <c r="G427" i="12" s="1"/>
  <c r="F374" i="12"/>
  <c r="L410" i="12"/>
  <c r="L427" i="12" s="1"/>
  <c r="J410" i="12"/>
  <c r="J427" i="12" s="1"/>
  <c r="CB28" i="15"/>
  <c r="CC28" i="15" s="1"/>
  <c r="CB27" i="15"/>
  <c r="CC27" i="15" s="1"/>
  <c r="CA29" i="15"/>
  <c r="CA31" i="15"/>
  <c r="CB29" i="15"/>
  <c r="CC29" i="15" s="1"/>
  <c r="CA30" i="15"/>
  <c r="CA27" i="15"/>
  <c r="CB30" i="15"/>
  <c r="CC30" i="15" s="1"/>
  <c r="CB31" i="15"/>
  <c r="CC31" i="15" s="1"/>
  <c r="CA28" i="15"/>
  <c r="CB53" i="15"/>
  <c r="CC53" i="15" s="1"/>
  <c r="CA52" i="15"/>
  <c r="CA51" i="15"/>
  <c r="CA54" i="15"/>
  <c r="CB52" i="15"/>
  <c r="CC52" i="15" s="1"/>
  <c r="CB54" i="15"/>
  <c r="CC54" i="15" s="1"/>
  <c r="CA53" i="15"/>
  <c r="CB55" i="15"/>
  <c r="CC55" i="15" s="1"/>
  <c r="CB51" i="15"/>
  <c r="CC51" i="15" s="1"/>
  <c r="CA55" i="15"/>
  <c r="CB46" i="15"/>
  <c r="CB45" i="15"/>
  <c r="CB4" i="15"/>
  <c r="CC4" i="15" s="1"/>
  <c r="CB3" i="15"/>
  <c r="CC3" i="15" s="1"/>
  <c r="CB48" i="15"/>
  <c r="CB49" i="15"/>
  <c r="CB47" i="15"/>
  <c r="CB5" i="15"/>
  <c r="CC5" i="15" s="1"/>
  <c r="CB6" i="15"/>
  <c r="CC6" i="15" s="1"/>
  <c r="CB7" i="15"/>
  <c r="CC7" i="15" s="1"/>
  <c r="CA49" i="15"/>
  <c r="CA7" i="15"/>
  <c r="CA45" i="15"/>
  <c r="CA3" i="15"/>
  <c r="CA46" i="15"/>
  <c r="CA4" i="15"/>
  <c r="CA47" i="15"/>
  <c r="CA5" i="15"/>
  <c r="CA48" i="15"/>
  <c r="CA6" i="15"/>
  <c r="CB25" i="15"/>
  <c r="CC25" i="15" s="1"/>
  <c r="CA24" i="15"/>
  <c r="CB23" i="15"/>
  <c r="CC23" i="15" s="1"/>
  <c r="CA22" i="15"/>
  <c r="CA21" i="15"/>
  <c r="CB24" i="15"/>
  <c r="CC24" i="15" s="1"/>
  <c r="CB22" i="15"/>
  <c r="CC22" i="15" s="1"/>
  <c r="CB21" i="15"/>
  <c r="CC21" i="15" s="1"/>
  <c r="CA25" i="15"/>
  <c r="CA23" i="15"/>
  <c r="CB35" i="15"/>
  <c r="CC35" i="15" s="1"/>
  <c r="CA36" i="15"/>
  <c r="CB37" i="15"/>
  <c r="CC37" i="15" s="1"/>
  <c r="CA34" i="15"/>
  <c r="CB33" i="15"/>
  <c r="CC33" i="15" s="1"/>
  <c r="CB36" i="15"/>
  <c r="CC36" i="15" s="1"/>
  <c r="CA37" i="15"/>
  <c r="CA33" i="15"/>
  <c r="CB34" i="15"/>
  <c r="CC34" i="15" s="1"/>
  <c r="CA35" i="15"/>
  <c r="U63" i="12"/>
  <c r="BN29" i="15" s="1"/>
  <c r="BO29" i="15" s="1"/>
  <c r="U60" i="12"/>
  <c r="BN11" i="15" s="1"/>
  <c r="BO11" i="15" s="1"/>
  <c r="BN22" i="15"/>
  <c r="BO22" i="15" s="1"/>
  <c r="BN21" i="15"/>
  <c r="BO21" i="15" s="1"/>
  <c r="BN23" i="15"/>
  <c r="BO23" i="15" s="1"/>
  <c r="BN52" i="15"/>
  <c r="BO52" i="15" s="1"/>
  <c r="BN51" i="15"/>
  <c r="BO51" i="15" s="1"/>
  <c r="BN53" i="15"/>
  <c r="BO53" i="15" s="1"/>
  <c r="U59" i="12"/>
  <c r="BN17" i="15"/>
  <c r="BO17" i="15" s="1"/>
  <c r="BN15" i="15"/>
  <c r="BO15" i="15" s="1"/>
  <c r="BN16" i="15"/>
  <c r="BO16" i="15" s="1"/>
  <c r="BN57" i="15"/>
  <c r="BO57" i="15" s="1"/>
  <c r="BN59" i="15"/>
  <c r="BO59" i="15" s="1"/>
  <c r="BN58" i="15"/>
  <c r="BO58" i="15" s="1"/>
  <c r="V59" i="12"/>
  <c r="BN7" i="15" s="1"/>
  <c r="BO7" i="15" s="1"/>
  <c r="AD72" i="15"/>
  <c r="AD69" i="15"/>
  <c r="AD70" i="15"/>
  <c r="AD71" i="15"/>
  <c r="AD73" i="15"/>
  <c r="M35" i="12"/>
  <c r="N35" i="12" s="1"/>
  <c r="BF35" i="15"/>
  <c r="BG35" i="15" s="1"/>
  <c r="BF36" i="15"/>
  <c r="BG36" i="15" s="1"/>
  <c r="BF37" i="15"/>
  <c r="BG37" i="15" s="1"/>
  <c r="BF34" i="15"/>
  <c r="BG34" i="15" s="1"/>
  <c r="BF33" i="15"/>
  <c r="BG33" i="15" s="1"/>
  <c r="AD75" i="15"/>
  <c r="AD79" i="15"/>
  <c r="AD76" i="15"/>
  <c r="AD77" i="15"/>
  <c r="AD78" i="15"/>
  <c r="D91" i="12"/>
  <c r="C91" i="12"/>
  <c r="BF4" i="15"/>
  <c r="BG4" i="15" s="1"/>
  <c r="BF3" i="15"/>
  <c r="BG3" i="15" s="1"/>
  <c r="BF5" i="15"/>
  <c r="BG5" i="15" s="1"/>
  <c r="BF6" i="15"/>
  <c r="BG6" i="15" s="1"/>
  <c r="BF7" i="15"/>
  <c r="BG7" i="15" s="1"/>
  <c r="BF42" i="15"/>
  <c r="BG42" i="15" s="1"/>
  <c r="BF43" i="15"/>
  <c r="BG43" i="15" s="1"/>
  <c r="BF40" i="15"/>
  <c r="BG40" i="15" s="1"/>
  <c r="BF39" i="15"/>
  <c r="BG39" i="15" s="1"/>
  <c r="BF41" i="15"/>
  <c r="BG41" i="15" s="1"/>
  <c r="D89" i="12"/>
  <c r="C89" i="12"/>
  <c r="BF18" i="15"/>
  <c r="BG18" i="15" s="1"/>
  <c r="BF19" i="15"/>
  <c r="BG19" i="15" s="1"/>
  <c r="BF16" i="15"/>
  <c r="BG16" i="15" s="1"/>
  <c r="BF15" i="15"/>
  <c r="BG15" i="15" s="1"/>
  <c r="BF17" i="15"/>
  <c r="BG17" i="15" s="1"/>
  <c r="BF22" i="15"/>
  <c r="BG22" i="15" s="1"/>
  <c r="BF25" i="15"/>
  <c r="BG25" i="15" s="1"/>
  <c r="BF23" i="15"/>
  <c r="BG23" i="15" s="1"/>
  <c r="BF21" i="15"/>
  <c r="BG21" i="15" s="1"/>
  <c r="BF24" i="15"/>
  <c r="BG24" i="15" s="1"/>
  <c r="BF52" i="15"/>
  <c r="BG52" i="15" s="1"/>
  <c r="BF51" i="15"/>
  <c r="BG51" i="15" s="1"/>
  <c r="BF53" i="15"/>
  <c r="BG53" i="15" s="1"/>
  <c r="BF54" i="15"/>
  <c r="BG54" i="15" s="1"/>
  <c r="BF55" i="15"/>
  <c r="BG55" i="15" s="1"/>
  <c r="M9" i="12"/>
  <c r="N9" i="12" s="1"/>
  <c r="BF11" i="15"/>
  <c r="BG11" i="15" s="1"/>
  <c r="BF12" i="15"/>
  <c r="BG12" i="15" s="1"/>
  <c r="BF13" i="15"/>
  <c r="BG13" i="15" s="1"/>
  <c r="BF10" i="15"/>
  <c r="BG10" i="15" s="1"/>
  <c r="BF9" i="15"/>
  <c r="BG9" i="15" s="1"/>
  <c r="D88" i="12"/>
  <c r="C88" i="12"/>
  <c r="BF28" i="15"/>
  <c r="BG28" i="15" s="1"/>
  <c r="BF27" i="15"/>
  <c r="BG27" i="15" s="1"/>
  <c r="BF29" i="15"/>
  <c r="BG29" i="15" s="1"/>
  <c r="BF30" i="15"/>
  <c r="BG30" i="15" s="1"/>
  <c r="BF31" i="15"/>
  <c r="BG31" i="15" s="1"/>
  <c r="BF59" i="15"/>
  <c r="BG59" i="15" s="1"/>
  <c r="BF60" i="15"/>
  <c r="BG60" i="15" s="1"/>
  <c r="BF61" i="15"/>
  <c r="BG61" i="15" s="1"/>
  <c r="BF58" i="15"/>
  <c r="BG58" i="15" s="1"/>
  <c r="BF57" i="15"/>
  <c r="BG57" i="15" s="1"/>
  <c r="E124" i="12"/>
  <c r="D124" i="12"/>
  <c r="E127" i="12"/>
  <c r="D127" i="12"/>
  <c r="C127" i="12"/>
  <c r="D129" i="12"/>
  <c r="D125" i="12"/>
  <c r="E125" i="12"/>
  <c r="C125" i="12"/>
  <c r="V92" i="12"/>
  <c r="Y92" i="12" s="1"/>
  <c r="C571" i="12"/>
  <c r="V86" i="12"/>
  <c r="Y86" i="12" s="1"/>
  <c r="B571" i="12"/>
  <c r="V99" i="12"/>
  <c r="V44" i="12"/>
  <c r="V68" i="12" s="1"/>
  <c r="V16" i="12"/>
  <c r="Y91" i="12"/>
  <c r="E486" i="12"/>
  <c r="U94" i="12" s="1"/>
  <c r="U99" i="12"/>
  <c r="D486" i="12"/>
  <c r="Y83" i="12"/>
  <c r="U51" i="12"/>
  <c r="E485" i="12"/>
  <c r="U23" i="12"/>
  <c r="U75" i="12"/>
  <c r="V51" i="12"/>
  <c r="V75" i="12"/>
  <c r="V23" i="12"/>
  <c r="Y23" i="12" s="1"/>
  <c r="C44" i="12"/>
  <c r="C486" i="12"/>
  <c r="Y104" i="12" s="1"/>
  <c r="C40" i="12"/>
  <c r="V9" i="12"/>
  <c r="C43" i="12"/>
  <c r="C41" i="12"/>
  <c r="C11" i="12"/>
  <c r="C37" i="12"/>
  <c r="C39" i="12"/>
  <c r="C38" i="12"/>
  <c r="C35" i="12"/>
  <c r="C36" i="12"/>
  <c r="C12" i="12"/>
  <c r="C13" i="12"/>
  <c r="C15" i="12"/>
  <c r="C10" i="12"/>
  <c r="C23" i="12"/>
  <c r="C14" i="27"/>
  <c r="D14" i="27" s="1"/>
  <c r="F61" i="12" s="1"/>
  <c r="F74" i="9"/>
  <c r="F197" i="9" s="1"/>
  <c r="F9" i="12"/>
  <c r="F8" i="12"/>
  <c r="K59" i="12"/>
  <c r="X59" i="12" s="1"/>
  <c r="F16" i="12"/>
  <c r="C18" i="27"/>
  <c r="D18" i="27" s="1"/>
  <c r="F65" i="12" s="1"/>
  <c r="CB42" i="15" s="1"/>
  <c r="CC42" i="15" s="1"/>
  <c r="C22" i="27"/>
  <c r="D22" i="27" s="1"/>
  <c r="K46" i="12"/>
  <c r="X46" i="12" s="1"/>
  <c r="F19" i="12"/>
  <c r="C19" i="12" s="1"/>
  <c r="C23" i="27"/>
  <c r="D23" i="27" s="1"/>
  <c r="K18" i="12"/>
  <c r="X18" i="12" s="1"/>
  <c r="C48" i="18"/>
  <c r="C52" i="18" s="1"/>
  <c r="C49" i="18"/>
  <c r="M8" i="12"/>
  <c r="N8" i="12" s="1"/>
  <c r="C153" i="18"/>
  <c r="T51" i="12"/>
  <c r="K65" i="12"/>
  <c r="X65" i="12" s="1"/>
  <c r="K61" i="12"/>
  <c r="X61" i="12" s="1"/>
  <c r="K64" i="12"/>
  <c r="X64" i="12" s="1"/>
  <c r="K60" i="12"/>
  <c r="X60" i="12" s="1"/>
  <c r="K68" i="12"/>
  <c r="X68" i="12" s="1"/>
  <c r="K63" i="12"/>
  <c r="X63" i="12" s="1"/>
  <c r="K67" i="12"/>
  <c r="X67" i="12" s="1"/>
  <c r="K62" i="12"/>
  <c r="X62" i="12" s="1"/>
  <c r="F24" i="12"/>
  <c r="C27" i="27"/>
  <c r="D27" i="27" s="1"/>
  <c r="F25" i="12"/>
  <c r="C25" i="12" s="1"/>
  <c r="C29" i="27"/>
  <c r="D29" i="27" s="1"/>
  <c r="F68" i="12"/>
  <c r="K21" i="12"/>
  <c r="K19" i="12"/>
  <c r="X19" i="12" s="1"/>
  <c r="D21" i="12"/>
  <c r="L21" i="12" s="1"/>
  <c r="F21" i="12"/>
  <c r="E39" i="12"/>
  <c r="Y13" i="12"/>
  <c r="V38" i="12"/>
  <c r="V62" i="12" s="1"/>
  <c r="Y88" i="12"/>
  <c r="V39" i="12"/>
  <c r="V63" i="12" s="1"/>
  <c r="Y84" i="12"/>
  <c r="Y10" i="12"/>
  <c r="V41" i="12"/>
  <c r="V65" i="12" s="1"/>
  <c r="AU41" i="15" s="1"/>
  <c r="AV41" i="15" s="1"/>
  <c r="D559" i="12"/>
  <c r="V89" i="12" s="1"/>
  <c r="Y87" i="12"/>
  <c r="U70" i="12"/>
  <c r="T60" i="12"/>
  <c r="F18" i="12"/>
  <c r="C112" i="18" s="1"/>
  <c r="D96" i="12"/>
  <c r="C25" i="27"/>
  <c r="D25" i="27" s="1"/>
  <c r="F73" i="12" s="1"/>
  <c r="M38" i="12"/>
  <c r="N38" i="12" s="1"/>
  <c r="U71" i="15"/>
  <c r="V71" i="15" s="1"/>
  <c r="U72" i="15"/>
  <c r="V72" i="15" s="1"/>
  <c r="U70" i="15"/>
  <c r="V70" i="15" s="1"/>
  <c r="U69" i="15"/>
  <c r="V69" i="15" s="1"/>
  <c r="U73" i="15"/>
  <c r="V73" i="15" s="1"/>
  <c r="AJ72" i="15"/>
  <c r="AK72" i="15" s="1"/>
  <c r="AJ73" i="15"/>
  <c r="AK73" i="15" s="1"/>
  <c r="AJ70" i="15"/>
  <c r="AK70" i="15" s="1"/>
  <c r="AJ69" i="15"/>
  <c r="AK69" i="15" s="1"/>
  <c r="AJ71" i="15"/>
  <c r="AK71" i="15" s="1"/>
  <c r="U78" i="15"/>
  <c r="V78" i="15" s="1"/>
  <c r="U79" i="15"/>
  <c r="V79" i="15" s="1"/>
  <c r="U76" i="15"/>
  <c r="V76" i="15" s="1"/>
  <c r="U75" i="15"/>
  <c r="V75" i="15" s="1"/>
  <c r="U77" i="15"/>
  <c r="V77" i="15" s="1"/>
  <c r="AQ41" i="15"/>
  <c r="AR41" i="15" s="1"/>
  <c r="AQ42" i="15"/>
  <c r="AR42" i="15" s="1"/>
  <c r="AQ43" i="15"/>
  <c r="AR43" i="15" s="1"/>
  <c r="AQ40" i="15"/>
  <c r="AR40" i="15" s="1"/>
  <c r="AQ39" i="15"/>
  <c r="AR39" i="15" s="1"/>
  <c r="D85" i="12"/>
  <c r="M11" i="12"/>
  <c r="N11" i="12" s="1"/>
  <c r="D84" i="12"/>
  <c r="N96" i="12"/>
  <c r="M85" i="12"/>
  <c r="N85" i="12" s="1"/>
  <c r="Y11" i="12"/>
  <c r="Y16" i="12"/>
  <c r="U12" i="12"/>
  <c r="M41" i="12"/>
  <c r="N41" i="12" s="1"/>
  <c r="M86" i="12"/>
  <c r="N86" i="12" s="1"/>
  <c r="E15" i="12"/>
  <c r="V8" i="12"/>
  <c r="Y85" i="12"/>
  <c r="E41" i="12"/>
  <c r="E43" i="12"/>
  <c r="M40" i="12"/>
  <c r="N40" i="12" s="1"/>
  <c r="E37" i="12"/>
  <c r="C553" i="12"/>
  <c r="D557" i="12" s="1"/>
  <c r="C554" i="12"/>
  <c r="D558" i="12" s="1"/>
  <c r="V12" i="12"/>
  <c r="V40" i="12"/>
  <c r="V64" i="12" s="1"/>
  <c r="V15" i="12"/>
  <c r="M15" i="12"/>
  <c r="N15" i="12" s="1"/>
  <c r="M12" i="12"/>
  <c r="N12" i="12" s="1"/>
  <c r="E23" i="12"/>
  <c r="E44" i="12"/>
  <c r="M43" i="12"/>
  <c r="N43" i="12" s="1"/>
  <c r="M37" i="12"/>
  <c r="N37" i="12" s="1"/>
  <c r="M13" i="12"/>
  <c r="N13" i="12" s="1"/>
  <c r="M16" i="12"/>
  <c r="N16" i="12" s="1"/>
  <c r="E11" i="12"/>
  <c r="E35" i="12"/>
  <c r="M25" i="12"/>
  <c r="E12" i="12"/>
  <c r="E36" i="12"/>
  <c r="T39" i="12"/>
  <c r="T37" i="12"/>
  <c r="M24" i="12"/>
  <c r="E10" i="12"/>
  <c r="N36" i="12"/>
  <c r="E13" i="12"/>
  <c r="T36" i="12"/>
  <c r="M23" i="12"/>
  <c r="T38" i="12"/>
  <c r="T41" i="12"/>
  <c r="E40" i="12"/>
  <c r="H31" i="15"/>
  <c r="E20" i="12"/>
  <c r="E38" i="12"/>
  <c r="M44" i="12"/>
  <c r="N44" i="12" s="1"/>
  <c r="N39" i="12"/>
  <c r="M10" i="12"/>
  <c r="N10" i="12" s="1"/>
  <c r="T63" i="12"/>
  <c r="T72" i="12"/>
  <c r="D24" i="27"/>
  <c r="H97" i="15"/>
  <c r="AQ97" i="15" s="1"/>
  <c r="L29" i="25"/>
  <c r="K29" i="25"/>
  <c r="J54" i="15"/>
  <c r="J102" i="15"/>
  <c r="J55" i="15"/>
  <c r="J51" i="15"/>
  <c r="J53" i="15"/>
  <c r="D100" i="12"/>
  <c r="I55" i="15"/>
  <c r="D94" i="12"/>
  <c r="E101" i="12"/>
  <c r="T43" i="12"/>
  <c r="T44" i="12"/>
  <c r="M20" i="12"/>
  <c r="E84" i="12"/>
  <c r="M88" i="12"/>
  <c r="N88" i="12" s="1"/>
  <c r="E67" i="12"/>
  <c r="T35" i="12"/>
  <c r="T46" i="12"/>
  <c r="E92" i="12"/>
  <c r="E62" i="12"/>
  <c r="E63" i="12"/>
  <c r="E60" i="12"/>
  <c r="M83" i="12"/>
  <c r="N83" i="12" s="1"/>
  <c r="E59" i="12"/>
  <c r="E83" i="12"/>
  <c r="D92" i="12"/>
  <c r="E64" i="12"/>
  <c r="C92" i="18"/>
  <c r="E94" i="12"/>
  <c r="J18" i="15"/>
  <c r="J37" i="15"/>
  <c r="J34" i="15"/>
  <c r="J35" i="15"/>
  <c r="J36" i="15"/>
  <c r="H33" i="15"/>
  <c r="BX33" i="15" s="1"/>
  <c r="H85" i="15"/>
  <c r="H82" i="15"/>
  <c r="H84" i="15"/>
  <c r="H83" i="15"/>
  <c r="J101" i="15"/>
  <c r="H19" i="15"/>
  <c r="H34" i="15"/>
  <c r="I52" i="15"/>
  <c r="I54" i="15"/>
  <c r="I12" i="15"/>
  <c r="I27" i="15"/>
  <c r="I19" i="15"/>
  <c r="H58" i="15"/>
  <c r="I3" i="15"/>
  <c r="I30" i="15"/>
  <c r="H59" i="15"/>
  <c r="H61" i="15"/>
  <c r="I6" i="15"/>
  <c r="I4" i="15"/>
  <c r="I29" i="15"/>
  <c r="H36" i="15"/>
  <c r="J16" i="15"/>
  <c r="H30" i="15"/>
  <c r="H94" i="15"/>
  <c r="I7" i="15"/>
  <c r="H18" i="15"/>
  <c r="H93" i="15"/>
  <c r="I34" i="15"/>
  <c r="J7" i="15"/>
  <c r="H96" i="15"/>
  <c r="AQ96" i="15" s="1"/>
  <c r="H12" i="15"/>
  <c r="H17" i="15"/>
  <c r="H16" i="15"/>
  <c r="J4" i="15"/>
  <c r="H3" i="15"/>
  <c r="J10" i="15"/>
  <c r="J57" i="15"/>
  <c r="J99" i="15"/>
  <c r="H6" i="15"/>
  <c r="J3" i="15"/>
  <c r="J13" i="15"/>
  <c r="J11" i="15"/>
  <c r="H60" i="15"/>
  <c r="J19" i="15"/>
  <c r="J5" i="15"/>
  <c r="BX5" i="15" s="1"/>
  <c r="J17" i="15"/>
  <c r="J12" i="15"/>
  <c r="AU15" i="15"/>
  <c r="AV15" i="15" s="1"/>
  <c r="J23" i="15"/>
  <c r="J21" i="15"/>
  <c r="J24" i="15"/>
  <c r="H103" i="15"/>
  <c r="H102" i="15"/>
  <c r="H10" i="15"/>
  <c r="H7" i="15"/>
  <c r="H55" i="15"/>
  <c r="H51" i="15"/>
  <c r="H54" i="15"/>
  <c r="H53" i="15"/>
  <c r="H52" i="15"/>
  <c r="H99" i="15"/>
  <c r="I17" i="15"/>
  <c r="I16" i="15"/>
  <c r="I18" i="15"/>
  <c r="I36" i="15"/>
  <c r="I35" i="15"/>
  <c r="J25" i="15"/>
  <c r="H100" i="15"/>
  <c r="G100" i="15" s="1"/>
  <c r="I37" i="15"/>
  <c r="H11" i="15"/>
  <c r="H5" i="15"/>
  <c r="H9" i="15"/>
  <c r="G9" i="15" s="1"/>
  <c r="H28" i="15"/>
  <c r="H27" i="15"/>
  <c r="J58" i="15"/>
  <c r="I53" i="15"/>
  <c r="J61" i="15"/>
  <c r="J103" i="15"/>
  <c r="J59" i="15"/>
  <c r="J22" i="15"/>
  <c r="J82" i="15"/>
  <c r="J85" i="15"/>
  <c r="J31" i="15"/>
  <c r="J30" i="15"/>
  <c r="J29" i="15"/>
  <c r="H35" i="15"/>
  <c r="BX35" i="15" s="1"/>
  <c r="H21" i="15"/>
  <c r="H23" i="15"/>
  <c r="H22" i="15"/>
  <c r="H24" i="15"/>
  <c r="I31" i="15"/>
  <c r="I21" i="15"/>
  <c r="I24" i="15"/>
  <c r="I25" i="15"/>
  <c r="I22" i="15"/>
  <c r="I13" i="15"/>
  <c r="I10" i="15"/>
  <c r="I11" i="15"/>
  <c r="G11" i="15" s="1"/>
  <c r="J81" i="15"/>
  <c r="G81" i="15" s="1"/>
  <c r="J83" i="15"/>
  <c r="J28" i="15"/>
  <c r="E86" i="12"/>
  <c r="E91" i="12"/>
  <c r="E97" i="12"/>
  <c r="E85" i="12"/>
  <c r="D87" i="12"/>
  <c r="E100" i="12"/>
  <c r="T40" i="12"/>
  <c r="D83" i="12"/>
  <c r="E87" i="12"/>
  <c r="M84" i="12"/>
  <c r="N84" i="12" s="1"/>
  <c r="M94" i="12"/>
  <c r="N94" i="12" s="1"/>
  <c r="M87" i="12"/>
  <c r="N87" i="12" s="1"/>
  <c r="D101" i="12"/>
  <c r="C86" i="18"/>
  <c r="D97" i="12"/>
  <c r="M92" i="12"/>
  <c r="N92" i="12" s="1"/>
  <c r="E88" i="12"/>
  <c r="D99" i="12"/>
  <c r="E99" i="12"/>
  <c r="D86" i="12"/>
  <c r="T65" i="12"/>
  <c r="T73" i="12"/>
  <c r="T59" i="12"/>
  <c r="T62" i="12"/>
  <c r="T68" i="12"/>
  <c r="T67" i="12"/>
  <c r="T61" i="12"/>
  <c r="T64" i="12"/>
  <c r="C155" i="18"/>
  <c r="T70" i="12"/>
  <c r="AQ15" i="15"/>
  <c r="AD34" i="15" l="1"/>
  <c r="AD33" i="15"/>
  <c r="AD31" i="15"/>
  <c r="AD36" i="15"/>
  <c r="AD30" i="15"/>
  <c r="AS3" i="15"/>
  <c r="AD39" i="15"/>
  <c r="AD35" i="15"/>
  <c r="E196" i="9"/>
  <c r="F196" i="9"/>
  <c r="AD29" i="15"/>
  <c r="AD27" i="15"/>
  <c r="AD103" i="15"/>
  <c r="X21" i="12"/>
  <c r="F75" i="12"/>
  <c r="CB63" i="15" s="1"/>
  <c r="CC63" i="15" s="1"/>
  <c r="AO39" i="15"/>
  <c r="AD37" i="15"/>
  <c r="AD28" i="15"/>
  <c r="I52" i="11"/>
  <c r="AA101" i="12"/>
  <c r="K52" i="11"/>
  <c r="G94" i="15"/>
  <c r="AQ94" i="15"/>
  <c r="G93" i="15"/>
  <c r="AQ93" i="15"/>
  <c r="AE78" i="15"/>
  <c r="AE75" i="15"/>
  <c r="AE77" i="15"/>
  <c r="AE76" i="15"/>
  <c r="AE79" i="15"/>
  <c r="AE71" i="15"/>
  <c r="AE70" i="15"/>
  <c r="AE69" i="15"/>
  <c r="AE73" i="15"/>
  <c r="AE72" i="15"/>
  <c r="G101" i="15"/>
  <c r="AQ99" i="15"/>
  <c r="AU57" i="15"/>
  <c r="AR118" i="15"/>
  <c r="AR120" i="15"/>
  <c r="AR119" i="15"/>
  <c r="AR121" i="15"/>
  <c r="AD3" i="15"/>
  <c r="AD16" i="15"/>
  <c r="AD5" i="15"/>
  <c r="W75" i="12"/>
  <c r="W77" i="12"/>
  <c r="G103" i="15"/>
  <c r="H123" i="15"/>
  <c r="CA103" i="15"/>
  <c r="CB103" i="15"/>
  <c r="CC103" i="15" s="1"/>
  <c r="E489" i="12"/>
  <c r="U129" i="12" s="1"/>
  <c r="Y105" i="12"/>
  <c r="Y103" i="12"/>
  <c r="BO108" i="15"/>
  <c r="BO105" i="15"/>
  <c r="BO106" i="15"/>
  <c r="BO107" i="15"/>
  <c r="BO109" i="15"/>
  <c r="W105" i="12"/>
  <c r="W103" i="12"/>
  <c r="W104" i="12"/>
  <c r="T104" i="12"/>
  <c r="T105" i="12"/>
  <c r="T103" i="12"/>
  <c r="AV107" i="15"/>
  <c r="AV108" i="15"/>
  <c r="AV109" i="15"/>
  <c r="AV106" i="15"/>
  <c r="AV105" i="15"/>
  <c r="Y94" i="12"/>
  <c r="C227" i="18"/>
  <c r="T95" i="12"/>
  <c r="W133" i="12"/>
  <c r="W132" i="12"/>
  <c r="W131" i="12"/>
  <c r="E112" i="18"/>
  <c r="W28" i="12"/>
  <c r="W29" i="12"/>
  <c r="W27" i="12"/>
  <c r="C106" i="18"/>
  <c r="E106" i="18" s="1"/>
  <c r="C105" i="18"/>
  <c r="E105" i="18" s="1"/>
  <c r="AW109" i="15"/>
  <c r="AA119" i="15"/>
  <c r="AB119" i="15" s="1"/>
  <c r="AY112" i="15"/>
  <c r="AZ112" i="15" s="1"/>
  <c r="AY120" i="15"/>
  <c r="AZ120" i="15" s="1"/>
  <c r="AY119" i="15"/>
  <c r="AZ119" i="15" s="1"/>
  <c r="AY115" i="15"/>
  <c r="AZ115" i="15" s="1"/>
  <c r="AA112" i="15"/>
  <c r="AB112" i="15" s="1"/>
  <c r="AX109" i="15"/>
  <c r="AA115" i="15"/>
  <c r="AB115" i="15" s="1"/>
  <c r="AB118" i="15"/>
  <c r="AW107" i="15"/>
  <c r="AX105" i="15"/>
  <c r="AY118" i="15"/>
  <c r="AZ118" i="15" s="1"/>
  <c r="AY113" i="15"/>
  <c r="AZ113" i="15" s="1"/>
  <c r="AX106" i="15"/>
  <c r="AA120" i="15"/>
  <c r="AB120" i="15" s="1"/>
  <c r="AY117" i="15"/>
  <c r="AZ117" i="15" s="1"/>
  <c r="AY114" i="15"/>
  <c r="AZ114" i="15" s="1"/>
  <c r="AX108" i="15"/>
  <c r="AW106" i="15"/>
  <c r="AA106" i="15" s="1"/>
  <c r="AB106" i="15" s="1"/>
  <c r="AW108" i="15"/>
  <c r="AW105" i="15"/>
  <c r="AX107" i="15"/>
  <c r="AY107" i="15" s="1"/>
  <c r="AZ107" i="15" s="1"/>
  <c r="AY111" i="15"/>
  <c r="AZ111" i="15" s="1"/>
  <c r="AY121" i="15"/>
  <c r="AZ121" i="15" s="1"/>
  <c r="AA111" i="15"/>
  <c r="G104" i="18"/>
  <c r="C226" i="18"/>
  <c r="BN3" i="15"/>
  <c r="BO3" i="15" s="1"/>
  <c r="AQ7" i="15"/>
  <c r="AU4" i="15"/>
  <c r="G115" i="18"/>
  <c r="G107" i="18"/>
  <c r="AR15" i="15"/>
  <c r="G99" i="15"/>
  <c r="BW22" i="15"/>
  <c r="BX28" i="15"/>
  <c r="G17" i="15"/>
  <c r="C253" i="12"/>
  <c r="C254" i="12" s="1"/>
  <c r="C269" i="12"/>
  <c r="BW21" i="15"/>
  <c r="G13" i="15"/>
  <c r="BX23" i="15"/>
  <c r="G34" i="15"/>
  <c r="G29" i="15"/>
  <c r="G59" i="15"/>
  <c r="BW34" i="15"/>
  <c r="G5" i="15"/>
  <c r="G7" i="15"/>
  <c r="BW27" i="15"/>
  <c r="F375" i="12"/>
  <c r="J411" i="12"/>
  <c r="J428" i="12" s="1"/>
  <c r="L411" i="12"/>
  <c r="L428" i="12" s="1"/>
  <c r="Y99" i="12"/>
  <c r="E375" i="12"/>
  <c r="G411" i="12"/>
  <c r="G428" i="12" s="1"/>
  <c r="BW11" i="15"/>
  <c r="BX10" i="15"/>
  <c r="BX16" i="15"/>
  <c r="BN4" i="15"/>
  <c r="BO4" i="15" s="1"/>
  <c r="BN9" i="15"/>
  <c r="BO9" i="15" s="1"/>
  <c r="BN5" i="15"/>
  <c r="BO5" i="15" s="1"/>
  <c r="BN27" i="15"/>
  <c r="BO27" i="15" s="1"/>
  <c r="BN43" i="15"/>
  <c r="BO43" i="15" s="1"/>
  <c r="BX58" i="15"/>
  <c r="CB11" i="15"/>
  <c r="CC11" i="15" s="1"/>
  <c r="CA9" i="15"/>
  <c r="CA11" i="15"/>
  <c r="CB13" i="15"/>
  <c r="CC13" i="15" s="1"/>
  <c r="CA13" i="15"/>
  <c r="CB12" i="15"/>
  <c r="CC12" i="15" s="1"/>
  <c r="CA12" i="15"/>
  <c r="CA10" i="15"/>
  <c r="CB10" i="15"/>
  <c r="CC10" i="15" s="1"/>
  <c r="CB9" i="15"/>
  <c r="CC9" i="15" s="1"/>
  <c r="BX48" i="15"/>
  <c r="BX46" i="15"/>
  <c r="BX64" i="15"/>
  <c r="BY64" i="15" s="1"/>
  <c r="BW67" i="15"/>
  <c r="BX67" i="15"/>
  <c r="BY67" i="15" s="1"/>
  <c r="BW64" i="15"/>
  <c r="CA67" i="15"/>
  <c r="CB67" i="15"/>
  <c r="CC67" i="15" s="1"/>
  <c r="CB64" i="15"/>
  <c r="CC64" i="15" s="1"/>
  <c r="BH7" i="15"/>
  <c r="BI7" i="15" s="1"/>
  <c r="BW40" i="15"/>
  <c r="CB39" i="15"/>
  <c r="CC39" i="15" s="1"/>
  <c r="CB43" i="15"/>
  <c r="CC43" i="15" s="1"/>
  <c r="CA102" i="15"/>
  <c r="BX100" i="15"/>
  <c r="BY100" i="15" s="1"/>
  <c r="BX99" i="15"/>
  <c r="BW103" i="15"/>
  <c r="CA100" i="15"/>
  <c r="CA99" i="15"/>
  <c r="BW101" i="15"/>
  <c r="CB102" i="15"/>
  <c r="CC102" i="15" s="1"/>
  <c r="CB100" i="15"/>
  <c r="CC100" i="15" s="1"/>
  <c r="CB99" i="15"/>
  <c r="CC99" i="15" s="1"/>
  <c r="BX101" i="15"/>
  <c r="BY101" i="15" s="1"/>
  <c r="BW100" i="15"/>
  <c r="BW99" i="15"/>
  <c r="CB101" i="15"/>
  <c r="CC101" i="15" s="1"/>
  <c r="BX102" i="15"/>
  <c r="BW102" i="15"/>
  <c r="CA101" i="15"/>
  <c r="BX103" i="15"/>
  <c r="C9" i="12"/>
  <c r="CB18" i="15"/>
  <c r="CC18" i="15" s="1"/>
  <c r="CA17" i="15"/>
  <c r="CB19" i="15"/>
  <c r="CC19" i="15" s="1"/>
  <c r="CA18" i="15"/>
  <c r="CB16" i="15"/>
  <c r="CC16" i="15" s="1"/>
  <c r="CB15" i="15"/>
  <c r="CC15" i="15" s="1"/>
  <c r="CA19" i="15"/>
  <c r="CA15" i="15"/>
  <c r="CB17" i="15"/>
  <c r="CC17" i="15" s="1"/>
  <c r="CA16" i="15"/>
  <c r="BN10" i="15"/>
  <c r="BO10" i="15" s="1"/>
  <c r="BN28" i="15"/>
  <c r="BO28" i="15" s="1"/>
  <c r="BW15" i="15"/>
  <c r="BX49" i="15"/>
  <c r="BW47" i="15"/>
  <c r="BW45" i="15"/>
  <c r="CA66" i="15"/>
  <c r="CB66" i="15"/>
  <c r="CC66" i="15" s="1"/>
  <c r="BH4" i="15"/>
  <c r="BI4" i="15" s="1"/>
  <c r="BH3" i="15"/>
  <c r="BI3" i="15" s="1"/>
  <c r="BX43" i="15"/>
  <c r="BY43" i="15" s="1"/>
  <c r="BW41" i="15"/>
  <c r="CB40" i="15"/>
  <c r="CC40" i="15" s="1"/>
  <c r="CA41" i="15"/>
  <c r="CB72" i="15"/>
  <c r="CC72" i="15" s="1"/>
  <c r="CA71" i="15"/>
  <c r="CA73" i="15"/>
  <c r="CB71" i="15"/>
  <c r="CC71" i="15" s="1"/>
  <c r="CB73" i="15"/>
  <c r="CC73" i="15" s="1"/>
  <c r="CA72" i="15"/>
  <c r="CB70" i="15"/>
  <c r="CC70" i="15" s="1"/>
  <c r="CB69" i="15"/>
  <c r="CC69" i="15" s="1"/>
  <c r="CA69" i="15"/>
  <c r="CA70" i="15"/>
  <c r="BX71" i="15"/>
  <c r="BY71" i="15" s="1"/>
  <c r="BX72" i="15"/>
  <c r="BY72" i="15" s="1"/>
  <c r="BW71" i="15"/>
  <c r="BX70" i="15"/>
  <c r="BY70" i="15" s="1"/>
  <c r="BX73" i="15"/>
  <c r="BY73" i="15" s="1"/>
  <c r="BW72" i="15"/>
  <c r="BW70" i="15"/>
  <c r="BW73" i="15"/>
  <c r="CB89" i="15"/>
  <c r="CC89" i="15" s="1"/>
  <c r="CA88" i="15"/>
  <c r="CA87" i="15"/>
  <c r="CB91" i="15"/>
  <c r="CC91" i="15" s="1"/>
  <c r="CA90" i="15"/>
  <c r="CB88" i="15"/>
  <c r="CC88" i="15" s="1"/>
  <c r="CB90" i="15"/>
  <c r="CC90" i="15" s="1"/>
  <c r="CA89" i="15"/>
  <c r="CB87" i="15"/>
  <c r="CC87" i="15" s="1"/>
  <c r="CA91" i="15"/>
  <c r="C16" i="12"/>
  <c r="CB60" i="15"/>
  <c r="CC60" i="15" s="1"/>
  <c r="CA59" i="15"/>
  <c r="CB57" i="15"/>
  <c r="CC57" i="15" s="1"/>
  <c r="CB61" i="15"/>
  <c r="CC61" i="15" s="1"/>
  <c r="CA60" i="15"/>
  <c r="CB58" i="15"/>
  <c r="CC58" i="15" s="1"/>
  <c r="CA61" i="15"/>
  <c r="CB59" i="15"/>
  <c r="CC59" i="15" s="1"/>
  <c r="CA58" i="15"/>
  <c r="CA57" i="15"/>
  <c r="BX15" i="15"/>
  <c r="BY15" i="15" s="1"/>
  <c r="BW46" i="15"/>
  <c r="BW49" i="15"/>
  <c r="BX65" i="15"/>
  <c r="BY65" i="15" s="1"/>
  <c r="BW66" i="15"/>
  <c r="BX66" i="15"/>
  <c r="BY66" i="15" s="1"/>
  <c r="CA63" i="15"/>
  <c r="CA65" i="15"/>
  <c r="BH6" i="15"/>
  <c r="BI6" i="15" s="1"/>
  <c r="BW42" i="15"/>
  <c r="BX42" i="15"/>
  <c r="BY42" i="15" s="1"/>
  <c r="BX40" i="15"/>
  <c r="BY40" i="15" s="1"/>
  <c r="BX39" i="15"/>
  <c r="BY39" i="15" s="1"/>
  <c r="CA42" i="15"/>
  <c r="CA39" i="15"/>
  <c r="CA43" i="15"/>
  <c r="BX47" i="15"/>
  <c r="BW48" i="15"/>
  <c r="BW65" i="15"/>
  <c r="CA64" i="15"/>
  <c r="CB65" i="15"/>
  <c r="CC65" i="15" s="1"/>
  <c r="BH5" i="15"/>
  <c r="BI5" i="15" s="1"/>
  <c r="BW43" i="15"/>
  <c r="BX41" i="15"/>
  <c r="BY41" i="15" s="1"/>
  <c r="BW39" i="15"/>
  <c r="CB41" i="15"/>
  <c r="CC41" i="15" s="1"/>
  <c r="CA40" i="15"/>
  <c r="G53" i="15"/>
  <c r="G4" i="15"/>
  <c r="BX4" i="15"/>
  <c r="AS4" i="15"/>
  <c r="BW4" i="15"/>
  <c r="G36" i="15"/>
  <c r="G102" i="15"/>
  <c r="BX7" i="15"/>
  <c r="AS7" i="15"/>
  <c r="BW7" i="15"/>
  <c r="BW36" i="15"/>
  <c r="BX36" i="15"/>
  <c r="BX61" i="15"/>
  <c r="BW61" i="15"/>
  <c r="BW5" i="15"/>
  <c r="BW59" i="15"/>
  <c r="BW9" i="15"/>
  <c r="BW58" i="15"/>
  <c r="BX51" i="15"/>
  <c r="BX22" i="15"/>
  <c r="BW37" i="15"/>
  <c r="BW28" i="15"/>
  <c r="BX21" i="15"/>
  <c r="BW13" i="15"/>
  <c r="BX34" i="15"/>
  <c r="BX27" i="15"/>
  <c r="G83" i="15"/>
  <c r="BX31" i="15"/>
  <c r="BW31" i="15"/>
  <c r="BW25" i="15"/>
  <c r="BW52" i="15"/>
  <c r="BW33" i="15"/>
  <c r="BW23" i="15"/>
  <c r="BX29" i="15"/>
  <c r="BX57" i="15"/>
  <c r="BW35" i="15"/>
  <c r="BX11" i="15"/>
  <c r="BY11" i="15" s="1"/>
  <c r="BW10" i="15"/>
  <c r="BX12" i="15"/>
  <c r="BW12" i="15"/>
  <c r="G84" i="15"/>
  <c r="AS5" i="15"/>
  <c r="AT5" i="15" s="1"/>
  <c r="BX52" i="15"/>
  <c r="BW16" i="15"/>
  <c r="BX9" i="15"/>
  <c r="BY9" i="15" s="1"/>
  <c r="BW51" i="15"/>
  <c r="BX37" i="15"/>
  <c r="BX13" i="15"/>
  <c r="BW53" i="15"/>
  <c r="BX17" i="15"/>
  <c r="BW17" i="15"/>
  <c r="G55" i="15"/>
  <c r="BW55" i="15"/>
  <c r="BX55" i="15"/>
  <c r="G60" i="15"/>
  <c r="BW60" i="15"/>
  <c r="BX60" i="15"/>
  <c r="BX30" i="15"/>
  <c r="BW30" i="15"/>
  <c r="G24" i="15"/>
  <c r="BX24" i="15"/>
  <c r="BW24" i="15"/>
  <c r="G27" i="15"/>
  <c r="G54" i="15"/>
  <c r="BX54" i="15"/>
  <c r="BW54" i="15"/>
  <c r="G96" i="15"/>
  <c r="G18" i="15"/>
  <c r="BX18" i="15"/>
  <c r="BW18" i="15"/>
  <c r="BX6" i="15"/>
  <c r="AS6" i="15"/>
  <c r="BW6" i="15"/>
  <c r="BX3" i="15"/>
  <c r="BW3" i="15"/>
  <c r="G12" i="15"/>
  <c r="BX19" i="15"/>
  <c r="BW19" i="15"/>
  <c r="G82" i="15"/>
  <c r="G97" i="15"/>
  <c r="BX25" i="15"/>
  <c r="BX59" i="15"/>
  <c r="BW29" i="15"/>
  <c r="BW57" i="15"/>
  <c r="BX53" i="15"/>
  <c r="BY53" i="15" s="1"/>
  <c r="Y8" i="12"/>
  <c r="BN12" i="15"/>
  <c r="BO12" i="15" s="1"/>
  <c r="BN13" i="15"/>
  <c r="BO13" i="15" s="1"/>
  <c r="BN6" i="15"/>
  <c r="BO6" i="15" s="1"/>
  <c r="BN40" i="15"/>
  <c r="BO40" i="15" s="1"/>
  <c r="Y15" i="12"/>
  <c r="BN36" i="15"/>
  <c r="BO36" i="15" s="1"/>
  <c r="BN37" i="15"/>
  <c r="BO37" i="15" s="1"/>
  <c r="Y9" i="12"/>
  <c r="BN18" i="15"/>
  <c r="BO18" i="15" s="1"/>
  <c r="BN19" i="15"/>
  <c r="BO19" i="15" s="1"/>
  <c r="BN39" i="15"/>
  <c r="BO39" i="15" s="1"/>
  <c r="BN41" i="15"/>
  <c r="BO41" i="15" s="1"/>
  <c r="BN33" i="15"/>
  <c r="BO33" i="15" s="1"/>
  <c r="BN35" i="15"/>
  <c r="BO35" i="15" s="1"/>
  <c r="BN34" i="15"/>
  <c r="BO34" i="15" s="1"/>
  <c r="K70" i="12"/>
  <c r="BN66" i="15"/>
  <c r="BO66" i="15" s="1"/>
  <c r="BN67" i="15"/>
  <c r="BO67" i="15" s="1"/>
  <c r="BN65" i="15"/>
  <c r="BO65" i="15" s="1"/>
  <c r="BN64" i="15"/>
  <c r="BO64" i="15" s="1"/>
  <c r="BN63" i="15"/>
  <c r="BO63" i="15" s="1"/>
  <c r="BN42" i="15"/>
  <c r="BO42" i="15" s="1"/>
  <c r="AD22" i="15"/>
  <c r="AD17" i="15"/>
  <c r="AD58" i="15"/>
  <c r="AD6" i="15"/>
  <c r="AD57" i="15"/>
  <c r="AD11" i="15"/>
  <c r="AD12" i="15"/>
  <c r="AD25" i="15"/>
  <c r="AD15" i="15"/>
  <c r="AE28" i="15"/>
  <c r="AD41" i="15"/>
  <c r="BD35" i="15"/>
  <c r="BE35" i="15" s="1"/>
  <c r="BD36" i="15"/>
  <c r="BE36" i="15" s="1"/>
  <c r="BD37" i="15"/>
  <c r="BE37" i="15" s="1"/>
  <c r="BD34" i="15"/>
  <c r="BE34" i="15" s="1"/>
  <c r="BD33" i="15"/>
  <c r="BE33" i="15" s="1"/>
  <c r="AE37" i="15"/>
  <c r="AD52" i="15"/>
  <c r="AD51" i="15"/>
  <c r="BD19" i="15"/>
  <c r="BE19" i="15" s="1"/>
  <c r="BD16" i="15"/>
  <c r="BE16" i="15" s="1"/>
  <c r="BD15" i="15"/>
  <c r="BE15" i="15" s="1"/>
  <c r="BD17" i="15"/>
  <c r="BE17" i="15" s="1"/>
  <c r="BD18" i="15"/>
  <c r="BE18" i="15" s="1"/>
  <c r="AE35" i="15"/>
  <c r="AD23" i="15"/>
  <c r="AD19" i="15"/>
  <c r="AD61" i="15"/>
  <c r="AE30" i="15"/>
  <c r="BD28" i="15"/>
  <c r="BE28" i="15" s="1"/>
  <c r="BD27" i="15"/>
  <c r="BE27" i="15" s="1"/>
  <c r="BD29" i="15"/>
  <c r="BE29" i="15" s="1"/>
  <c r="BD30" i="15"/>
  <c r="BE30" i="15" s="1"/>
  <c r="BD31" i="15"/>
  <c r="BE31" i="15" s="1"/>
  <c r="AD13" i="15"/>
  <c r="AD53" i="15"/>
  <c r="AD40" i="15"/>
  <c r="AD4" i="15"/>
  <c r="BD73" i="15"/>
  <c r="BE73" i="15" s="1"/>
  <c r="BD70" i="15"/>
  <c r="BE70" i="15" s="1"/>
  <c r="BD69" i="15"/>
  <c r="BE69" i="15" s="1"/>
  <c r="BD71" i="15"/>
  <c r="BE71" i="15" s="1"/>
  <c r="BD72" i="15"/>
  <c r="BE72" i="15" s="1"/>
  <c r="BD42" i="15"/>
  <c r="BE42" i="15" s="1"/>
  <c r="BD41" i="15"/>
  <c r="BE41" i="15" s="1"/>
  <c r="BD43" i="15"/>
  <c r="BE43" i="15" s="1"/>
  <c r="BD39" i="15"/>
  <c r="BE39" i="15" s="1"/>
  <c r="BD40" i="15"/>
  <c r="BE40" i="15" s="1"/>
  <c r="M18" i="12"/>
  <c r="N18" i="12" s="1"/>
  <c r="BD5" i="15"/>
  <c r="BE5" i="15" s="1"/>
  <c r="BD6" i="15"/>
  <c r="BE6" i="15" s="1"/>
  <c r="BD7" i="15"/>
  <c r="BE7" i="15" s="1"/>
  <c r="BD4" i="15"/>
  <c r="BE4" i="15" s="1"/>
  <c r="BD3" i="15"/>
  <c r="BE3" i="15" s="1"/>
  <c r="AE36" i="15"/>
  <c r="AD24" i="15"/>
  <c r="BD22" i="15"/>
  <c r="BE22" i="15" s="1"/>
  <c r="BD24" i="15"/>
  <c r="BE24" i="15" s="1"/>
  <c r="BD25" i="15"/>
  <c r="BE25" i="15" s="1"/>
  <c r="BD23" i="15"/>
  <c r="BE23" i="15" s="1"/>
  <c r="BD21" i="15"/>
  <c r="BE21" i="15" s="1"/>
  <c r="AE16" i="15"/>
  <c r="AD60" i="15"/>
  <c r="BD59" i="15"/>
  <c r="BE59" i="15" s="1"/>
  <c r="BD60" i="15"/>
  <c r="BE60" i="15" s="1"/>
  <c r="BD61" i="15"/>
  <c r="BE61" i="15" s="1"/>
  <c r="BD58" i="15"/>
  <c r="BE58" i="15" s="1"/>
  <c r="BD57" i="15"/>
  <c r="BE57" i="15" s="1"/>
  <c r="AE31" i="15"/>
  <c r="AD9" i="15"/>
  <c r="BD12" i="15"/>
  <c r="BE12" i="15" s="1"/>
  <c r="BD13" i="15"/>
  <c r="BE13" i="15" s="1"/>
  <c r="BD10" i="15"/>
  <c r="BE10" i="15" s="1"/>
  <c r="BD9" i="15"/>
  <c r="BE9" i="15" s="1"/>
  <c r="BD11" i="15"/>
  <c r="BE11" i="15" s="1"/>
  <c r="AD55" i="15"/>
  <c r="BD52" i="15"/>
  <c r="BE52" i="15" s="1"/>
  <c r="BD51" i="15"/>
  <c r="BE51" i="15" s="1"/>
  <c r="BD53" i="15"/>
  <c r="BE53" i="15" s="1"/>
  <c r="BD54" i="15"/>
  <c r="BE54" i="15" s="1"/>
  <c r="BD55" i="15"/>
  <c r="BE55" i="15" s="1"/>
  <c r="AE39" i="15"/>
  <c r="AD99" i="15"/>
  <c r="AD100" i="15"/>
  <c r="AE103" i="15"/>
  <c r="AD101" i="15"/>
  <c r="AD102" i="15"/>
  <c r="AD91" i="15"/>
  <c r="AD90" i="15"/>
  <c r="AD89" i="15"/>
  <c r="AD87" i="15"/>
  <c r="AD88" i="15"/>
  <c r="AE34" i="15"/>
  <c r="AE33" i="15"/>
  <c r="AD21" i="15"/>
  <c r="AD18" i="15"/>
  <c r="AD59" i="15"/>
  <c r="AE29" i="15"/>
  <c r="AE27" i="15"/>
  <c r="AD10" i="15"/>
  <c r="AD54" i="15"/>
  <c r="AD43" i="15"/>
  <c r="AD42" i="15"/>
  <c r="AD7" i="15"/>
  <c r="G23" i="15"/>
  <c r="G21" i="15"/>
  <c r="G52" i="15"/>
  <c r="G16" i="15"/>
  <c r="G61" i="15"/>
  <c r="G58" i="15"/>
  <c r="G85" i="15"/>
  <c r="G57" i="15"/>
  <c r="G25" i="15"/>
  <c r="G10" i="15"/>
  <c r="G22" i="15"/>
  <c r="G28" i="15"/>
  <c r="G35" i="15"/>
  <c r="BY35" i="15" s="1"/>
  <c r="G6" i="15"/>
  <c r="G3" i="15"/>
  <c r="G30" i="15"/>
  <c r="G31" i="15"/>
  <c r="G33" i="15"/>
  <c r="BY33" i="15" s="1"/>
  <c r="G37" i="15"/>
  <c r="G51" i="15"/>
  <c r="G19" i="15"/>
  <c r="W100" i="12"/>
  <c r="W96" i="12"/>
  <c r="W85" i="12"/>
  <c r="W89" i="12"/>
  <c r="W83" i="12"/>
  <c r="W124" i="12"/>
  <c r="W114" i="12"/>
  <c r="W127" i="12"/>
  <c r="W88" i="12"/>
  <c r="W125" i="12"/>
  <c r="W101" i="12"/>
  <c r="W97" i="12"/>
  <c r="W86" i="12"/>
  <c r="W129" i="12"/>
  <c r="W120" i="12"/>
  <c r="W91" i="12"/>
  <c r="W119" i="12"/>
  <c r="W95" i="12"/>
  <c r="W84" i="12"/>
  <c r="W92" i="12"/>
  <c r="W115" i="12"/>
  <c r="W99" i="12"/>
  <c r="W94" i="12"/>
  <c r="W87" i="12"/>
  <c r="V115" i="12"/>
  <c r="BN30" i="15" s="1"/>
  <c r="BO30" i="15" s="1"/>
  <c r="V114" i="12"/>
  <c r="V120" i="12"/>
  <c r="BN60" i="15" s="1"/>
  <c r="BO60" i="15" s="1"/>
  <c r="V119" i="12"/>
  <c r="BN55" i="15" s="1"/>
  <c r="BO55" i="15" s="1"/>
  <c r="W51" i="12"/>
  <c r="U100" i="12"/>
  <c r="F486" i="12"/>
  <c r="U95" i="12" s="1"/>
  <c r="U18" i="12"/>
  <c r="Y18" i="12" s="1"/>
  <c r="U46" i="12"/>
  <c r="U101" i="12"/>
  <c r="I486" i="12"/>
  <c r="U97" i="12" s="1"/>
  <c r="Y97" i="12" s="1"/>
  <c r="H486" i="12"/>
  <c r="U96" i="12" s="1"/>
  <c r="Y96" i="12" s="1"/>
  <c r="AO15" i="15"/>
  <c r="AP15" i="15" s="1"/>
  <c r="M62" i="12"/>
  <c r="E65" i="12"/>
  <c r="BX45" i="15"/>
  <c r="M60" i="12"/>
  <c r="W24" i="12"/>
  <c r="W23" i="12"/>
  <c r="U15" i="15"/>
  <c r="V15" i="15" s="1"/>
  <c r="M59" i="12"/>
  <c r="M61" i="12"/>
  <c r="E61" i="12"/>
  <c r="M63" i="12"/>
  <c r="C68" i="12"/>
  <c r="U43" i="15"/>
  <c r="V43" i="15" s="1"/>
  <c r="U41" i="15"/>
  <c r="V41" i="15" s="1"/>
  <c r="C73" i="12"/>
  <c r="D75" i="12"/>
  <c r="C75" i="12"/>
  <c r="AU42" i="15"/>
  <c r="AV42" i="15" s="1"/>
  <c r="W72" i="12"/>
  <c r="W73" i="12"/>
  <c r="W68" i="12"/>
  <c r="AX47" i="15"/>
  <c r="W18" i="12"/>
  <c r="W16" i="12"/>
  <c r="W11" i="12"/>
  <c r="W67" i="12"/>
  <c r="W37" i="12"/>
  <c r="AX48" i="15"/>
  <c r="D65" i="12"/>
  <c r="L65" i="12" s="1"/>
  <c r="W40" i="15" s="1"/>
  <c r="X40" i="15" s="1"/>
  <c r="C65" i="12"/>
  <c r="C59" i="12"/>
  <c r="D63" i="12"/>
  <c r="L63" i="12" s="1"/>
  <c r="W30" i="15" s="1"/>
  <c r="C63" i="12"/>
  <c r="D64" i="12"/>
  <c r="C64" i="12"/>
  <c r="D60" i="12"/>
  <c r="C60" i="12"/>
  <c r="D67" i="12"/>
  <c r="C67" i="12"/>
  <c r="D62" i="12"/>
  <c r="L62" i="12" s="1"/>
  <c r="W25" i="15" s="1"/>
  <c r="C62" i="12"/>
  <c r="D61" i="12"/>
  <c r="C61" i="12"/>
  <c r="U6" i="15"/>
  <c r="M46" i="12"/>
  <c r="E24" i="12"/>
  <c r="C24" i="12"/>
  <c r="E8" i="12"/>
  <c r="C8" i="12"/>
  <c r="E21" i="12"/>
  <c r="C21" i="12"/>
  <c r="E25" i="12"/>
  <c r="E19" i="12"/>
  <c r="E18" i="12"/>
  <c r="C18" i="12"/>
  <c r="E75" i="12"/>
  <c r="E9" i="12"/>
  <c r="Z35" i="12"/>
  <c r="E145" i="8" s="1"/>
  <c r="U90" i="15"/>
  <c r="V90" i="15" s="1"/>
  <c r="U87" i="15"/>
  <c r="V87" i="15" s="1"/>
  <c r="U88" i="15"/>
  <c r="V88" i="15" s="1"/>
  <c r="U89" i="15"/>
  <c r="V89" i="15" s="1"/>
  <c r="U91" i="15"/>
  <c r="V91" i="15" s="1"/>
  <c r="U40" i="15"/>
  <c r="V40" i="15" s="1"/>
  <c r="U99" i="15"/>
  <c r="U101" i="15"/>
  <c r="V101" i="15" s="1"/>
  <c r="U103" i="15"/>
  <c r="U100" i="15"/>
  <c r="V100" i="15" s="1"/>
  <c r="U102" i="15"/>
  <c r="M68" i="12"/>
  <c r="M65" i="12"/>
  <c r="U39" i="15"/>
  <c r="V39" i="15" s="1"/>
  <c r="U42" i="15"/>
  <c r="V42" i="15" s="1"/>
  <c r="U94" i="15"/>
  <c r="U96" i="15"/>
  <c r="U93" i="15"/>
  <c r="V93" i="15" s="1"/>
  <c r="U95" i="15"/>
  <c r="V95" i="15" s="1"/>
  <c r="U97" i="15"/>
  <c r="M21" i="12"/>
  <c r="N21" i="12" s="1"/>
  <c r="E16" i="12"/>
  <c r="M64" i="12"/>
  <c r="E68" i="12"/>
  <c r="D68" i="12"/>
  <c r="L68" i="12" s="1"/>
  <c r="W59" i="15" s="1"/>
  <c r="W63" i="12"/>
  <c r="W46" i="12"/>
  <c r="W9" i="12"/>
  <c r="W8" i="12"/>
  <c r="W64" i="12"/>
  <c r="W44" i="12"/>
  <c r="W70" i="12"/>
  <c r="W12" i="12"/>
  <c r="W62" i="12"/>
  <c r="AX46" i="15"/>
  <c r="AW45" i="15"/>
  <c r="AA45" i="15" s="1"/>
  <c r="AX49" i="15"/>
  <c r="W20" i="12"/>
  <c r="W10" i="12"/>
  <c r="W41" i="12"/>
  <c r="W61" i="12"/>
  <c r="W60" i="12"/>
  <c r="W25" i="12"/>
  <c r="AW49" i="15"/>
  <c r="AA49" i="15" s="1"/>
  <c r="AW48" i="15"/>
  <c r="AA48" i="15" s="1"/>
  <c r="AW47" i="15"/>
  <c r="AA47" i="15" s="1"/>
  <c r="W13" i="12"/>
  <c r="W15" i="12"/>
  <c r="W40" i="12"/>
  <c r="W35" i="12"/>
  <c r="W65" i="12"/>
  <c r="W39" i="12"/>
  <c r="W38" i="12"/>
  <c r="W36" i="12"/>
  <c r="W59" i="12"/>
  <c r="W43" i="12"/>
  <c r="AW46" i="15"/>
  <c r="AA46" i="15" s="1"/>
  <c r="AX45" i="15"/>
  <c r="W21" i="12"/>
  <c r="W19" i="12"/>
  <c r="F70" i="12"/>
  <c r="M67" i="12"/>
  <c r="U9" i="15"/>
  <c r="V9" i="15" s="1"/>
  <c r="U23" i="15"/>
  <c r="BD78" i="15"/>
  <c r="BE78" i="15" s="1"/>
  <c r="M77" i="12"/>
  <c r="F77" i="12"/>
  <c r="CB78" i="15" s="1"/>
  <c r="CC78" i="15" s="1"/>
  <c r="AR93" i="15"/>
  <c r="N24" i="12"/>
  <c r="F72" i="12"/>
  <c r="Y93" i="12"/>
  <c r="D73" i="12"/>
  <c r="L73" i="12" s="1"/>
  <c r="W102" i="15" s="1"/>
  <c r="N25" i="12"/>
  <c r="U3" i="15"/>
  <c r="AU40" i="15"/>
  <c r="AV40" i="15" s="1"/>
  <c r="N23" i="12"/>
  <c r="AU39" i="15"/>
  <c r="AV39" i="15" s="1"/>
  <c r="AU43" i="15"/>
  <c r="AV43" i="15" s="1"/>
  <c r="Y12" i="12"/>
  <c r="E96" i="12"/>
  <c r="G114" i="18" s="1"/>
  <c r="N20" i="12"/>
  <c r="E73" i="12"/>
  <c r="T92" i="12"/>
  <c r="AJ76" i="15"/>
  <c r="AK76" i="15" s="1"/>
  <c r="AJ79" i="15"/>
  <c r="AK79" i="15" s="1"/>
  <c r="AJ78" i="15"/>
  <c r="AK78" i="15" s="1"/>
  <c r="AJ77" i="15"/>
  <c r="AK77" i="15" s="1"/>
  <c r="AJ75" i="15"/>
  <c r="AK75" i="15" s="1"/>
  <c r="Y78" i="15"/>
  <c r="Y73" i="15"/>
  <c r="Y71" i="15"/>
  <c r="AH71" i="15"/>
  <c r="AJ65" i="15"/>
  <c r="AK65" i="15" s="1"/>
  <c r="AJ64" i="15"/>
  <c r="AK64" i="15" s="1"/>
  <c r="AJ63" i="15"/>
  <c r="AK63" i="15" s="1"/>
  <c r="AJ66" i="15"/>
  <c r="AK66" i="15" s="1"/>
  <c r="AJ67" i="15"/>
  <c r="AK67" i="15" s="1"/>
  <c r="Y75" i="15"/>
  <c r="AH77" i="15"/>
  <c r="AH76" i="15"/>
  <c r="AO42" i="15"/>
  <c r="AP42" i="15" s="1"/>
  <c r="AO43" i="15"/>
  <c r="AP43" i="15" s="1"/>
  <c r="AO40" i="15"/>
  <c r="AP40" i="15" s="1"/>
  <c r="AP39" i="15"/>
  <c r="AO41" i="15"/>
  <c r="AP41" i="15" s="1"/>
  <c r="Y69" i="15"/>
  <c r="AH69" i="15"/>
  <c r="AH72" i="15"/>
  <c r="AH79" i="15"/>
  <c r="AO73" i="15"/>
  <c r="AP73" i="15" s="1"/>
  <c r="AO72" i="15"/>
  <c r="AP72" i="15" s="1"/>
  <c r="AO71" i="15"/>
  <c r="AP71" i="15" s="1"/>
  <c r="AO69" i="15"/>
  <c r="AP69" i="15" s="1"/>
  <c r="AO70" i="15"/>
  <c r="AP70" i="15" s="1"/>
  <c r="Y76" i="15"/>
  <c r="AH78" i="15"/>
  <c r="Y70" i="15"/>
  <c r="AH70" i="15"/>
  <c r="Y77" i="15"/>
  <c r="Y79" i="15"/>
  <c r="AH75" i="15"/>
  <c r="Y72" i="15"/>
  <c r="AH73" i="15"/>
  <c r="AQ33" i="15"/>
  <c r="AU37" i="15"/>
  <c r="AU101" i="15"/>
  <c r="AV101" i="15" s="1"/>
  <c r="U33" i="15"/>
  <c r="AU36" i="15"/>
  <c r="U54" i="15"/>
  <c r="AQ16" i="15"/>
  <c r="AU29" i="15"/>
  <c r="AQ9" i="15"/>
  <c r="AR9" i="15" s="1"/>
  <c r="AQ36" i="15"/>
  <c r="AQ18" i="15"/>
  <c r="AQ11" i="15"/>
  <c r="AR11" i="15" s="1"/>
  <c r="AQ3" i="15"/>
  <c r="AU55" i="15"/>
  <c r="AQ37" i="15"/>
  <c r="AO36" i="15"/>
  <c r="U36" i="15"/>
  <c r="AO35" i="15"/>
  <c r="AO6" i="15"/>
  <c r="AO9" i="15"/>
  <c r="AP9" i="15" s="1"/>
  <c r="AU33" i="15"/>
  <c r="AQ51" i="15"/>
  <c r="AU51" i="15"/>
  <c r="AO51" i="15"/>
  <c r="AQ31" i="15"/>
  <c r="AU9" i="15"/>
  <c r="AV9" i="15" s="1"/>
  <c r="AO33" i="15"/>
  <c r="U34" i="15"/>
  <c r="AQ27" i="15"/>
  <c r="AQ10" i="15"/>
  <c r="AO12" i="15"/>
  <c r="AQ61" i="15"/>
  <c r="AO27" i="15"/>
  <c r="U27" i="15"/>
  <c r="AQ6" i="15"/>
  <c r="AO4" i="15"/>
  <c r="AU6" i="15"/>
  <c r="AU54" i="15"/>
  <c r="AQ35" i="15"/>
  <c r="AQ54" i="15"/>
  <c r="AU93" i="15"/>
  <c r="AV93" i="15" s="1"/>
  <c r="AQ13" i="15"/>
  <c r="AQ53" i="15"/>
  <c r="AQ29" i="15"/>
  <c r="AQ17" i="15"/>
  <c r="AO18" i="15"/>
  <c r="AQ19" i="15"/>
  <c r="AU27" i="15"/>
  <c r="T88" i="12"/>
  <c r="T85" i="12"/>
  <c r="AU99" i="15"/>
  <c r="AO29" i="15"/>
  <c r="AU34" i="15"/>
  <c r="AQ12" i="15"/>
  <c r="AQ23" i="15"/>
  <c r="AO34" i="15"/>
  <c r="AU19" i="15"/>
  <c r="AQ52" i="15"/>
  <c r="AQ34" i="15"/>
  <c r="U29" i="15"/>
  <c r="AO55" i="15"/>
  <c r="U55" i="15"/>
  <c r="U37" i="15"/>
  <c r="AQ58" i="15"/>
  <c r="AU23" i="15"/>
  <c r="AO37" i="15"/>
  <c r="AQ4" i="15"/>
  <c r="AU12" i="15"/>
  <c r="AU7" i="15"/>
  <c r="U7" i="15"/>
  <c r="AO7" i="15"/>
  <c r="AU35" i="15"/>
  <c r="AV35" i="15" s="1"/>
  <c r="U4" i="15"/>
  <c r="AQ57" i="15"/>
  <c r="AQ5" i="15"/>
  <c r="AU52" i="15"/>
  <c r="AQ55" i="15"/>
  <c r="U35" i="15"/>
  <c r="AO19" i="15"/>
  <c r="U57" i="15"/>
  <c r="AU5" i="15"/>
  <c r="AV5" i="15" s="1"/>
  <c r="AU3" i="15"/>
  <c r="AO3" i="15"/>
  <c r="U5" i="15"/>
  <c r="AO57" i="15"/>
  <c r="U12" i="15"/>
  <c r="AO5" i="15"/>
  <c r="U19" i="15"/>
  <c r="BA15" i="15"/>
  <c r="BB15" i="15" s="1"/>
  <c r="AU17" i="15"/>
  <c r="U17" i="15"/>
  <c r="AO17" i="15"/>
  <c r="AO52" i="15"/>
  <c r="U52" i="15"/>
  <c r="U58" i="15"/>
  <c r="AU100" i="15"/>
  <c r="AV100" i="15" s="1"/>
  <c r="AO61" i="15"/>
  <c r="AU61" i="15"/>
  <c r="U61" i="15"/>
  <c r="AU53" i="15"/>
  <c r="AO53" i="15"/>
  <c r="U53" i="15"/>
  <c r="U18" i="15"/>
  <c r="U60" i="15"/>
  <c r="AQ60" i="15"/>
  <c r="AU60" i="15"/>
  <c r="AO60" i="15"/>
  <c r="AO54" i="15"/>
  <c r="AO58" i="15"/>
  <c r="U59" i="15"/>
  <c r="AU59" i="15"/>
  <c r="AO59" i="15"/>
  <c r="AQ59" i="15"/>
  <c r="U16" i="15"/>
  <c r="AU16" i="15"/>
  <c r="AO16" i="15"/>
  <c r="U51" i="15"/>
  <c r="AU58" i="15"/>
  <c r="AU18" i="15"/>
  <c r="AU30" i="15"/>
  <c r="AQ30" i="15"/>
  <c r="U30" i="15"/>
  <c r="AO30" i="15"/>
  <c r="AO23" i="15"/>
  <c r="AO31" i="15"/>
  <c r="U31" i="15"/>
  <c r="AU31" i="15"/>
  <c r="AQ22" i="15"/>
  <c r="AU22" i="15"/>
  <c r="U22" i="15"/>
  <c r="AO22" i="15"/>
  <c r="AU25" i="15"/>
  <c r="AV25" i="15" s="1"/>
  <c r="AO25" i="15"/>
  <c r="AQ25" i="15"/>
  <c r="U25" i="15"/>
  <c r="AU24" i="15"/>
  <c r="AO24" i="15"/>
  <c r="U24" i="15"/>
  <c r="AQ24" i="15"/>
  <c r="AO21" i="15"/>
  <c r="AQ21" i="15"/>
  <c r="AU21" i="15"/>
  <c r="U21" i="15"/>
  <c r="U13" i="15"/>
  <c r="AO13" i="15"/>
  <c r="AU13" i="15"/>
  <c r="I123" i="15"/>
  <c r="AU11" i="15"/>
  <c r="AV11" i="15" s="1"/>
  <c r="AO11" i="15"/>
  <c r="AP11" i="15" s="1"/>
  <c r="U11" i="15"/>
  <c r="V11" i="15" s="1"/>
  <c r="AU10" i="15"/>
  <c r="AO10" i="15"/>
  <c r="U10" i="15"/>
  <c r="AO28" i="15"/>
  <c r="AU28" i="15"/>
  <c r="U28" i="15"/>
  <c r="AQ28" i="15"/>
  <c r="AU94" i="15"/>
  <c r="AU95" i="15"/>
  <c r="AV95" i="15" s="1"/>
  <c r="BA93" i="15"/>
  <c r="BB93" i="15" s="1"/>
  <c r="J123" i="15"/>
  <c r="T87" i="12"/>
  <c r="T99" i="12"/>
  <c r="T89" i="12"/>
  <c r="T83" i="12"/>
  <c r="T100" i="12"/>
  <c r="T94" i="12"/>
  <c r="T84" i="12"/>
  <c r="T91" i="12"/>
  <c r="T101" i="12"/>
  <c r="BD97" i="15"/>
  <c r="BE97" i="15" s="1"/>
  <c r="M72" i="12"/>
  <c r="AQ101" i="15"/>
  <c r="AR101" i="15" s="1"/>
  <c r="AQ102" i="15"/>
  <c r="T96" i="12"/>
  <c r="T86" i="12"/>
  <c r="T97" i="12"/>
  <c r="AQ100" i="15"/>
  <c r="AR100" i="15" s="1"/>
  <c r="AQ103" i="15"/>
  <c r="M73" i="12"/>
  <c r="AE13" i="15" l="1"/>
  <c r="AE19" i="15"/>
  <c r="AE12" i="15"/>
  <c r="W99" i="15"/>
  <c r="AE9" i="15"/>
  <c r="AE11" i="15"/>
  <c r="AE17" i="15"/>
  <c r="M70" i="12"/>
  <c r="X70" i="12"/>
  <c r="W103" i="15"/>
  <c r="C113" i="18"/>
  <c r="AE15" i="15"/>
  <c r="W101" i="15"/>
  <c r="W100" i="15"/>
  <c r="AE10" i="15"/>
  <c r="AE18" i="15"/>
  <c r="AE7" i="15"/>
  <c r="AE6" i="15"/>
  <c r="AE3" i="15"/>
  <c r="AE4" i="15"/>
  <c r="AE5" i="15"/>
  <c r="AE22" i="15"/>
  <c r="AE24" i="15"/>
  <c r="AE25" i="15"/>
  <c r="AE21" i="15"/>
  <c r="AE23" i="15"/>
  <c r="AE100" i="15"/>
  <c r="AE102" i="15"/>
  <c r="AE99" i="15"/>
  <c r="AE101" i="15"/>
  <c r="AV94" i="15"/>
  <c r="V94" i="15"/>
  <c r="AE90" i="15"/>
  <c r="AE88" i="15"/>
  <c r="AE91" i="15"/>
  <c r="AE87" i="15"/>
  <c r="AE89" i="15"/>
  <c r="AV57" i="15"/>
  <c r="AE51" i="15"/>
  <c r="AE52" i="15"/>
  <c r="AE54" i="15"/>
  <c r="AE55" i="15"/>
  <c r="AE53" i="15"/>
  <c r="AE42" i="15"/>
  <c r="AE41" i="15"/>
  <c r="AE43" i="15"/>
  <c r="AE40" i="15"/>
  <c r="AE60" i="15"/>
  <c r="AE58" i="15"/>
  <c r="AE59" i="15"/>
  <c r="AE57" i="15"/>
  <c r="AE61" i="15"/>
  <c r="AV28" i="15"/>
  <c r="AV16" i="15"/>
  <c r="BY34" i="15"/>
  <c r="AV34" i="15"/>
  <c r="AV24" i="15"/>
  <c r="AY109" i="15"/>
  <c r="AZ109" i="15" s="1"/>
  <c r="AY108" i="15"/>
  <c r="AZ108" i="15" s="1"/>
  <c r="AY106" i="15"/>
  <c r="AZ106" i="15" s="1"/>
  <c r="AY105" i="15"/>
  <c r="AZ105" i="15" s="1"/>
  <c r="AV30" i="15"/>
  <c r="AV12" i="15"/>
  <c r="BY29" i="15"/>
  <c r="AV19" i="15"/>
  <c r="AV59" i="15"/>
  <c r="AV21" i="15"/>
  <c r="AV58" i="15"/>
  <c r="AP3" i="15"/>
  <c r="D499" i="12"/>
  <c r="D500" i="12" s="1"/>
  <c r="B499" i="12"/>
  <c r="B500" i="12" s="1"/>
  <c r="C499" i="12"/>
  <c r="C500" i="12" s="1"/>
  <c r="U124" i="12"/>
  <c r="BN95" i="15" s="1"/>
  <c r="BO95" i="15" s="1"/>
  <c r="U125" i="12"/>
  <c r="C232" i="18"/>
  <c r="BN25" i="15"/>
  <c r="BO25" i="15" s="1"/>
  <c r="C233" i="18"/>
  <c r="C228" i="18"/>
  <c r="G112" i="18"/>
  <c r="AV99" i="15"/>
  <c r="G105" i="18"/>
  <c r="AA108" i="15"/>
  <c r="AB108" i="15" s="1"/>
  <c r="AA109" i="15"/>
  <c r="AB109" i="15" s="1"/>
  <c r="AA107" i="15"/>
  <c r="AB107" i="15" s="1"/>
  <c r="C70" i="12"/>
  <c r="E113" i="18"/>
  <c r="AA114" i="15"/>
  <c r="AB114" i="15" s="1"/>
  <c r="AA113" i="15"/>
  <c r="AB113" i="15" s="1"/>
  <c r="AA121" i="15"/>
  <c r="AB121" i="15" s="1"/>
  <c r="G123" i="15"/>
  <c r="AB111" i="15"/>
  <c r="AA105" i="15"/>
  <c r="AB105" i="15" s="1"/>
  <c r="AB117" i="15"/>
  <c r="AV54" i="15"/>
  <c r="AV51" i="15"/>
  <c r="AV61" i="15"/>
  <c r="AV23" i="15"/>
  <c r="AV55" i="15"/>
  <c r="AV13" i="15"/>
  <c r="AV17" i="15"/>
  <c r="AV60" i="15"/>
  <c r="AV3" i="15"/>
  <c r="V3" i="15"/>
  <c r="AV37" i="15"/>
  <c r="AV27" i="15"/>
  <c r="AV22" i="15"/>
  <c r="AV7" i="15"/>
  <c r="AT7" i="15"/>
  <c r="AV53" i="15"/>
  <c r="AV52" i="15"/>
  <c r="AV6" i="15"/>
  <c r="AV33" i="15"/>
  <c r="AV36" i="15"/>
  <c r="AT4" i="15"/>
  <c r="AV10" i="15"/>
  <c r="AV31" i="15"/>
  <c r="AV18" i="15"/>
  <c r="AP5" i="15"/>
  <c r="AR5" i="15"/>
  <c r="AV29" i="15"/>
  <c r="BY5" i="15"/>
  <c r="BA5" i="15"/>
  <c r="BB5" i="15" s="1"/>
  <c r="AV4" i="15"/>
  <c r="AT6" i="15"/>
  <c r="AT3" i="15"/>
  <c r="G106" i="18"/>
  <c r="W22" i="15"/>
  <c r="X22" i="15" s="1"/>
  <c r="L60" i="12"/>
  <c r="W13" i="15" s="1"/>
  <c r="X13" i="15" s="1"/>
  <c r="W23" i="15"/>
  <c r="X23" i="15" s="1"/>
  <c r="W21" i="15"/>
  <c r="X21" i="15" s="1"/>
  <c r="W24" i="15"/>
  <c r="X24" i="15" s="1"/>
  <c r="BY99" i="15"/>
  <c r="BY59" i="15"/>
  <c r="BY60" i="15"/>
  <c r="BY17" i="15"/>
  <c r="BY13" i="15"/>
  <c r="BY3" i="15"/>
  <c r="BY30" i="15"/>
  <c r="BY55" i="15"/>
  <c r="BY27" i="15"/>
  <c r="BY102" i="15"/>
  <c r="BY28" i="15"/>
  <c r="BY6" i="15"/>
  <c r="BY37" i="15"/>
  <c r="BY52" i="15"/>
  <c r="BY12" i="15"/>
  <c r="BY57" i="15"/>
  <c r="BY21" i="15"/>
  <c r="BY51" i="15"/>
  <c r="BY4" i="15"/>
  <c r="BY10" i="15"/>
  <c r="BY25" i="15"/>
  <c r="BY19" i="15"/>
  <c r="BY18" i="15"/>
  <c r="BY54" i="15"/>
  <c r="BY24" i="15"/>
  <c r="BY61" i="15"/>
  <c r="BY103" i="15"/>
  <c r="BY58" i="15"/>
  <c r="BY31" i="15"/>
  <c r="BY22" i="15"/>
  <c r="BY36" i="15"/>
  <c r="BY7" i="15"/>
  <c r="BY16" i="15"/>
  <c r="BY23" i="15"/>
  <c r="X59" i="15"/>
  <c r="X30" i="15"/>
  <c r="AR3" i="15"/>
  <c r="AR57" i="15"/>
  <c r="AP57" i="15"/>
  <c r="AR12" i="15"/>
  <c r="AP12" i="15"/>
  <c r="AR18" i="15"/>
  <c r="AP18" i="15"/>
  <c r="AR54" i="15"/>
  <c r="AP54" i="15"/>
  <c r="AR24" i="15"/>
  <c r="AP24" i="15"/>
  <c r="AP55" i="15"/>
  <c r="AR55" i="15"/>
  <c r="AR33" i="15"/>
  <c r="AP33" i="15"/>
  <c r="AR22" i="15"/>
  <c r="AP22" i="15"/>
  <c r="AR52" i="15"/>
  <c r="AP52" i="15"/>
  <c r="AR96" i="15"/>
  <c r="AP27" i="15"/>
  <c r="AR27" i="15"/>
  <c r="AR60" i="15"/>
  <c r="AP60" i="15"/>
  <c r="AR102" i="15"/>
  <c r="AP59" i="15"/>
  <c r="AR59" i="15"/>
  <c r="AR13" i="15"/>
  <c r="AP13" i="15"/>
  <c r="AR17" i="15"/>
  <c r="AP17" i="15"/>
  <c r="AR99" i="15"/>
  <c r="AR37" i="15"/>
  <c r="AP37" i="15"/>
  <c r="AR28" i="15"/>
  <c r="AP28" i="15"/>
  <c r="AR16" i="15"/>
  <c r="AP16" i="15"/>
  <c r="AR19" i="15"/>
  <c r="AP19" i="15"/>
  <c r="AR31" i="15"/>
  <c r="AP31" i="15"/>
  <c r="AR6" i="15"/>
  <c r="AP6" i="15"/>
  <c r="AR10" i="15"/>
  <c r="AP10" i="15"/>
  <c r="AR58" i="15"/>
  <c r="AP58" i="15"/>
  <c r="AR21" i="15"/>
  <c r="AP21" i="15"/>
  <c r="AR36" i="15"/>
  <c r="AP36" i="15"/>
  <c r="AR4" i="15"/>
  <c r="AP4" i="15"/>
  <c r="AP7" i="15"/>
  <c r="AR7" i="15"/>
  <c r="AR29" i="15"/>
  <c r="AP29" i="15"/>
  <c r="V103" i="15"/>
  <c r="AR103" i="15"/>
  <c r="AP51" i="15"/>
  <c r="AR51" i="15"/>
  <c r="AR30" i="15"/>
  <c r="AP30" i="15"/>
  <c r="AP35" i="15"/>
  <c r="AR35" i="15"/>
  <c r="AR25" i="15"/>
  <c r="AP25" i="15"/>
  <c r="AR61" i="15"/>
  <c r="AP61" i="15"/>
  <c r="AR23" i="15"/>
  <c r="AP23" i="15"/>
  <c r="AR53" i="15"/>
  <c r="AP53" i="15"/>
  <c r="AR34" i="15"/>
  <c r="AP34" i="15"/>
  <c r="V19" i="15"/>
  <c r="V31" i="15"/>
  <c r="V10" i="15"/>
  <c r="V58" i="15"/>
  <c r="V21" i="15"/>
  <c r="BA7" i="15"/>
  <c r="BB7" i="15" s="1"/>
  <c r="V7" i="15"/>
  <c r="BA33" i="15"/>
  <c r="BB33" i="15" s="1"/>
  <c r="V33" i="15"/>
  <c r="V22" i="15"/>
  <c r="V52" i="15"/>
  <c r="V96" i="15"/>
  <c r="V27" i="15"/>
  <c r="V60" i="15"/>
  <c r="V102" i="15"/>
  <c r="V59" i="15"/>
  <c r="AW59" i="15" s="1"/>
  <c r="V13" i="15"/>
  <c r="V17" i="15"/>
  <c r="V99" i="15"/>
  <c r="V36" i="15"/>
  <c r="V4" i="15"/>
  <c r="V29" i="15"/>
  <c r="V51" i="15"/>
  <c r="V30" i="15"/>
  <c r="AW30" i="15" s="1"/>
  <c r="V35" i="15"/>
  <c r="V25" i="15"/>
  <c r="AW25" i="15" s="1"/>
  <c r="V61" i="15"/>
  <c r="BA23" i="15"/>
  <c r="BB23" i="15" s="1"/>
  <c r="V23" i="15"/>
  <c r="V53" i="15"/>
  <c r="V5" i="15"/>
  <c r="V34" i="15"/>
  <c r="V6" i="15"/>
  <c r="BA37" i="15"/>
  <c r="BB37" i="15" s="1"/>
  <c r="V37" i="15"/>
  <c r="BA3" i="15"/>
  <c r="BB3" i="15" s="1"/>
  <c r="V28" i="15"/>
  <c r="BA57" i="15"/>
  <c r="BB57" i="15" s="1"/>
  <c r="V57" i="15"/>
  <c r="V16" i="15"/>
  <c r="V97" i="15"/>
  <c r="V12" i="15"/>
  <c r="V18" i="15"/>
  <c r="V54" i="15"/>
  <c r="V24" i="15"/>
  <c r="V55" i="15"/>
  <c r="X25" i="15"/>
  <c r="AH42" i="15"/>
  <c r="AH43" i="15"/>
  <c r="AH41" i="15"/>
  <c r="AH39" i="15"/>
  <c r="AH40" i="15"/>
  <c r="C270" i="12"/>
  <c r="C255" i="12"/>
  <c r="C271" i="12"/>
  <c r="E376" i="12"/>
  <c r="G412" i="12"/>
  <c r="G429" i="12" s="1"/>
  <c r="F376" i="12"/>
  <c r="L412" i="12"/>
  <c r="L429" i="12" s="1"/>
  <c r="J412" i="12"/>
  <c r="J429" i="12" s="1"/>
  <c r="AD85" i="15"/>
  <c r="U85" i="15"/>
  <c r="V85" i="15" s="1"/>
  <c r="U82" i="15"/>
  <c r="V82" i="15" s="1"/>
  <c r="AD82" i="15"/>
  <c r="AD81" i="15"/>
  <c r="U81" i="15"/>
  <c r="V81" i="15" s="1"/>
  <c r="BD81" i="15"/>
  <c r="BE81" i="15" s="1"/>
  <c r="AD84" i="15"/>
  <c r="U83" i="15"/>
  <c r="V83" i="15" s="1"/>
  <c r="U84" i="15"/>
  <c r="V84" i="15" s="1"/>
  <c r="AD83" i="15"/>
  <c r="V70" i="12"/>
  <c r="BW96" i="15"/>
  <c r="CA84" i="15"/>
  <c r="CA81" i="15"/>
  <c r="CB81" i="15"/>
  <c r="CC81" i="15" s="1"/>
  <c r="CA79" i="15"/>
  <c r="CA76" i="15"/>
  <c r="CB85" i="15"/>
  <c r="CC85" i="15" s="1"/>
  <c r="CA82" i="15"/>
  <c r="CB82" i="15"/>
  <c r="CC82" i="15" s="1"/>
  <c r="CA77" i="15"/>
  <c r="CB75" i="15"/>
  <c r="CC75" i="15" s="1"/>
  <c r="CA78" i="15"/>
  <c r="C72" i="12"/>
  <c r="BX95" i="15"/>
  <c r="BY95" i="15" s="1"/>
  <c r="BX93" i="15"/>
  <c r="BY93" i="15" s="1"/>
  <c r="CA94" i="15"/>
  <c r="CB96" i="15"/>
  <c r="CC96" i="15" s="1"/>
  <c r="BX96" i="15"/>
  <c r="BY96" i="15" s="1"/>
  <c r="CB94" i="15"/>
  <c r="CC94" i="15" s="1"/>
  <c r="CA95" i="15"/>
  <c r="CA93" i="15"/>
  <c r="BW95" i="15"/>
  <c r="CB97" i="15"/>
  <c r="CC97" i="15" s="1"/>
  <c r="BX97" i="15"/>
  <c r="BY97" i="15" s="1"/>
  <c r="CB95" i="15"/>
  <c r="CC95" i="15" s="1"/>
  <c r="CA96" i="15"/>
  <c r="CB93" i="15"/>
  <c r="CC93" i="15" s="1"/>
  <c r="BX94" i="15"/>
  <c r="BY94" i="15" s="1"/>
  <c r="CA97" i="15"/>
  <c r="BW97" i="15"/>
  <c r="BW94" i="15"/>
  <c r="CA83" i="15"/>
  <c r="CB83" i="15"/>
  <c r="CC83" i="15" s="1"/>
  <c r="CA75" i="15"/>
  <c r="CB76" i="15"/>
  <c r="CC76" i="15" s="1"/>
  <c r="CB79" i="15"/>
  <c r="CC79" i="15" s="1"/>
  <c r="BW93" i="15"/>
  <c r="CB84" i="15"/>
  <c r="CC84" i="15" s="1"/>
  <c r="CA85" i="15"/>
  <c r="CB77" i="15"/>
  <c r="CC77" i="15" s="1"/>
  <c r="E77" i="12"/>
  <c r="BN81" i="15"/>
  <c r="BO81" i="15" s="1"/>
  <c r="BN83" i="15"/>
  <c r="BO83" i="15" s="1"/>
  <c r="BN82" i="15"/>
  <c r="BO82" i="15" s="1"/>
  <c r="BN31" i="15"/>
  <c r="BO31" i="15" s="1"/>
  <c r="BN61" i="15"/>
  <c r="BO61" i="15" s="1"/>
  <c r="BN54" i="15"/>
  <c r="BO54" i="15" s="1"/>
  <c r="BN99" i="15"/>
  <c r="BO99" i="15" s="1"/>
  <c r="Y95" i="12"/>
  <c r="BN87" i="15"/>
  <c r="BO87" i="15" s="1"/>
  <c r="BN88" i="15"/>
  <c r="BO88" i="15" s="1"/>
  <c r="BN89" i="15"/>
  <c r="BO89" i="15" s="1"/>
  <c r="BN24" i="15"/>
  <c r="BO24" i="15" s="1"/>
  <c r="BN101" i="15"/>
  <c r="BO101" i="15" s="1"/>
  <c r="Y101" i="12"/>
  <c r="BN75" i="15"/>
  <c r="BO75" i="15" s="1"/>
  <c r="BN76" i="15"/>
  <c r="BO76" i="15" s="1"/>
  <c r="BN77" i="15"/>
  <c r="BO77" i="15" s="1"/>
  <c r="Y100" i="12"/>
  <c r="BN71" i="15"/>
  <c r="BO71" i="15" s="1"/>
  <c r="BN70" i="15"/>
  <c r="BO70" i="15" s="1"/>
  <c r="BN69" i="15"/>
  <c r="BO69" i="15" s="1"/>
  <c r="BN100" i="15"/>
  <c r="BO100" i="15" s="1"/>
  <c r="AU82" i="15"/>
  <c r="AV82" i="15" s="1"/>
  <c r="BD94" i="15"/>
  <c r="BE94" i="15" s="1"/>
  <c r="BD77" i="15"/>
  <c r="BE77" i="15" s="1"/>
  <c r="BD95" i="15"/>
  <c r="BE95" i="15" s="1"/>
  <c r="BD100" i="15"/>
  <c r="BE100" i="15" s="1"/>
  <c r="BD99" i="15"/>
  <c r="BE99" i="15" s="1"/>
  <c r="BD101" i="15"/>
  <c r="BE101" i="15" s="1"/>
  <c r="BD102" i="15"/>
  <c r="BE102" i="15" s="1"/>
  <c r="BD103" i="15"/>
  <c r="BE103" i="15" s="1"/>
  <c r="BD75" i="15"/>
  <c r="BE75" i="15" s="1"/>
  <c r="BD93" i="15"/>
  <c r="BE93" i="15" s="1"/>
  <c r="BD79" i="15"/>
  <c r="BE79" i="15" s="1"/>
  <c r="BD76" i="15"/>
  <c r="BE76" i="15" s="1"/>
  <c r="BD96" i="15"/>
  <c r="BE96" i="15" s="1"/>
  <c r="Y28" i="15"/>
  <c r="Y51" i="15"/>
  <c r="Y59" i="15"/>
  <c r="Y60" i="15"/>
  <c r="Y57" i="15"/>
  <c r="Y7" i="15"/>
  <c r="Y29" i="15"/>
  <c r="Y23" i="15"/>
  <c r="Y13" i="15"/>
  <c r="Y25" i="15"/>
  <c r="Y16" i="15"/>
  <c r="Y18" i="15"/>
  <c r="Y52" i="15"/>
  <c r="Y17" i="15"/>
  <c r="Y37" i="15"/>
  <c r="Y36" i="15"/>
  <c r="Y33" i="15"/>
  <c r="Y42" i="15"/>
  <c r="Y6" i="15"/>
  <c r="Y21" i="15"/>
  <c r="Y31" i="15"/>
  <c r="Y35" i="15"/>
  <c r="Y55" i="15"/>
  <c r="Y54" i="15"/>
  <c r="Y9" i="15"/>
  <c r="Y39" i="15"/>
  <c r="Y40" i="15"/>
  <c r="Z40" i="15" s="1"/>
  <c r="Y41" i="15"/>
  <c r="Y22" i="15"/>
  <c r="Y53" i="15"/>
  <c r="Y19" i="15"/>
  <c r="Y5" i="15"/>
  <c r="Y27" i="15"/>
  <c r="Y34" i="15"/>
  <c r="Y3" i="15"/>
  <c r="Y43" i="15"/>
  <c r="Y15" i="15"/>
  <c r="AU81" i="15"/>
  <c r="AV81" i="15" s="1"/>
  <c r="AU83" i="15"/>
  <c r="AV83" i="15" s="1"/>
  <c r="N62" i="12"/>
  <c r="W42" i="15"/>
  <c r="X42" i="15" s="1"/>
  <c r="W29" i="15"/>
  <c r="X29" i="15" s="1"/>
  <c r="W60" i="15"/>
  <c r="X60" i="15" s="1"/>
  <c r="W31" i="15"/>
  <c r="X31" i="15" s="1"/>
  <c r="W39" i="15"/>
  <c r="X39" i="15" s="1"/>
  <c r="W28" i="15"/>
  <c r="X28" i="15" s="1"/>
  <c r="W27" i="15"/>
  <c r="X27" i="15" s="1"/>
  <c r="N63" i="12"/>
  <c r="W43" i="15"/>
  <c r="X43" i="15" s="1"/>
  <c r="W41" i="15"/>
  <c r="X41" i="15" s="1"/>
  <c r="AW40" i="15"/>
  <c r="C77" i="12"/>
  <c r="D77" i="12"/>
  <c r="L61" i="12"/>
  <c r="N61" i="12" s="1"/>
  <c r="L67" i="12"/>
  <c r="W52" i="15" s="1"/>
  <c r="X52" i="15" s="1"/>
  <c r="L64" i="12"/>
  <c r="W37" i="15" s="1"/>
  <c r="X37" i="15" s="1"/>
  <c r="AO79" i="15"/>
  <c r="AP79" i="15" s="1"/>
  <c r="AY45" i="15"/>
  <c r="N65" i="12"/>
  <c r="E72" i="12"/>
  <c r="E70" i="12"/>
  <c r="D70" i="12"/>
  <c r="N68" i="12"/>
  <c r="W90" i="15"/>
  <c r="X90" i="15" s="1"/>
  <c r="W87" i="15"/>
  <c r="X87" i="15" s="1"/>
  <c r="W89" i="15"/>
  <c r="X89" i="15" s="1"/>
  <c r="W88" i="15"/>
  <c r="W91" i="15"/>
  <c r="X91" i="15" s="1"/>
  <c r="AO76" i="15"/>
  <c r="AP76" i="15" s="1"/>
  <c r="AO78" i="15"/>
  <c r="AP78" i="15" s="1"/>
  <c r="AO75" i="15"/>
  <c r="AP75" i="15" s="1"/>
  <c r="AO77" i="15"/>
  <c r="AP77" i="15" s="1"/>
  <c r="BW81" i="15"/>
  <c r="W57" i="15"/>
  <c r="X57" i="15" s="1"/>
  <c r="W61" i="15"/>
  <c r="X61" i="15" s="1"/>
  <c r="W58" i="15"/>
  <c r="X58" i="15" s="1"/>
  <c r="AY47" i="15"/>
  <c r="W79" i="15"/>
  <c r="X79" i="15" s="1"/>
  <c r="AY48" i="15"/>
  <c r="AY46" i="15"/>
  <c r="AY49" i="15"/>
  <c r="BW79" i="15"/>
  <c r="W69" i="15"/>
  <c r="X69" i="15" s="1"/>
  <c r="W77" i="15"/>
  <c r="X77" i="15" s="1"/>
  <c r="W73" i="15"/>
  <c r="X73" i="15" s="1"/>
  <c r="W75" i="15"/>
  <c r="X75" i="15" s="1"/>
  <c r="W71" i="15"/>
  <c r="X71" i="15" s="1"/>
  <c r="W72" i="15"/>
  <c r="X72" i="15" s="1"/>
  <c r="W76" i="15"/>
  <c r="X76" i="15" s="1"/>
  <c r="W70" i="15"/>
  <c r="X70" i="15" s="1"/>
  <c r="W78" i="15"/>
  <c r="X78" i="15" s="1"/>
  <c r="Y4" i="15"/>
  <c r="BX76" i="15"/>
  <c r="BY76" i="15" s="1"/>
  <c r="BX75" i="15"/>
  <c r="BY75" i="15" s="1"/>
  <c r="BW76" i="15"/>
  <c r="BW77" i="15"/>
  <c r="BX79" i="15"/>
  <c r="BY79" i="15" s="1"/>
  <c r="BW75" i="15"/>
  <c r="BX77" i="15"/>
  <c r="BY77" i="15" s="1"/>
  <c r="BW78" i="15"/>
  <c r="BX78" i="15"/>
  <c r="BY78" i="15" s="1"/>
  <c r="D72" i="12"/>
  <c r="L72" i="12" s="1"/>
  <c r="N77" i="12"/>
  <c r="AR97" i="15"/>
  <c r="AR95" i="15"/>
  <c r="AR94" i="15"/>
  <c r="N73" i="12"/>
  <c r="BX90" i="15"/>
  <c r="BY90" i="15" s="1"/>
  <c r="BW88" i="15"/>
  <c r="BW90" i="15"/>
  <c r="BX87" i="15"/>
  <c r="BY87" i="15" s="1"/>
  <c r="BW91" i="15"/>
  <c r="BX89" i="15"/>
  <c r="BY89" i="15" s="1"/>
  <c r="BX91" i="15"/>
  <c r="BY91" i="15" s="1"/>
  <c r="BW89" i="15"/>
  <c r="BX88" i="15"/>
  <c r="BY88" i="15" s="1"/>
  <c r="BW87" i="15"/>
  <c r="BA51" i="15"/>
  <c r="BB51" i="15" s="1"/>
  <c r="BX83" i="15"/>
  <c r="BY83" i="15" s="1"/>
  <c r="E46" i="12"/>
  <c r="BW84" i="15"/>
  <c r="BX84" i="15"/>
  <c r="BY84" i="15" s="1"/>
  <c r="BW83" i="15"/>
  <c r="BX81" i="15"/>
  <c r="BY81" i="15" s="1"/>
  <c r="BX85" i="15"/>
  <c r="BY85" i="15" s="1"/>
  <c r="BW82" i="15"/>
  <c r="BW69" i="15"/>
  <c r="BX69" i="15"/>
  <c r="BY69" i="15" s="1"/>
  <c r="BW85" i="15"/>
  <c r="BX82" i="15"/>
  <c r="BY82" i="15" s="1"/>
  <c r="C18" i="5"/>
  <c r="BA34" i="15"/>
  <c r="BB34" i="15" s="1"/>
  <c r="C20" i="5"/>
  <c r="C21" i="5"/>
  <c r="C5" i="5"/>
  <c r="BA29" i="15"/>
  <c r="BB29" i="15" s="1"/>
  <c r="C8" i="5"/>
  <c r="BA101" i="15"/>
  <c r="BB101" i="15" s="1"/>
  <c r="BA102" i="15"/>
  <c r="BB102" i="15" s="1"/>
  <c r="BA84" i="15"/>
  <c r="BB84" i="15" s="1"/>
  <c r="BA4" i="15"/>
  <c r="BB4" i="15" s="1"/>
  <c r="BA12" i="15"/>
  <c r="BB12" i="15" s="1"/>
  <c r="BA9" i="15"/>
  <c r="BB9" i="15" s="1"/>
  <c r="BA6" i="15"/>
  <c r="BB6" i="15" s="1"/>
  <c r="BA36" i="15"/>
  <c r="BB36" i="15" s="1"/>
  <c r="BA35" i="15"/>
  <c r="BB35" i="15" s="1"/>
  <c r="C10" i="5"/>
  <c r="BA99" i="15"/>
  <c r="BB99" i="15" s="1"/>
  <c r="BA27" i="15"/>
  <c r="BB27" i="15" s="1"/>
  <c r="AJ6" i="15"/>
  <c r="AK6" i="15" s="1"/>
  <c r="Y95" i="15"/>
  <c r="Y96" i="15"/>
  <c r="Y12" i="15"/>
  <c r="C7" i="5"/>
  <c r="C6" i="5"/>
  <c r="BA55" i="15"/>
  <c r="BB55" i="15" s="1"/>
  <c r="AJ4" i="15"/>
  <c r="AK4" i="15" s="1"/>
  <c r="BA103" i="15"/>
  <c r="BB103" i="15" s="1"/>
  <c r="BA19" i="15"/>
  <c r="BB19" i="15" s="1"/>
  <c r="C9" i="5"/>
  <c r="BA30" i="15"/>
  <c r="BB30" i="15" s="1"/>
  <c r="BA59" i="15"/>
  <c r="BB59" i="15" s="1"/>
  <c r="BA100" i="15"/>
  <c r="BB100" i="15" s="1"/>
  <c r="BA53" i="15"/>
  <c r="BB53" i="15" s="1"/>
  <c r="BA61" i="15"/>
  <c r="BB61" i="15" s="1"/>
  <c r="C14" i="5"/>
  <c r="BA58" i="15"/>
  <c r="BB58" i="15" s="1"/>
  <c r="Y61" i="15"/>
  <c r="BA18" i="15"/>
  <c r="BB18" i="15" s="1"/>
  <c r="BA60" i="15"/>
  <c r="BB60" i="15" s="1"/>
  <c r="Y58" i="15"/>
  <c r="BA17" i="15"/>
  <c r="BB17" i="15" s="1"/>
  <c r="BA16" i="15"/>
  <c r="BB16" i="15" s="1"/>
  <c r="BA54" i="15"/>
  <c r="BB54" i="15" s="1"/>
  <c r="C13" i="5"/>
  <c r="BA52" i="15"/>
  <c r="BB52" i="15" s="1"/>
  <c r="AJ15" i="15"/>
  <c r="AK15" i="15" s="1"/>
  <c r="BA85" i="15"/>
  <c r="BB85" i="15" s="1"/>
  <c r="BA82" i="15"/>
  <c r="BB82" i="15" s="1"/>
  <c r="Y30" i="15"/>
  <c r="AJ34" i="15"/>
  <c r="AK34" i="15" s="1"/>
  <c r="BA31" i="15"/>
  <c r="BB31" i="15" s="1"/>
  <c r="BA21" i="15"/>
  <c r="BB21" i="15" s="1"/>
  <c r="Y24" i="15"/>
  <c r="BA25" i="15"/>
  <c r="BB25" i="15" s="1"/>
  <c r="BA24" i="15"/>
  <c r="BB24" i="15" s="1"/>
  <c r="BA22" i="15"/>
  <c r="BB22" i="15" s="1"/>
  <c r="Y10" i="15"/>
  <c r="Y11" i="15"/>
  <c r="BA10" i="15"/>
  <c r="BB10" i="15" s="1"/>
  <c r="BA11" i="15"/>
  <c r="BB11" i="15" s="1"/>
  <c r="BA13" i="15"/>
  <c r="BB13" i="15" s="1"/>
  <c r="BA83" i="15"/>
  <c r="BB83" i="15" s="1"/>
  <c r="BA81" i="15"/>
  <c r="BB81" i="15" s="1"/>
  <c r="AJ35" i="15"/>
  <c r="AK35" i="15" s="1"/>
  <c r="AJ36" i="15"/>
  <c r="AK36" i="15" s="1"/>
  <c r="BA28" i="15"/>
  <c r="BB28" i="15" s="1"/>
  <c r="BA95" i="15"/>
  <c r="BB95" i="15" s="1"/>
  <c r="AJ93" i="15"/>
  <c r="BA94" i="15"/>
  <c r="BB94" i="15" s="1"/>
  <c r="BA96" i="15"/>
  <c r="BB96" i="15" s="1"/>
  <c r="BA97" i="15"/>
  <c r="BB97" i="15" s="1"/>
  <c r="AO99" i="15"/>
  <c r="AP99" i="15" s="1"/>
  <c r="AO102" i="15"/>
  <c r="AP102" i="15" s="1"/>
  <c r="AO103" i="15"/>
  <c r="AP103" i="15" s="1"/>
  <c r="AO100" i="15"/>
  <c r="AP100" i="15" s="1"/>
  <c r="Y94" i="15"/>
  <c r="Y93" i="15"/>
  <c r="AO97" i="15"/>
  <c r="AP97" i="15" s="1"/>
  <c r="AO94" i="15"/>
  <c r="AP94" i="15" s="1"/>
  <c r="AO93" i="15"/>
  <c r="AP93" i="15" s="1"/>
  <c r="AO95" i="15"/>
  <c r="AP95" i="15" s="1"/>
  <c r="AO96" i="15"/>
  <c r="AP96" i="15" s="1"/>
  <c r="Y97" i="15"/>
  <c r="Y102" i="15"/>
  <c r="Y99" i="15"/>
  <c r="Y101" i="15"/>
  <c r="Y100" i="15"/>
  <c r="AO101" i="15"/>
  <c r="AP101" i="15" s="1"/>
  <c r="Y103" i="15"/>
  <c r="AK93" i="15" l="1"/>
  <c r="AE81" i="15"/>
  <c r="AE85" i="15"/>
  <c r="AE84" i="15"/>
  <c r="AE82" i="15"/>
  <c r="AE83" i="15"/>
  <c r="C25" i="5"/>
  <c r="BN93" i="15"/>
  <c r="BO93" i="15" s="1"/>
  <c r="BN94" i="15"/>
  <c r="BO94" i="15" s="1"/>
  <c r="C231" i="18"/>
  <c r="BN103" i="15"/>
  <c r="BO103" i="15" s="1"/>
  <c r="AF108" i="15"/>
  <c r="AF114" i="15"/>
  <c r="AF121" i="15"/>
  <c r="AF119" i="15"/>
  <c r="AF113" i="15"/>
  <c r="AF117" i="15"/>
  <c r="AF115" i="15"/>
  <c r="AF118" i="15"/>
  <c r="AF107" i="15"/>
  <c r="AF106" i="15"/>
  <c r="AF111" i="15"/>
  <c r="AF112" i="15"/>
  <c r="AF120" i="15"/>
  <c r="AF105" i="15"/>
  <c r="AF109" i="15"/>
  <c r="AA30" i="15"/>
  <c r="AB30" i="15" s="1"/>
  <c r="AA25" i="15"/>
  <c r="AB25" i="15" s="1"/>
  <c r="G113" i="18"/>
  <c r="AW23" i="15"/>
  <c r="AA23" i="15" s="1"/>
  <c r="AB23" i="15" s="1"/>
  <c r="AW22" i="15"/>
  <c r="AA22" i="15" s="1"/>
  <c r="AB22" i="15" s="1"/>
  <c r="AW21" i="15"/>
  <c r="AA21" i="15" s="1"/>
  <c r="AB21" i="15" s="1"/>
  <c r="W9" i="15"/>
  <c r="X9" i="15" s="1"/>
  <c r="W10" i="15"/>
  <c r="X10" i="15" s="1"/>
  <c r="N60" i="12"/>
  <c r="AW13" i="15"/>
  <c r="AA13" i="15" s="1"/>
  <c r="AB13" i="15" s="1"/>
  <c r="W12" i="15"/>
  <c r="X12" i="15" s="1"/>
  <c r="W11" i="15"/>
  <c r="X11" i="15" s="1"/>
  <c r="AW24" i="15"/>
  <c r="AA24" i="15" s="1"/>
  <c r="AB24" i="15" s="1"/>
  <c r="X88" i="15"/>
  <c r="AW88" i="15"/>
  <c r="CC123" i="15"/>
  <c r="Z22" i="15"/>
  <c r="AX24" i="15"/>
  <c r="BB123" i="15"/>
  <c r="Z25" i="15"/>
  <c r="Z21" i="15"/>
  <c r="Z23" i="15"/>
  <c r="Z13" i="15"/>
  <c r="Z59" i="15"/>
  <c r="Z30" i="15"/>
  <c r="AW41" i="15"/>
  <c r="AA41" i="15" s="1"/>
  <c r="AB41" i="15" s="1"/>
  <c r="AW29" i="15"/>
  <c r="AW43" i="15"/>
  <c r="AW42" i="15"/>
  <c r="AA42" i="15" s="1"/>
  <c r="AB42" i="15" s="1"/>
  <c r="AW61" i="15"/>
  <c r="AA61" i="15" s="1"/>
  <c r="AB61" i="15" s="1"/>
  <c r="AW58" i="15"/>
  <c r="AA58" i="15" s="1"/>
  <c r="AB58" i="15" s="1"/>
  <c r="AW39" i="15"/>
  <c r="AA39" i="15" s="1"/>
  <c r="AB39" i="15" s="1"/>
  <c r="Y82" i="15"/>
  <c r="Y84" i="15"/>
  <c r="Y81" i="15"/>
  <c r="Y85" i="15"/>
  <c r="Y83" i="15"/>
  <c r="C51" i="5"/>
  <c r="C256" i="12"/>
  <c r="C272" i="12"/>
  <c r="W4" i="15"/>
  <c r="X4" i="15" s="1"/>
  <c r="AF9" i="15"/>
  <c r="AG9" i="15" s="1"/>
  <c r="AF28" i="15"/>
  <c r="AG28" i="15" s="1"/>
  <c r="AF47" i="15"/>
  <c r="AF66" i="15"/>
  <c r="AG66" i="15" s="1"/>
  <c r="AF85" i="15"/>
  <c r="AG85" i="15" s="1"/>
  <c r="AF4" i="15"/>
  <c r="AG4" i="15" s="1"/>
  <c r="AF19" i="15"/>
  <c r="AG19" i="15" s="1"/>
  <c r="AF39" i="15"/>
  <c r="AF58" i="15"/>
  <c r="AF77" i="15"/>
  <c r="AF96" i="15"/>
  <c r="AG96" i="15" s="1"/>
  <c r="AF16" i="15"/>
  <c r="AG16" i="15" s="1"/>
  <c r="AF35" i="15"/>
  <c r="AG35" i="15" s="1"/>
  <c r="AF54" i="15"/>
  <c r="AG54" i="15" s="1"/>
  <c r="AF73" i="15"/>
  <c r="AF93" i="15"/>
  <c r="AG93" i="15" s="1"/>
  <c r="AF12" i="15"/>
  <c r="AG12" i="15" s="1"/>
  <c r="AF31" i="15"/>
  <c r="AG31" i="15" s="1"/>
  <c r="AF51" i="15"/>
  <c r="AG51" i="15" s="1"/>
  <c r="AF70" i="15"/>
  <c r="AF89" i="15"/>
  <c r="AF7" i="15"/>
  <c r="AG7" i="15" s="1"/>
  <c r="AF13" i="15"/>
  <c r="AG13" i="15" s="1"/>
  <c r="AF33" i="15"/>
  <c r="AG33" i="15" s="1"/>
  <c r="AF52" i="15"/>
  <c r="AG52" i="15" s="1"/>
  <c r="AF71" i="15"/>
  <c r="AF90" i="15"/>
  <c r="AF3" i="15"/>
  <c r="AG3" i="15" s="1"/>
  <c r="AF24" i="15"/>
  <c r="AG24" i="15" s="1"/>
  <c r="AF43" i="15"/>
  <c r="AF63" i="15"/>
  <c r="AG63" i="15" s="1"/>
  <c r="AF82" i="15"/>
  <c r="AG82" i="15" s="1"/>
  <c r="AF101" i="15"/>
  <c r="AG101" i="15" s="1"/>
  <c r="AF21" i="15"/>
  <c r="AG21" i="15" s="1"/>
  <c r="AF40" i="15"/>
  <c r="AF59" i="15"/>
  <c r="AF78" i="15"/>
  <c r="AF97" i="15"/>
  <c r="AG97" i="15" s="1"/>
  <c r="AF17" i="15"/>
  <c r="AG17" i="15" s="1"/>
  <c r="AF36" i="15"/>
  <c r="AG36" i="15" s="1"/>
  <c r="AF55" i="15"/>
  <c r="AG55" i="15" s="1"/>
  <c r="AF75" i="15"/>
  <c r="AF94" i="15"/>
  <c r="AG94" i="15" s="1"/>
  <c r="AF18" i="15"/>
  <c r="AG18" i="15" s="1"/>
  <c r="AF37" i="15"/>
  <c r="AG37" i="15" s="1"/>
  <c r="AF57" i="15"/>
  <c r="AF76" i="15"/>
  <c r="AF95" i="15"/>
  <c r="AG95" i="15" s="1"/>
  <c r="AF10" i="15"/>
  <c r="AG10" i="15" s="1"/>
  <c r="AF29" i="15"/>
  <c r="AG29" i="15" s="1"/>
  <c r="AF48" i="15"/>
  <c r="AF67" i="15"/>
  <c r="AG67" i="15" s="1"/>
  <c r="AF87" i="15"/>
  <c r="AF5" i="15"/>
  <c r="AG5" i="15" s="1"/>
  <c r="AF25" i="15"/>
  <c r="AG25" i="15" s="1"/>
  <c r="AF45" i="15"/>
  <c r="AF64" i="15"/>
  <c r="AG64" i="15" s="1"/>
  <c r="AF83" i="15"/>
  <c r="AG83" i="15" s="1"/>
  <c r="AF102" i="15"/>
  <c r="AG102" i="15" s="1"/>
  <c r="AF22" i="15"/>
  <c r="AG22" i="15" s="1"/>
  <c r="AF41" i="15"/>
  <c r="AF60" i="15"/>
  <c r="AF79" i="15"/>
  <c r="AF99" i="15"/>
  <c r="AG99" i="15" s="1"/>
  <c r="AF23" i="15"/>
  <c r="AG23" i="15" s="1"/>
  <c r="AF42" i="15"/>
  <c r="AF61" i="15"/>
  <c r="AF81" i="15"/>
  <c r="AG81" i="15" s="1"/>
  <c r="AF100" i="15"/>
  <c r="AF15" i="15"/>
  <c r="AG15" i="15" s="1"/>
  <c r="AF34" i="15"/>
  <c r="AG34" i="15" s="1"/>
  <c r="AF53" i="15"/>
  <c r="AG53" i="15" s="1"/>
  <c r="AF72" i="15"/>
  <c r="AF91" i="15"/>
  <c r="AF11" i="15"/>
  <c r="AG11" i="15" s="1"/>
  <c r="AF30" i="15"/>
  <c r="AG30" i="15" s="1"/>
  <c r="AF49" i="15"/>
  <c r="AF69" i="15"/>
  <c r="AF88" i="15"/>
  <c r="AF6" i="15"/>
  <c r="AF27" i="15"/>
  <c r="AG27" i="15" s="1"/>
  <c r="AF46" i="15"/>
  <c r="AF65" i="15"/>
  <c r="AG65" i="15" s="1"/>
  <c r="AF84" i="15"/>
  <c r="AG84" i="15" s="1"/>
  <c r="AF103" i="15"/>
  <c r="AG103" i="15" s="1"/>
  <c r="F377" i="12"/>
  <c r="J413" i="12"/>
  <c r="J430" i="12" s="1"/>
  <c r="J447" i="12" s="1"/>
  <c r="L413" i="12"/>
  <c r="L430" i="12" s="1"/>
  <c r="L447" i="12" s="1"/>
  <c r="E377" i="12"/>
  <c r="G413" i="12"/>
  <c r="G430" i="12" s="1"/>
  <c r="G447" i="12" s="1"/>
  <c r="AO85" i="15"/>
  <c r="AP85" i="15" s="1"/>
  <c r="AO83" i="15"/>
  <c r="AP83" i="15" s="1"/>
  <c r="BD83" i="15"/>
  <c r="BE83" i="15" s="1"/>
  <c r="AO84" i="15"/>
  <c r="AP84" i="15" s="1"/>
  <c r="BD84" i="15"/>
  <c r="BE84" i="15" s="1"/>
  <c r="AO82" i="15"/>
  <c r="AP82" i="15" s="1"/>
  <c r="BD85" i="15"/>
  <c r="BE85" i="15" s="1"/>
  <c r="BD82" i="15"/>
  <c r="BE82" i="15" s="1"/>
  <c r="AO81" i="15"/>
  <c r="AP81" i="15" s="1"/>
  <c r="AX13" i="15"/>
  <c r="AX59" i="15"/>
  <c r="AY59" i="15" s="1"/>
  <c r="AZ59" i="15" s="1"/>
  <c r="AX28" i="15"/>
  <c r="AX40" i="15"/>
  <c r="AY40" i="15" s="1"/>
  <c r="AZ40" i="15" s="1"/>
  <c r="AX21" i="15"/>
  <c r="AX25" i="15"/>
  <c r="AY25" i="15" s="1"/>
  <c r="AZ25" i="15" s="1"/>
  <c r="AX60" i="15"/>
  <c r="AX23" i="15"/>
  <c r="AY23" i="15" s="1"/>
  <c r="AZ23" i="15" s="1"/>
  <c r="CA123" i="15"/>
  <c r="CB123" i="15"/>
  <c r="AX22" i="15"/>
  <c r="Z37" i="15"/>
  <c r="BN97" i="15"/>
  <c r="BO97" i="15" s="1"/>
  <c r="BN96" i="15"/>
  <c r="BO96" i="15" s="1"/>
  <c r="BN102" i="15"/>
  <c r="BO102" i="15" s="1"/>
  <c r="BN85" i="15"/>
  <c r="BO85" i="15" s="1"/>
  <c r="BN84" i="15"/>
  <c r="BO84" i="15" s="1"/>
  <c r="Z27" i="15"/>
  <c r="AA59" i="15"/>
  <c r="AB59" i="15" s="1"/>
  <c r="AA40" i="15"/>
  <c r="AB40" i="15" s="1"/>
  <c r="AW76" i="15"/>
  <c r="AA76" i="15" s="1"/>
  <c r="AB76" i="15" s="1"/>
  <c r="Z76" i="15"/>
  <c r="AW77" i="15"/>
  <c r="Z77" i="15"/>
  <c r="Z31" i="15"/>
  <c r="Z52" i="15"/>
  <c r="Z29" i="15"/>
  <c r="Z57" i="15"/>
  <c r="Z78" i="15"/>
  <c r="Z75" i="15"/>
  <c r="Z41" i="15"/>
  <c r="Z58" i="15"/>
  <c r="AW70" i="15"/>
  <c r="AA70" i="15" s="1"/>
  <c r="AB70" i="15" s="1"/>
  <c r="Z70" i="15"/>
  <c r="AW72" i="15"/>
  <c r="AA72" i="15" s="1"/>
  <c r="AB72" i="15" s="1"/>
  <c r="Z72" i="15"/>
  <c r="Z39" i="15"/>
  <c r="Z61" i="15"/>
  <c r="Z28" i="15"/>
  <c r="AW71" i="15"/>
  <c r="Z71" i="15"/>
  <c r="AW73" i="15"/>
  <c r="Z73" i="15"/>
  <c r="AW69" i="15"/>
  <c r="Z69" i="15"/>
  <c r="AX79" i="15"/>
  <c r="Z79" i="15"/>
  <c r="Z43" i="15"/>
  <c r="Z42" i="15"/>
  <c r="Z60" i="15"/>
  <c r="Z24" i="15"/>
  <c r="AW27" i="15"/>
  <c r="AA27" i="15" s="1"/>
  <c r="AB27" i="15" s="1"/>
  <c r="AX42" i="15"/>
  <c r="AX27" i="15"/>
  <c r="AX39" i="15"/>
  <c r="AW60" i="15"/>
  <c r="W18" i="15"/>
  <c r="X18" i="15" s="1"/>
  <c r="AW28" i="15"/>
  <c r="AA28" i="15" s="1"/>
  <c r="AB28" i="15" s="1"/>
  <c r="W15" i="15"/>
  <c r="X15" i="15" s="1"/>
  <c r="AX29" i="15"/>
  <c r="AX41" i="15"/>
  <c r="W19" i="15"/>
  <c r="X19" i="15" s="1"/>
  <c r="W17" i="15"/>
  <c r="X17" i="15" s="1"/>
  <c r="AW31" i="15"/>
  <c r="AA31" i="15" s="1"/>
  <c r="AB31" i="15" s="1"/>
  <c r="AX43" i="15"/>
  <c r="AX31" i="15"/>
  <c r="W16" i="15"/>
  <c r="X16" i="15" s="1"/>
  <c r="AW37" i="15"/>
  <c r="AA37" i="15" s="1"/>
  <c r="AB37" i="15" s="1"/>
  <c r="W34" i="15"/>
  <c r="X34" i="15" s="1"/>
  <c r="AX37" i="15"/>
  <c r="W33" i="15"/>
  <c r="X33" i="15" s="1"/>
  <c r="W35" i="15"/>
  <c r="X35" i="15" s="1"/>
  <c r="W36" i="15"/>
  <c r="X36" i="15" s="1"/>
  <c r="W5" i="15"/>
  <c r="X5" i="15" s="1"/>
  <c r="N64" i="12"/>
  <c r="AX52" i="15"/>
  <c r="AW52" i="15"/>
  <c r="AA52" i="15" s="1"/>
  <c r="AB52" i="15" s="1"/>
  <c r="L70" i="12"/>
  <c r="N70" i="12" s="1"/>
  <c r="AX57" i="15"/>
  <c r="N67" i="12"/>
  <c r="W6" i="15"/>
  <c r="X6" i="15" s="1"/>
  <c r="W51" i="15"/>
  <c r="X51" i="15" s="1"/>
  <c r="N59" i="12"/>
  <c r="W54" i="15"/>
  <c r="X54" i="15" s="1"/>
  <c r="AW57" i="15"/>
  <c r="W7" i="15"/>
  <c r="X7" i="15" s="1"/>
  <c r="W55" i="15"/>
  <c r="X55" i="15" s="1"/>
  <c r="W3" i="15"/>
  <c r="X3" i="15" s="1"/>
  <c r="W53" i="15"/>
  <c r="X53" i="15" s="1"/>
  <c r="X99" i="15"/>
  <c r="X101" i="15"/>
  <c r="X103" i="15"/>
  <c r="X102" i="15"/>
  <c r="X100" i="15"/>
  <c r="N72" i="12"/>
  <c r="AW79" i="15"/>
  <c r="AX77" i="15"/>
  <c r="AX78" i="15"/>
  <c r="AX75" i="15"/>
  <c r="AW78" i="15"/>
  <c r="AA78" i="15" s="1"/>
  <c r="AB78" i="15" s="1"/>
  <c r="AW75" i="15"/>
  <c r="AA75" i="15" s="1"/>
  <c r="AB75" i="15" s="1"/>
  <c r="AX69" i="15"/>
  <c r="AX70" i="15"/>
  <c r="AX76" i="15"/>
  <c r="AX71" i="15"/>
  <c r="AX72" i="15"/>
  <c r="AX73" i="15"/>
  <c r="P123" i="15"/>
  <c r="Q126" i="15" s="1"/>
  <c r="AJ51" i="15"/>
  <c r="AJ9" i="15"/>
  <c r="AJ5" i="15"/>
  <c r="AU97" i="15"/>
  <c r="AV97" i="15" s="1"/>
  <c r="AU103" i="15"/>
  <c r="AV103" i="15" s="1"/>
  <c r="AH93" i="15"/>
  <c r="AU79" i="15"/>
  <c r="AV79" i="15" s="1"/>
  <c r="AU75" i="15"/>
  <c r="AV75" i="15" s="1"/>
  <c r="AU76" i="15"/>
  <c r="AV76" i="15" s="1"/>
  <c r="AU78" i="15"/>
  <c r="AV78" i="15" s="1"/>
  <c r="AU77" i="15"/>
  <c r="AV77" i="15" s="1"/>
  <c r="AU63" i="15"/>
  <c r="AV63" i="15" s="1"/>
  <c r="AU65" i="15"/>
  <c r="AV65" i="15" s="1"/>
  <c r="AU67" i="15"/>
  <c r="AV67" i="15" s="1"/>
  <c r="AU66" i="15"/>
  <c r="AV66" i="15" s="1"/>
  <c r="AU64" i="15"/>
  <c r="AV64" i="15" s="1"/>
  <c r="AU70" i="15"/>
  <c r="AV70" i="15" s="1"/>
  <c r="AU69" i="15"/>
  <c r="AV69" i="15" s="1"/>
  <c r="AU73" i="15"/>
  <c r="AV73" i="15" s="1"/>
  <c r="AU72" i="15"/>
  <c r="AV72" i="15" s="1"/>
  <c r="AU71" i="15"/>
  <c r="AV71" i="15" s="1"/>
  <c r="AU88" i="15"/>
  <c r="AV88" i="15" s="1"/>
  <c r="AU90" i="15"/>
  <c r="AV90" i="15" s="1"/>
  <c r="AU87" i="15"/>
  <c r="AV87" i="15" s="1"/>
  <c r="AU91" i="15"/>
  <c r="AV91" i="15" s="1"/>
  <c r="AU89" i="15"/>
  <c r="AV89" i="15" s="1"/>
  <c r="AU102" i="15"/>
  <c r="AV102" i="15" s="1"/>
  <c r="AU96" i="15"/>
  <c r="AV96" i="15" s="1"/>
  <c r="AU84" i="15"/>
  <c r="AV84" i="15" s="1"/>
  <c r="AJ27" i="15"/>
  <c r="BT27" i="15"/>
  <c r="BU27" i="15" s="1"/>
  <c r="AU85" i="15"/>
  <c r="AV85" i="15" s="1"/>
  <c r="N46" i="12"/>
  <c r="BT29" i="15"/>
  <c r="BU29" i="15" s="1"/>
  <c r="AJ29" i="15"/>
  <c r="BT84" i="15"/>
  <c r="BU84" i="15" s="1"/>
  <c r="AJ99" i="15"/>
  <c r="AJ101" i="15"/>
  <c r="BT12" i="15"/>
  <c r="BU12" i="15" s="1"/>
  <c r="AJ102" i="15"/>
  <c r="BT102" i="15"/>
  <c r="BU102" i="15" s="1"/>
  <c r="AJ33" i="15"/>
  <c r="AJ84" i="15"/>
  <c r="AK84" i="15" s="1"/>
  <c r="AJ57" i="15"/>
  <c r="AK57" i="15" s="1"/>
  <c r="AJ23" i="15"/>
  <c r="AJ12" i="15"/>
  <c r="AJ7" i="15"/>
  <c r="BT5" i="15"/>
  <c r="BU5" i="15" s="1"/>
  <c r="BT6" i="15"/>
  <c r="BU6" i="15" s="1"/>
  <c r="AH102" i="15"/>
  <c r="AJ30" i="15"/>
  <c r="AH6" i="15"/>
  <c r="AJ37" i="15"/>
  <c r="AX30" i="15"/>
  <c r="AY30" i="15" s="1"/>
  <c r="AZ30" i="15" s="1"/>
  <c r="AJ3" i="15"/>
  <c r="AH4" i="15"/>
  <c r="AJ55" i="15"/>
  <c r="AJ19" i="15"/>
  <c r="AJ103" i="15"/>
  <c r="AX58" i="15"/>
  <c r="AJ16" i="15"/>
  <c r="AJ18" i="15"/>
  <c r="AH15" i="15"/>
  <c r="AJ52" i="15"/>
  <c r="AJ17" i="15"/>
  <c r="AJ58" i="15"/>
  <c r="AK58" i="15" s="1"/>
  <c r="AJ61" i="15"/>
  <c r="AK61" i="15" s="1"/>
  <c r="AJ53" i="15"/>
  <c r="AJ59" i="15"/>
  <c r="AK59" i="15" s="1"/>
  <c r="BT15" i="15"/>
  <c r="BU15" i="15" s="1"/>
  <c r="AJ60" i="15"/>
  <c r="AK60" i="15" s="1"/>
  <c r="AX61" i="15"/>
  <c r="AJ100" i="15"/>
  <c r="AJ54" i="15"/>
  <c r="AJ82" i="15"/>
  <c r="AK82" i="15" s="1"/>
  <c r="AJ85" i="15"/>
  <c r="AK85" i="15" s="1"/>
  <c r="BT34" i="15"/>
  <c r="BU34" i="15" s="1"/>
  <c r="AH34" i="15"/>
  <c r="AJ31" i="15"/>
  <c r="AJ21" i="15"/>
  <c r="AJ22" i="15"/>
  <c r="AJ25" i="15"/>
  <c r="AJ24" i="15"/>
  <c r="AJ10" i="15"/>
  <c r="AJ13" i="15"/>
  <c r="AJ11" i="15"/>
  <c r="AJ83" i="15"/>
  <c r="AK83" i="15" s="1"/>
  <c r="AJ81" i="15"/>
  <c r="AK81" i="15" s="1"/>
  <c r="AH36" i="15"/>
  <c r="BT35" i="15"/>
  <c r="BU35" i="15" s="1"/>
  <c r="BT36" i="15"/>
  <c r="BU36" i="15" s="1"/>
  <c r="AH35" i="15"/>
  <c r="AJ28" i="15"/>
  <c r="BT93" i="15"/>
  <c r="BU93" i="15" s="1"/>
  <c r="AJ95" i="15"/>
  <c r="BA123" i="15"/>
  <c r="AJ96" i="15"/>
  <c r="AJ94" i="15"/>
  <c r="AJ97" i="15"/>
  <c r="AK10" i="15" l="1"/>
  <c r="AK11" i="15"/>
  <c r="AK18" i="15"/>
  <c r="AK19" i="15"/>
  <c r="AK12" i="15"/>
  <c r="AK33" i="15"/>
  <c r="AK9" i="15"/>
  <c r="AK17" i="15"/>
  <c r="AK16" i="15"/>
  <c r="AK37" i="15"/>
  <c r="AK13" i="15"/>
  <c r="AG6" i="15"/>
  <c r="AK3" i="15"/>
  <c r="AK5" i="15"/>
  <c r="AK7" i="15"/>
  <c r="AK28" i="15"/>
  <c r="AK27" i="15"/>
  <c r="AK31" i="15"/>
  <c r="AK30" i="15"/>
  <c r="AK29" i="15"/>
  <c r="AK21" i="15"/>
  <c r="AK25" i="15"/>
  <c r="AK22" i="15"/>
  <c r="AK23" i="15"/>
  <c r="AK24" i="15"/>
  <c r="BK117" i="15"/>
  <c r="AK101" i="15"/>
  <c r="AK102" i="15"/>
  <c r="AK103" i="15"/>
  <c r="AK100" i="15"/>
  <c r="AK99" i="15"/>
  <c r="AK96" i="15"/>
  <c r="AK97" i="15"/>
  <c r="AK95" i="15"/>
  <c r="AK94" i="15"/>
  <c r="AG91" i="15"/>
  <c r="AG87" i="15"/>
  <c r="AG89" i="15"/>
  <c r="AG88" i="15"/>
  <c r="AG90" i="15"/>
  <c r="AG79" i="15"/>
  <c r="AG76" i="15"/>
  <c r="AG77" i="15"/>
  <c r="AG75" i="15"/>
  <c r="AG78" i="15"/>
  <c r="AG73" i="15"/>
  <c r="AG69" i="15"/>
  <c r="AG72" i="15"/>
  <c r="AG71" i="15"/>
  <c r="AI71" i="15" s="1"/>
  <c r="AG70" i="15"/>
  <c r="AK53" i="15"/>
  <c r="AK52" i="15"/>
  <c r="AK54" i="15"/>
  <c r="AK55" i="15"/>
  <c r="AK51" i="15"/>
  <c r="AG43" i="15"/>
  <c r="AG40" i="15"/>
  <c r="AG41" i="15"/>
  <c r="AG39" i="15"/>
  <c r="AI39" i="15" s="1"/>
  <c r="AG61" i="15"/>
  <c r="AG60" i="15"/>
  <c r="AG57" i="15"/>
  <c r="AG59" i="15"/>
  <c r="AG58" i="15"/>
  <c r="M60" i="5"/>
  <c r="M64" i="5" s="1"/>
  <c r="BL118" i="15"/>
  <c r="AL118" i="15" s="1"/>
  <c r="AM118" i="15" s="1"/>
  <c r="BK118" i="15"/>
  <c r="BQ118" i="15" s="1"/>
  <c r="BR118" i="15" s="1"/>
  <c r="BL119" i="15"/>
  <c r="AL119" i="15" s="1"/>
  <c r="BK119" i="15"/>
  <c r="BQ119" i="15" s="1"/>
  <c r="BR119" i="15" s="1"/>
  <c r="BL121" i="15"/>
  <c r="AL121" i="15" s="1"/>
  <c r="BK121" i="15"/>
  <c r="BK120" i="15"/>
  <c r="BQ120" i="15" s="1"/>
  <c r="BR120" i="15" s="1"/>
  <c r="BL120" i="15"/>
  <c r="AL120" i="15" s="1"/>
  <c r="AM120" i="15" s="1"/>
  <c r="BK112" i="15"/>
  <c r="BQ112" i="15" s="1"/>
  <c r="BR112" i="15" s="1"/>
  <c r="BL112" i="15"/>
  <c r="AL112" i="15" s="1"/>
  <c r="BL111" i="15"/>
  <c r="AL111" i="15" s="1"/>
  <c r="BK111" i="15"/>
  <c r="BL115" i="15"/>
  <c r="AL115" i="15" s="1"/>
  <c r="BK115" i="15"/>
  <c r="BL114" i="15"/>
  <c r="AL114" i="15" s="1"/>
  <c r="BK114" i="15"/>
  <c r="BQ114" i="15" s="1"/>
  <c r="BR114" i="15" s="1"/>
  <c r="BL113" i="15"/>
  <c r="AL113" i="15" s="1"/>
  <c r="BK113" i="15"/>
  <c r="BQ113" i="15" s="1"/>
  <c r="BR113" i="15" s="1"/>
  <c r="AY60" i="15"/>
  <c r="AZ60" i="15" s="1"/>
  <c r="AG109" i="15"/>
  <c r="AI109" i="15" s="1"/>
  <c r="BK109" i="15"/>
  <c r="BL109" i="15"/>
  <c r="AL109" i="15" s="1"/>
  <c r="AM109" i="15" s="1"/>
  <c r="AG111" i="15"/>
  <c r="AI111" i="15" s="1"/>
  <c r="AM111" i="15"/>
  <c r="AM115" i="15"/>
  <c r="AG115" i="15"/>
  <c r="AI115" i="15" s="1"/>
  <c r="AG121" i="15"/>
  <c r="AI121" i="15" s="1"/>
  <c r="AM121" i="15"/>
  <c r="AG105" i="15"/>
  <c r="AI105" i="15" s="1"/>
  <c r="BK105" i="15"/>
  <c r="BL105" i="15"/>
  <c r="AL105" i="15" s="1"/>
  <c r="AM105" i="15" s="1"/>
  <c r="AG106" i="15"/>
  <c r="AI106" i="15" s="1"/>
  <c r="AM106" i="15"/>
  <c r="BK106" i="15"/>
  <c r="BL106" i="15"/>
  <c r="AL106" i="15" s="1"/>
  <c r="AG117" i="15"/>
  <c r="AI117" i="15" s="1"/>
  <c r="BL117" i="15"/>
  <c r="BQ117" i="15" s="1"/>
  <c r="BR117" i="15" s="1"/>
  <c r="AM117" i="15"/>
  <c r="AG114" i="15"/>
  <c r="AI114" i="15" s="1"/>
  <c r="AM114" i="15"/>
  <c r="AG120" i="15"/>
  <c r="AI120" i="15" s="1"/>
  <c r="AG107" i="15"/>
  <c r="AI107" i="15" s="1"/>
  <c r="BK107" i="15"/>
  <c r="BL107" i="15"/>
  <c r="AL107" i="15" s="1"/>
  <c r="AM107" i="15"/>
  <c r="AG113" i="15"/>
  <c r="AI113" i="15" s="1"/>
  <c r="AM113" i="15"/>
  <c r="AG108" i="15"/>
  <c r="AI108" i="15" s="1"/>
  <c r="BL108" i="15"/>
  <c r="AL108" i="15" s="1"/>
  <c r="BK108" i="15"/>
  <c r="AM108" i="15"/>
  <c r="AG112" i="15"/>
  <c r="AI112" i="15" s="1"/>
  <c r="AM112" i="15"/>
  <c r="AG118" i="15"/>
  <c r="AI118" i="15" s="1"/>
  <c r="AG119" i="15"/>
  <c r="AI119" i="15" s="1"/>
  <c r="AM119" i="15"/>
  <c r="BO123" i="15"/>
  <c r="AX10" i="15"/>
  <c r="AV123" i="15"/>
  <c r="L50" i="5" s="1"/>
  <c r="AY22" i="15"/>
  <c r="AZ22" i="15" s="1"/>
  <c r="AY21" i="15"/>
  <c r="AZ21" i="15" s="1"/>
  <c r="AX11" i="15"/>
  <c r="Z11" i="15"/>
  <c r="Z10" i="15"/>
  <c r="AY24" i="15"/>
  <c r="AZ24" i="15" s="1"/>
  <c r="AY42" i="15"/>
  <c r="AZ42" i="15" s="1"/>
  <c r="AX12" i="15"/>
  <c r="AX9" i="15"/>
  <c r="AW12" i="15"/>
  <c r="Z12" i="15"/>
  <c r="AW9" i="15"/>
  <c r="AA9" i="15" s="1"/>
  <c r="AB9" i="15" s="1"/>
  <c r="Z9" i="15"/>
  <c r="AW10" i="15"/>
  <c r="AA10" i="15" s="1"/>
  <c r="AB10" i="15" s="1"/>
  <c r="AW11" i="15"/>
  <c r="AA11" i="15" s="1"/>
  <c r="AB11" i="15" s="1"/>
  <c r="AY13" i="15"/>
  <c r="AZ13" i="15" s="1"/>
  <c r="AG100" i="15"/>
  <c r="BK100" i="15"/>
  <c r="D53" i="5"/>
  <c r="C26" i="18"/>
  <c r="F53" i="5"/>
  <c r="I53" i="5" s="1"/>
  <c r="AY58" i="15"/>
  <c r="AZ58" i="15" s="1"/>
  <c r="F57" i="5"/>
  <c r="AY29" i="15"/>
  <c r="AZ29" i="15" s="1"/>
  <c r="AY57" i="15"/>
  <c r="AZ57" i="15" s="1"/>
  <c r="AY69" i="15"/>
  <c r="AZ69" i="15" s="1"/>
  <c r="AY73" i="15"/>
  <c r="AZ73" i="15" s="1"/>
  <c r="AM41" i="15"/>
  <c r="AY61" i="15"/>
  <c r="AZ61" i="15" s="1"/>
  <c r="AY41" i="15"/>
  <c r="AZ41" i="15" s="1"/>
  <c r="AY39" i="15"/>
  <c r="AZ39" i="15" s="1"/>
  <c r="AM71" i="15"/>
  <c r="L51" i="5"/>
  <c r="AM40" i="15"/>
  <c r="BK42" i="15"/>
  <c r="AG42" i="15"/>
  <c r="AM43" i="15"/>
  <c r="AA43" i="15"/>
  <c r="AB43" i="15" s="1"/>
  <c r="AM42" i="15"/>
  <c r="AA29" i="15"/>
  <c r="AB29" i="15" s="1"/>
  <c r="AY43" i="15"/>
  <c r="AZ43" i="15" s="1"/>
  <c r="BL69" i="15"/>
  <c r="AL69" i="15" s="1"/>
  <c r="AM69" i="15" s="1"/>
  <c r="AI69" i="15"/>
  <c r="BK15" i="15"/>
  <c r="BL42" i="15"/>
  <c r="AL42" i="15" s="1"/>
  <c r="BK60" i="15"/>
  <c r="BK75" i="15"/>
  <c r="AI75" i="15"/>
  <c r="AI43" i="15"/>
  <c r="BK4" i="15"/>
  <c r="BL72" i="15"/>
  <c r="AL72" i="15" s="1"/>
  <c r="AI72" i="15"/>
  <c r="AI41" i="15"/>
  <c r="AI78" i="15"/>
  <c r="BK35" i="15"/>
  <c r="AI35" i="15"/>
  <c r="BK58" i="15"/>
  <c r="BK6" i="15"/>
  <c r="BK36" i="15"/>
  <c r="AI36" i="15"/>
  <c r="BK3" i="15"/>
  <c r="BK70" i="15"/>
  <c r="AI70" i="15"/>
  <c r="BL39" i="15"/>
  <c r="AL39" i="15" s="1"/>
  <c r="AM39" i="15" s="1"/>
  <c r="BL79" i="15"/>
  <c r="AL79" i="15" s="1"/>
  <c r="AM79" i="15" s="1"/>
  <c r="AI79" i="15"/>
  <c r="BL76" i="15"/>
  <c r="AL76" i="15" s="1"/>
  <c r="BL40" i="15"/>
  <c r="AL40" i="15" s="1"/>
  <c r="AI40" i="15"/>
  <c r="AI73" i="15"/>
  <c r="AW4" i="15"/>
  <c r="AX4" i="15"/>
  <c r="D50" i="5"/>
  <c r="C50" i="5"/>
  <c r="F43" i="5"/>
  <c r="F44" i="5"/>
  <c r="F41" i="5"/>
  <c r="I41" i="5" s="1"/>
  <c r="F42" i="5"/>
  <c r="I42" i="5" s="1"/>
  <c r="F40" i="5"/>
  <c r="I40" i="5" s="1"/>
  <c r="C257" i="12"/>
  <c r="C273" i="12"/>
  <c r="BK73" i="15"/>
  <c r="BK69" i="15"/>
  <c r="AY77" i="15"/>
  <c r="AZ77" i="15" s="1"/>
  <c r="BL73" i="15"/>
  <c r="AL73" i="15" s="1"/>
  <c r="BK79" i="15"/>
  <c r="BL78" i="15"/>
  <c r="AL78" i="15" s="1"/>
  <c r="BL70" i="15"/>
  <c r="AL70" i="15" s="1"/>
  <c r="BK39" i="15"/>
  <c r="BK41" i="15"/>
  <c r="BL41" i="15"/>
  <c r="AL41" i="15" s="1"/>
  <c r="BK78" i="15"/>
  <c r="BK72" i="15"/>
  <c r="AI76" i="15"/>
  <c r="BL75" i="15"/>
  <c r="AL75" i="15" s="1"/>
  <c r="BK43" i="15"/>
  <c r="BK76" i="15"/>
  <c r="BL43" i="15"/>
  <c r="AL43" i="15" s="1"/>
  <c r="BK40" i="15"/>
  <c r="BQ40" i="15" s="1"/>
  <c r="BR40" i="15" s="1"/>
  <c r="AI48" i="15"/>
  <c r="BK48" i="15"/>
  <c r="BL48" i="15"/>
  <c r="AL48" i="15" s="1"/>
  <c r="AI47" i="15"/>
  <c r="BK47" i="15"/>
  <c r="BL47" i="15"/>
  <c r="AL47" i="15" s="1"/>
  <c r="AI46" i="15"/>
  <c r="BL46" i="15"/>
  <c r="AL46" i="15" s="1"/>
  <c r="BK46" i="15"/>
  <c r="BK71" i="15"/>
  <c r="BL71" i="15"/>
  <c r="AL71" i="15" s="1"/>
  <c r="BK77" i="15"/>
  <c r="BL77" i="15"/>
  <c r="AL77" i="15" s="1"/>
  <c r="AM77" i="15" s="1"/>
  <c r="AI77" i="15"/>
  <c r="AI49" i="15"/>
  <c r="BL49" i="15"/>
  <c r="AL49" i="15" s="1"/>
  <c r="BK49" i="15"/>
  <c r="AI45" i="15"/>
  <c r="BL45" i="15"/>
  <c r="AL45" i="15" s="1"/>
  <c r="BK45" i="15"/>
  <c r="E378" i="12"/>
  <c r="G414" i="12"/>
  <c r="G431" i="12" s="1"/>
  <c r="F378" i="12"/>
  <c r="L414" i="12"/>
  <c r="L431" i="12" s="1"/>
  <c r="J414" i="12"/>
  <c r="J431" i="12" s="1"/>
  <c r="AM76" i="15"/>
  <c r="AY76" i="15"/>
  <c r="AZ76" i="15" s="1"/>
  <c r="AM72" i="15"/>
  <c r="AY72" i="15"/>
  <c r="AZ72" i="15" s="1"/>
  <c r="AY71" i="15"/>
  <c r="AZ71" i="15" s="1"/>
  <c r="AM73" i="15"/>
  <c r="BN123" i="15"/>
  <c r="AY70" i="15"/>
  <c r="AZ70" i="15" s="1"/>
  <c r="AM70" i="15"/>
  <c r="AA69" i="15"/>
  <c r="AB69" i="15" s="1"/>
  <c r="AA57" i="15"/>
  <c r="AB57" i="15" s="1"/>
  <c r="AA73" i="15"/>
  <c r="AB73" i="15" s="1"/>
  <c r="AA71" i="15"/>
  <c r="AB71" i="15" s="1"/>
  <c r="AA77" i="15"/>
  <c r="AB77" i="15" s="1"/>
  <c r="AA60" i="15"/>
  <c r="AB60" i="15" s="1"/>
  <c r="AA79" i="15"/>
  <c r="AB79" i="15" s="1"/>
  <c r="Z3" i="15"/>
  <c r="AX34" i="15"/>
  <c r="Z34" i="15"/>
  <c r="AW100" i="15"/>
  <c r="AA100" i="15" s="1"/>
  <c r="AB100" i="15" s="1"/>
  <c r="Z100" i="15"/>
  <c r="AW99" i="15"/>
  <c r="AA99" i="15" s="1"/>
  <c r="AB99" i="15" s="1"/>
  <c r="Z99" i="15"/>
  <c r="Z51" i="15"/>
  <c r="Z5" i="15"/>
  <c r="Z18" i="15"/>
  <c r="AW102" i="15"/>
  <c r="AA102" i="15" s="1"/>
  <c r="AB102" i="15" s="1"/>
  <c r="Z102" i="15"/>
  <c r="Z53" i="15"/>
  <c r="AW6" i="15"/>
  <c r="AA6" i="15" s="1"/>
  <c r="AB6" i="15" s="1"/>
  <c r="Z6" i="15"/>
  <c r="AW36" i="15"/>
  <c r="Z36" i="15"/>
  <c r="Z17" i="15"/>
  <c r="AW103" i="15"/>
  <c r="AA103" i="15" s="1"/>
  <c r="AB103" i="15" s="1"/>
  <c r="Z103" i="15"/>
  <c r="Z55" i="15"/>
  <c r="Z54" i="15"/>
  <c r="AX35" i="15"/>
  <c r="Z35" i="15"/>
  <c r="AW101" i="15"/>
  <c r="AA101" i="15" s="1"/>
  <c r="AB101" i="15" s="1"/>
  <c r="Z101" i="15"/>
  <c r="Z7" i="15"/>
  <c r="Z33" i="15"/>
  <c r="AX16" i="15"/>
  <c r="Z16" i="15"/>
  <c r="AW19" i="15"/>
  <c r="Z19" i="15"/>
  <c r="AW15" i="15"/>
  <c r="AA15" i="15" s="1"/>
  <c r="AB15" i="15" s="1"/>
  <c r="Z15" i="15"/>
  <c r="AY27" i="15"/>
  <c r="AZ27" i="15" s="1"/>
  <c r="AY28" i="15"/>
  <c r="AZ28" i="15" s="1"/>
  <c r="AW18" i="15"/>
  <c r="AX18" i="15"/>
  <c r="BL15" i="15"/>
  <c r="AL15" i="15" s="1"/>
  <c r="AY31" i="15"/>
  <c r="AZ31" i="15" s="1"/>
  <c r="AX19" i="15"/>
  <c r="AX15" i="15"/>
  <c r="AX17" i="15"/>
  <c r="AW17" i="15"/>
  <c r="W83" i="15"/>
  <c r="X83" i="15" s="1"/>
  <c r="AW16" i="15"/>
  <c r="AA16" i="15" s="1"/>
  <c r="AB16" i="15" s="1"/>
  <c r="BK81" i="15"/>
  <c r="BL35" i="15"/>
  <c r="AL35" i="15" s="1"/>
  <c r="W84" i="15"/>
  <c r="X84" i="15" s="1"/>
  <c r="BK84" i="15"/>
  <c r="W85" i="15"/>
  <c r="X85" i="15" s="1"/>
  <c r="BK82" i="15"/>
  <c r="W82" i="15"/>
  <c r="X82" i="15" s="1"/>
  <c r="AX5" i="15"/>
  <c r="W81" i="15"/>
  <c r="X81" i="15" s="1"/>
  <c r="AW33" i="15"/>
  <c r="AA33" i="15" s="1"/>
  <c r="AB33" i="15" s="1"/>
  <c r="AX33" i="15"/>
  <c r="AY37" i="15"/>
  <c r="AZ37" i="15" s="1"/>
  <c r="AI4" i="15"/>
  <c r="AX36" i="15"/>
  <c r="AW34" i="15"/>
  <c r="AM34" i="15" s="1"/>
  <c r="AY52" i="15"/>
  <c r="AZ52" i="15" s="1"/>
  <c r="BK34" i="15"/>
  <c r="AI34" i="15"/>
  <c r="BK55" i="15"/>
  <c r="BL6" i="15"/>
  <c r="AL6" i="15" s="1"/>
  <c r="AW5" i="15"/>
  <c r="AW35" i="15"/>
  <c r="AA35" i="15" s="1"/>
  <c r="AB35" i="15" s="1"/>
  <c r="AW55" i="15"/>
  <c r="AM55" i="15" s="1"/>
  <c r="AX55" i="15"/>
  <c r="AX53" i="15"/>
  <c r="AW53" i="15"/>
  <c r="AM53" i="15" s="1"/>
  <c r="AW7" i="15"/>
  <c r="AM7" i="15" s="1"/>
  <c r="AX7" i="15"/>
  <c r="AX51" i="15"/>
  <c r="AW51" i="15"/>
  <c r="AX6" i="15"/>
  <c r="AW3" i="15"/>
  <c r="AX3" i="15"/>
  <c r="AX54" i="15"/>
  <c r="AW54" i="15"/>
  <c r="AM54" i="15" s="1"/>
  <c r="AY78" i="15"/>
  <c r="AZ78" i="15" s="1"/>
  <c r="W95" i="15"/>
  <c r="X95" i="15" s="1"/>
  <c r="W96" i="15"/>
  <c r="X96" i="15" s="1"/>
  <c r="W94" i="15"/>
  <c r="X94" i="15" s="1"/>
  <c r="W97" i="15"/>
  <c r="X97" i="15" s="1"/>
  <c r="W93" i="15"/>
  <c r="X93" i="15" s="1"/>
  <c r="AM78" i="15"/>
  <c r="AM75" i="15"/>
  <c r="AY79" i="15"/>
  <c r="AZ79" i="15" s="1"/>
  <c r="AY75" i="15"/>
  <c r="AZ75" i="15" s="1"/>
  <c r="BL34" i="15"/>
  <c r="AL34" i="15" s="1"/>
  <c r="BK61" i="15"/>
  <c r="BK52" i="15"/>
  <c r="BL4" i="15"/>
  <c r="AL4" i="15" s="1"/>
  <c r="BK53" i="15"/>
  <c r="BL36" i="15"/>
  <c r="AL36" i="15" s="1"/>
  <c r="BK59" i="15"/>
  <c r="BK54" i="15"/>
  <c r="BK94" i="15"/>
  <c r="BK96" i="15"/>
  <c r="BK95" i="15"/>
  <c r="BL93" i="15"/>
  <c r="AL93" i="15" s="1"/>
  <c r="BK97" i="15"/>
  <c r="BK13" i="15"/>
  <c r="BK10" i="15"/>
  <c r="BK24" i="15"/>
  <c r="BK5" i="15"/>
  <c r="BK12" i="15"/>
  <c r="BL102" i="15"/>
  <c r="AL102" i="15" s="1"/>
  <c r="BK102" i="15"/>
  <c r="BK9" i="15"/>
  <c r="BK22" i="15"/>
  <c r="BK103" i="15"/>
  <c r="BK30" i="15"/>
  <c r="BK51" i="15"/>
  <c r="BK101" i="15"/>
  <c r="BK17" i="15"/>
  <c r="BK11" i="15"/>
  <c r="BK21" i="15"/>
  <c r="BK28" i="15"/>
  <c r="BK7" i="15"/>
  <c r="BK57" i="15"/>
  <c r="BK37" i="15"/>
  <c r="BK27" i="15"/>
  <c r="BK25" i="15"/>
  <c r="BK31" i="15"/>
  <c r="BK23" i="15"/>
  <c r="BK33" i="15"/>
  <c r="BK99" i="15"/>
  <c r="BK29" i="15"/>
  <c r="BK19" i="15"/>
  <c r="BK18" i="15"/>
  <c r="BK16" i="15"/>
  <c r="AM37" i="15"/>
  <c r="AM58" i="15"/>
  <c r="AM30" i="15"/>
  <c r="AM25" i="15"/>
  <c r="AM60" i="15"/>
  <c r="AM22" i="15"/>
  <c r="AM31" i="15"/>
  <c r="AM29" i="15"/>
  <c r="AM13" i="15"/>
  <c r="AM24" i="15"/>
  <c r="AM21" i="15"/>
  <c r="AM61" i="15"/>
  <c r="AM27" i="15"/>
  <c r="D33" i="5"/>
  <c r="AH23" i="15"/>
  <c r="BL23" i="15" s="1"/>
  <c r="AL23" i="15" s="1"/>
  <c r="AM23" i="15" s="1"/>
  <c r="AH33" i="15"/>
  <c r="AI33" i="15" s="1"/>
  <c r="AH29" i="15"/>
  <c r="BL29" i="15" s="1"/>
  <c r="AL29" i="15" s="1"/>
  <c r="AH99" i="15"/>
  <c r="AI99" i="15" s="1"/>
  <c r="AH57" i="15"/>
  <c r="BL57" i="15" s="1"/>
  <c r="AL57" i="15" s="1"/>
  <c r="AM57" i="15" s="1"/>
  <c r="AH30" i="15"/>
  <c r="AI30" i="15" s="1"/>
  <c r="AH12" i="15"/>
  <c r="BL12" i="15" s="1"/>
  <c r="AL12" i="15" s="1"/>
  <c r="AU123" i="15"/>
  <c r="BT51" i="15"/>
  <c r="BU51" i="15" s="1"/>
  <c r="D13" i="5"/>
  <c r="AH27" i="15"/>
  <c r="BL27" i="15" s="1"/>
  <c r="AL27" i="15" s="1"/>
  <c r="AX101" i="15"/>
  <c r="AX99" i="15"/>
  <c r="AX100" i="15"/>
  <c r="BT101" i="15"/>
  <c r="BU101" i="15" s="1"/>
  <c r="AX102" i="15"/>
  <c r="AX103" i="15"/>
  <c r="AH101" i="15"/>
  <c r="BL101" i="15" s="1"/>
  <c r="AL101" i="15" s="1"/>
  <c r="D9" i="5"/>
  <c r="D5" i="5"/>
  <c r="D20" i="5"/>
  <c r="BT23" i="15"/>
  <c r="BU23" i="15" s="1"/>
  <c r="BT99" i="15"/>
  <c r="BU99" i="15" s="1"/>
  <c r="D21" i="5"/>
  <c r="D18" i="5"/>
  <c r="D7" i="5"/>
  <c r="BT57" i="15"/>
  <c r="BU57" i="15" s="1"/>
  <c r="D14" i="5"/>
  <c r="D10" i="5"/>
  <c r="D8" i="5"/>
  <c r="D6" i="5"/>
  <c r="BT33" i="15"/>
  <c r="BU33" i="15" s="1"/>
  <c r="BT37" i="15"/>
  <c r="BU37" i="15" s="1"/>
  <c r="AH51" i="15"/>
  <c r="BL51" i="15" s="1"/>
  <c r="AL51" i="15" s="1"/>
  <c r="AH37" i="15"/>
  <c r="AI37" i="15" s="1"/>
  <c r="BT9" i="15"/>
  <c r="BU9" i="15" s="1"/>
  <c r="AH84" i="15"/>
  <c r="AH9" i="15"/>
  <c r="AI9" i="15" s="1"/>
  <c r="AH7" i="15"/>
  <c r="BL7" i="15" s="1"/>
  <c r="AL7" i="15" s="1"/>
  <c r="AI102" i="15"/>
  <c r="AH5" i="15"/>
  <c r="BL5" i="15" s="1"/>
  <c r="AL5" i="15" s="1"/>
  <c r="BT7" i="15"/>
  <c r="BU7" i="15" s="1"/>
  <c r="AI6" i="15"/>
  <c r="BT30" i="15"/>
  <c r="BU30" i="15" s="1"/>
  <c r="F33" i="5"/>
  <c r="I33" i="5" s="1"/>
  <c r="F51" i="5"/>
  <c r="I51" i="5" s="1"/>
  <c r="BT55" i="15"/>
  <c r="BU55" i="15" s="1"/>
  <c r="AH55" i="15"/>
  <c r="BL55" i="15" s="1"/>
  <c r="AL55" i="15" s="1"/>
  <c r="AH3" i="15"/>
  <c r="BL3" i="15" s="1"/>
  <c r="AL3" i="15" s="1"/>
  <c r="AH103" i="15"/>
  <c r="BL103" i="15" s="1"/>
  <c r="AL103" i="15" s="1"/>
  <c r="AH19" i="15"/>
  <c r="BL19" i="15" s="1"/>
  <c r="AL19" i="15" s="1"/>
  <c r="BT103" i="15"/>
  <c r="BU103" i="15" s="1"/>
  <c r="BT19" i="15"/>
  <c r="BU19" i="15" s="1"/>
  <c r="AH54" i="15"/>
  <c r="BL54" i="15" s="1"/>
  <c r="AL54" i="15" s="1"/>
  <c r="AH59" i="15"/>
  <c r="BL59" i="15" s="1"/>
  <c r="AL59" i="15" s="1"/>
  <c r="AM59" i="15" s="1"/>
  <c r="AH58" i="15"/>
  <c r="BL58" i="15" s="1"/>
  <c r="AL58" i="15" s="1"/>
  <c r="BT17" i="15"/>
  <c r="BU17" i="15" s="1"/>
  <c r="BT18" i="15"/>
  <c r="BU18" i="15" s="1"/>
  <c r="BT16" i="15"/>
  <c r="BU16" i="15" s="1"/>
  <c r="AH100" i="15"/>
  <c r="BL100" i="15" s="1"/>
  <c r="AL100" i="15" s="1"/>
  <c r="AH60" i="15"/>
  <c r="BL60" i="15" s="1"/>
  <c r="AL60" i="15" s="1"/>
  <c r="BT53" i="15"/>
  <c r="BU53" i="15" s="1"/>
  <c r="AH61" i="15"/>
  <c r="BL61" i="15" s="1"/>
  <c r="AL61" i="15" s="1"/>
  <c r="BT58" i="15"/>
  <c r="BU58" i="15" s="1"/>
  <c r="AI15" i="15"/>
  <c r="AH18" i="15"/>
  <c r="AI18" i="15" s="1"/>
  <c r="BT60" i="15"/>
  <c r="BU60" i="15" s="1"/>
  <c r="BT59" i="15"/>
  <c r="BU59" i="15" s="1"/>
  <c r="AH53" i="15"/>
  <c r="AI53" i="15" s="1"/>
  <c r="AH52" i="15"/>
  <c r="BL52" i="15" s="1"/>
  <c r="AL52" i="15" s="1"/>
  <c r="AM52" i="15" s="1"/>
  <c r="BT54" i="15"/>
  <c r="BU54" i="15" s="1"/>
  <c r="BT100" i="15"/>
  <c r="BU100" i="15" s="1"/>
  <c r="BT61" i="15"/>
  <c r="BU61" i="15" s="1"/>
  <c r="AH17" i="15"/>
  <c r="BL17" i="15" s="1"/>
  <c r="AL17" i="15" s="1"/>
  <c r="BT52" i="15"/>
  <c r="BU52" i="15" s="1"/>
  <c r="AH16" i="15"/>
  <c r="BL16" i="15" s="1"/>
  <c r="AL16" i="15" s="1"/>
  <c r="AH85" i="15"/>
  <c r="AH82" i="15"/>
  <c r="BT82" i="15"/>
  <c r="BU82" i="15" s="1"/>
  <c r="BT85" i="15"/>
  <c r="BU85" i="15" s="1"/>
  <c r="AH31" i="15"/>
  <c r="BL31" i="15" s="1"/>
  <c r="AL31" i="15" s="1"/>
  <c r="BT31" i="15"/>
  <c r="BU31" i="15" s="1"/>
  <c r="AH25" i="15"/>
  <c r="AI25" i="15" s="1"/>
  <c r="BT22" i="15"/>
  <c r="BU22" i="15" s="1"/>
  <c r="AH21" i="15"/>
  <c r="AI21" i="15" s="1"/>
  <c r="BT21" i="15"/>
  <c r="BU21" i="15" s="1"/>
  <c r="D60" i="5"/>
  <c r="AH24" i="15"/>
  <c r="BL24" i="15" s="1"/>
  <c r="AL24" i="15" s="1"/>
  <c r="BT24" i="15"/>
  <c r="BU24" i="15" s="1"/>
  <c r="BT25" i="15"/>
  <c r="BU25" i="15" s="1"/>
  <c r="AH22" i="15"/>
  <c r="BL22" i="15" s="1"/>
  <c r="AL22" i="15" s="1"/>
  <c r="AJ123" i="15"/>
  <c r="BT13" i="15"/>
  <c r="BU13" i="15" s="1"/>
  <c r="AH10" i="15"/>
  <c r="AI10" i="15" s="1"/>
  <c r="BT10" i="15"/>
  <c r="BU10" i="15" s="1"/>
  <c r="AH11" i="15"/>
  <c r="BL11" i="15" s="1"/>
  <c r="AL11" i="15" s="1"/>
  <c r="BT11" i="15"/>
  <c r="BU11" i="15" s="1"/>
  <c r="AH13" i="15"/>
  <c r="BL13" i="15" s="1"/>
  <c r="AL13" i="15" s="1"/>
  <c r="AH81" i="15"/>
  <c r="BT81" i="15"/>
  <c r="BU81" i="15" s="1"/>
  <c r="BT83" i="15"/>
  <c r="BU83" i="15" s="1"/>
  <c r="AH83" i="15"/>
  <c r="BT28" i="15"/>
  <c r="BU28" i="15" s="1"/>
  <c r="AH28" i="15"/>
  <c r="BL28" i="15" s="1"/>
  <c r="AL28" i="15" s="1"/>
  <c r="AM28" i="15" s="1"/>
  <c r="AH97" i="15"/>
  <c r="AH95" i="15"/>
  <c r="BT94" i="15"/>
  <c r="BU94" i="15" s="1"/>
  <c r="BT97" i="15"/>
  <c r="BU97" i="15" s="1"/>
  <c r="BT96" i="15"/>
  <c r="BU96" i="15" s="1"/>
  <c r="AH94" i="15"/>
  <c r="AH96" i="15"/>
  <c r="BT95" i="15"/>
  <c r="BU95" i="15" s="1"/>
  <c r="AM51" i="15" l="1"/>
  <c r="AL117" i="15"/>
  <c r="AK123" i="15"/>
  <c r="BQ106" i="15"/>
  <c r="BR106" i="15" s="1"/>
  <c r="BQ107" i="15"/>
  <c r="BR107" i="15" s="1"/>
  <c r="BQ108" i="15"/>
  <c r="BR108" i="15" s="1"/>
  <c r="BQ105" i="15"/>
  <c r="BR105" i="15" s="1"/>
  <c r="BQ109" i="15"/>
  <c r="BR109" i="15" s="1"/>
  <c r="D25" i="5"/>
  <c r="BQ121" i="15"/>
  <c r="BR121" i="15" s="1"/>
  <c r="BQ111" i="15"/>
  <c r="BR111" i="15" s="1"/>
  <c r="BQ115" i="15"/>
  <c r="BR115" i="15" s="1"/>
  <c r="AG123" i="15"/>
  <c r="BQ71" i="15"/>
  <c r="BR71" i="15" s="1"/>
  <c r="BQ76" i="15"/>
  <c r="BR76" i="15" s="1"/>
  <c r="BQ72" i="15"/>
  <c r="BR72" i="15" s="1"/>
  <c r="BQ47" i="15"/>
  <c r="BQ48" i="15"/>
  <c r="BQ45" i="15"/>
  <c r="BQ49" i="15"/>
  <c r="BQ41" i="15"/>
  <c r="BR41" i="15" s="1"/>
  <c r="BQ39" i="15"/>
  <c r="BR39" i="15" s="1"/>
  <c r="BQ78" i="15"/>
  <c r="BR78" i="15" s="1"/>
  <c r="BQ101" i="15"/>
  <c r="BR101" i="15" s="1"/>
  <c r="BQ13" i="15"/>
  <c r="BR13" i="15" s="1"/>
  <c r="AY18" i="15"/>
  <c r="AZ18" i="15" s="1"/>
  <c r="BQ43" i="15"/>
  <c r="BR43" i="15" s="1"/>
  <c r="AY12" i="15"/>
  <c r="AZ12" i="15" s="1"/>
  <c r="BQ17" i="15"/>
  <c r="BR17" i="15" s="1"/>
  <c r="BQ103" i="15"/>
  <c r="BR103" i="15" s="1"/>
  <c r="BQ23" i="15"/>
  <c r="BR23" i="15" s="1"/>
  <c r="AY9" i="15"/>
  <c r="AZ9" i="15" s="1"/>
  <c r="AM12" i="15"/>
  <c r="AA12" i="15"/>
  <c r="AB12" i="15" s="1"/>
  <c r="AY11" i="15"/>
  <c r="AZ11" i="15" s="1"/>
  <c r="AM11" i="15"/>
  <c r="AY10" i="15"/>
  <c r="AZ10" i="15" s="1"/>
  <c r="C343" i="18"/>
  <c r="D57" i="5" s="1"/>
  <c r="C342" i="18"/>
  <c r="AM3" i="15"/>
  <c r="BQ52" i="15"/>
  <c r="BR52" i="15" s="1"/>
  <c r="BQ69" i="15"/>
  <c r="BR69" i="15" s="1"/>
  <c r="AY4" i="15"/>
  <c r="AZ4" i="15" s="1"/>
  <c r="BQ7" i="15"/>
  <c r="BR7" i="15" s="1"/>
  <c r="BQ59" i="15"/>
  <c r="BR59" i="15" s="1"/>
  <c r="BQ79" i="15"/>
  <c r="BR79" i="15" s="1"/>
  <c r="BQ73" i="15"/>
  <c r="BR73" i="15" s="1"/>
  <c r="BQ70" i="15"/>
  <c r="BR70" i="15" s="1"/>
  <c r="BQ6" i="15"/>
  <c r="BR6" i="15" s="1"/>
  <c r="BQ4" i="15"/>
  <c r="BR4" i="15" s="1"/>
  <c r="BQ60" i="15"/>
  <c r="BR60" i="15" s="1"/>
  <c r="BQ19" i="15"/>
  <c r="BR19" i="15" s="1"/>
  <c r="BQ27" i="15"/>
  <c r="BR27" i="15" s="1"/>
  <c r="BQ28" i="15"/>
  <c r="BR28" i="15" s="1"/>
  <c r="BQ22" i="15"/>
  <c r="BR22" i="15" s="1"/>
  <c r="BQ12" i="15"/>
  <c r="BR12" i="15" s="1"/>
  <c r="BQ61" i="15"/>
  <c r="BR61" i="15" s="1"/>
  <c r="BQ55" i="15"/>
  <c r="BR55" i="15" s="1"/>
  <c r="BQ3" i="15"/>
  <c r="BR3" i="15" s="1"/>
  <c r="BQ58" i="15"/>
  <c r="BR58" i="15" s="1"/>
  <c r="BQ29" i="15"/>
  <c r="BR29" i="15" s="1"/>
  <c r="BQ100" i="15"/>
  <c r="BR100" i="15" s="1"/>
  <c r="BQ51" i="15"/>
  <c r="BR51" i="15" s="1"/>
  <c r="BQ5" i="15"/>
  <c r="BR5" i="15" s="1"/>
  <c r="AY17" i="15"/>
  <c r="AZ17" i="15" s="1"/>
  <c r="AY36" i="15"/>
  <c r="AZ36" i="15" s="1"/>
  <c r="BQ77" i="15"/>
  <c r="BR77" i="15" s="1"/>
  <c r="BQ15" i="15"/>
  <c r="BR15" i="15" s="1"/>
  <c r="BQ42" i="15"/>
  <c r="BR42" i="15" s="1"/>
  <c r="BQ16" i="15"/>
  <c r="BR16" i="15" s="1"/>
  <c r="BQ31" i="15"/>
  <c r="BR31" i="15" s="1"/>
  <c r="BQ57" i="15"/>
  <c r="BQ11" i="15"/>
  <c r="BR11" i="15" s="1"/>
  <c r="BQ102" i="15"/>
  <c r="BR102" i="15" s="1"/>
  <c r="BQ24" i="15"/>
  <c r="BR24" i="15" s="1"/>
  <c r="BQ54" i="15"/>
  <c r="BR54" i="15" s="1"/>
  <c r="AY5" i="15"/>
  <c r="AZ5" i="15" s="1"/>
  <c r="BQ34" i="15"/>
  <c r="BR34" i="15" s="1"/>
  <c r="AY19" i="15"/>
  <c r="AZ19" i="15" s="1"/>
  <c r="BQ46" i="15"/>
  <c r="BQ36" i="15"/>
  <c r="BR36" i="15" s="1"/>
  <c r="BQ35" i="15"/>
  <c r="BR35" i="15" s="1"/>
  <c r="BQ75" i="15"/>
  <c r="BR75" i="15" s="1"/>
  <c r="I43" i="5"/>
  <c r="AI42" i="15"/>
  <c r="BU123" i="15"/>
  <c r="M51" i="5" s="1"/>
  <c r="AM4" i="15"/>
  <c r="AA4" i="15"/>
  <c r="AB4" i="15" s="1"/>
  <c r="Z4" i="15"/>
  <c r="D51" i="5"/>
  <c r="D64" i="5"/>
  <c r="C258" i="12"/>
  <c r="C274" i="12"/>
  <c r="F379" i="12"/>
  <c r="J415" i="12"/>
  <c r="J432" i="12" s="1"/>
  <c r="J448" i="12" s="1"/>
  <c r="J455" i="12" s="1"/>
  <c r="L415" i="12"/>
  <c r="L432" i="12" s="1"/>
  <c r="L448" i="12" s="1"/>
  <c r="L455" i="12" s="1"/>
  <c r="AM15" i="15"/>
  <c r="E379" i="12"/>
  <c r="G415" i="12"/>
  <c r="G432" i="12" s="1"/>
  <c r="G448" i="12" s="1"/>
  <c r="G455" i="12" s="1"/>
  <c r="AY99" i="15"/>
  <c r="AZ99" i="15" s="1"/>
  <c r="AY6" i="15"/>
  <c r="AZ6" i="15" s="1"/>
  <c r="AM99" i="15"/>
  <c r="AM6" i="15"/>
  <c r="AY102" i="15"/>
  <c r="AZ102" i="15" s="1"/>
  <c r="AY100" i="15"/>
  <c r="AZ100" i="15" s="1"/>
  <c r="AM36" i="15"/>
  <c r="AM100" i="15"/>
  <c r="AM101" i="15"/>
  <c r="AY101" i="15"/>
  <c r="AZ101" i="15" s="1"/>
  <c r="AY15" i="15"/>
  <c r="AZ15" i="15" s="1"/>
  <c r="BT123" i="15"/>
  <c r="AM103" i="15"/>
  <c r="AM19" i="15"/>
  <c r="AY103" i="15"/>
  <c r="AZ103" i="15" s="1"/>
  <c r="AM102" i="15"/>
  <c r="AA36" i="15"/>
  <c r="AB36" i="15" s="1"/>
  <c r="AA51" i="15"/>
  <c r="AB51" i="15" s="1"/>
  <c r="AA54" i="15"/>
  <c r="AB54" i="15" s="1"/>
  <c r="AA55" i="15"/>
  <c r="AB55" i="15" s="1"/>
  <c r="AA17" i="15"/>
  <c r="AB17" i="15" s="1"/>
  <c r="AA3" i="15"/>
  <c r="AA18" i="15"/>
  <c r="AB18" i="15" s="1"/>
  <c r="AA7" i="15"/>
  <c r="AB7" i="15" s="1"/>
  <c r="AA34" i="15"/>
  <c r="AB34" i="15" s="1"/>
  <c r="AA53" i="15"/>
  <c r="AB53" i="15" s="1"/>
  <c r="AA5" i="15"/>
  <c r="AB5" i="15" s="1"/>
  <c r="AA19" i="15"/>
  <c r="AB19" i="15" s="1"/>
  <c r="AW97" i="15"/>
  <c r="Z97" i="15"/>
  <c r="AW82" i="15"/>
  <c r="AA82" i="15" s="1"/>
  <c r="AB82" i="15" s="1"/>
  <c r="Z82" i="15"/>
  <c r="Z84" i="15"/>
  <c r="Z94" i="15"/>
  <c r="AW83" i="15"/>
  <c r="AA83" i="15" s="1"/>
  <c r="AB83" i="15" s="1"/>
  <c r="Z83" i="15"/>
  <c r="AW96" i="15"/>
  <c r="AA96" i="15" s="1"/>
  <c r="AB96" i="15" s="1"/>
  <c r="Z96" i="15"/>
  <c r="Z81" i="15"/>
  <c r="AW85" i="15"/>
  <c r="AA85" i="15" s="1"/>
  <c r="AB85" i="15" s="1"/>
  <c r="Z85" i="15"/>
  <c r="AW93" i="15"/>
  <c r="AA93" i="15" s="1"/>
  <c r="AB93" i="15" s="1"/>
  <c r="Z93" i="15"/>
  <c r="AW95" i="15"/>
  <c r="Z95" i="15"/>
  <c r="AM17" i="15"/>
  <c r="BL81" i="15"/>
  <c r="AM18" i="15"/>
  <c r="AX81" i="15"/>
  <c r="AW84" i="15"/>
  <c r="AM84" i="15" s="1"/>
  <c r="AX83" i="15"/>
  <c r="BL84" i="15"/>
  <c r="AW81" i="15"/>
  <c r="AX85" i="15"/>
  <c r="AM16" i="15"/>
  <c r="BL85" i="15"/>
  <c r="AL85" i="15" s="1"/>
  <c r="BK85" i="15"/>
  <c r="BL82" i="15"/>
  <c r="BK83" i="15"/>
  <c r="AY16" i="15"/>
  <c r="AZ16" i="15" s="1"/>
  <c r="BL83" i="15"/>
  <c r="AL83" i="15" s="1"/>
  <c r="AM5" i="15"/>
  <c r="AX84" i="15"/>
  <c r="AX82" i="15"/>
  <c r="AM33" i="15"/>
  <c r="AY33" i="15"/>
  <c r="AZ33" i="15" s="1"/>
  <c r="AY34" i="15"/>
  <c r="AZ34" i="15" s="1"/>
  <c r="AY35" i="15"/>
  <c r="AZ35" i="15" s="1"/>
  <c r="AM35" i="15"/>
  <c r="AY54" i="15"/>
  <c r="AZ54" i="15" s="1"/>
  <c r="AY51" i="15"/>
  <c r="AZ51" i="15" s="1"/>
  <c r="AY3" i="15"/>
  <c r="AZ3" i="15" s="1"/>
  <c r="AY7" i="15"/>
  <c r="AZ7" i="15" s="1"/>
  <c r="AY53" i="15"/>
  <c r="AZ53" i="15" s="1"/>
  <c r="AY55" i="15"/>
  <c r="AZ55" i="15" s="1"/>
  <c r="AW94" i="15"/>
  <c r="AX94" i="15"/>
  <c r="AX96" i="15"/>
  <c r="BL97" i="15"/>
  <c r="BL94" i="15"/>
  <c r="AX97" i="15"/>
  <c r="BL95" i="15"/>
  <c r="AI93" i="15"/>
  <c r="AX93" i="15"/>
  <c r="BK93" i="15"/>
  <c r="BQ93" i="15" s="1"/>
  <c r="BR93" i="15" s="1"/>
  <c r="AX95" i="15"/>
  <c r="BL96" i="15"/>
  <c r="BL21" i="15"/>
  <c r="BL30" i="15"/>
  <c r="BL53" i="15"/>
  <c r="BL33" i="15"/>
  <c r="BL37" i="15"/>
  <c r="BL10" i="15"/>
  <c r="BL99" i="15"/>
  <c r="BL25" i="15"/>
  <c r="BL9" i="15"/>
  <c r="BL18" i="15"/>
  <c r="AI12" i="15"/>
  <c r="AI23" i="15"/>
  <c r="AI29" i="15"/>
  <c r="AI57" i="15"/>
  <c r="F50" i="5"/>
  <c r="I50" i="5" s="1"/>
  <c r="AI27" i="15"/>
  <c r="AI84" i="15"/>
  <c r="AI5" i="15"/>
  <c r="AI101" i="15"/>
  <c r="AI51" i="15"/>
  <c r="AI83" i="15"/>
  <c r="AI7" i="15"/>
  <c r="AI54" i="15"/>
  <c r="AI19" i="15"/>
  <c r="AI3" i="15"/>
  <c r="AI58" i="15"/>
  <c r="AI55" i="15"/>
  <c r="AI16" i="15"/>
  <c r="AI31" i="15"/>
  <c r="AI13" i="15"/>
  <c r="AI59" i="15"/>
  <c r="AI103" i="15"/>
  <c r="AI17" i="15"/>
  <c r="AI60" i="15"/>
  <c r="AI82" i="15"/>
  <c r="AI85" i="15"/>
  <c r="AI52" i="15"/>
  <c r="AI61" i="15"/>
  <c r="AI11" i="15"/>
  <c r="AI100" i="15"/>
  <c r="AI81" i="15"/>
  <c r="AI24" i="15"/>
  <c r="AI28" i="15"/>
  <c r="AI22" i="15"/>
  <c r="AI94" i="15"/>
  <c r="AI97" i="15"/>
  <c r="AI96" i="15"/>
  <c r="AI95" i="15"/>
  <c r="BQ9" i="15" l="1"/>
  <c r="BR9" i="15" s="1"/>
  <c r="AL9" i="15"/>
  <c r="AM9" i="15" s="1"/>
  <c r="BQ37" i="15"/>
  <c r="BR37" i="15" s="1"/>
  <c r="AL37" i="15"/>
  <c r="BQ33" i="15"/>
  <c r="BR33" i="15" s="1"/>
  <c r="AL33" i="15"/>
  <c r="BQ18" i="15"/>
  <c r="BR18" i="15" s="1"/>
  <c r="AL18" i="15"/>
  <c r="BQ10" i="15"/>
  <c r="BR10" i="15" s="1"/>
  <c r="AL10" i="15"/>
  <c r="AM10" i="15" s="1"/>
  <c r="BQ30" i="15"/>
  <c r="BR30" i="15" s="1"/>
  <c r="AL30" i="15"/>
  <c r="BQ21" i="15"/>
  <c r="BR21" i="15" s="1"/>
  <c r="AL21" i="15"/>
  <c r="BQ25" i="15"/>
  <c r="BR25" i="15" s="1"/>
  <c r="AL25" i="15"/>
  <c r="BQ99" i="15"/>
  <c r="BR99" i="15" s="1"/>
  <c r="AL99" i="15"/>
  <c r="BQ94" i="15"/>
  <c r="BR94" i="15" s="1"/>
  <c r="AL94" i="15"/>
  <c r="BQ95" i="15"/>
  <c r="BR95" i="15" s="1"/>
  <c r="AL95" i="15"/>
  <c r="BQ96" i="15"/>
  <c r="BR96" i="15" s="1"/>
  <c r="AL96" i="15"/>
  <c r="BQ97" i="15"/>
  <c r="BR97" i="15" s="1"/>
  <c r="AL97" i="15"/>
  <c r="BQ81" i="15"/>
  <c r="BR81" i="15" s="1"/>
  <c r="AL81" i="15"/>
  <c r="AM81" i="15" s="1"/>
  <c r="BQ82" i="15"/>
  <c r="BR82" i="15" s="1"/>
  <c r="AL82" i="15"/>
  <c r="BQ84" i="15"/>
  <c r="BR84" i="15" s="1"/>
  <c r="AL84" i="15"/>
  <c r="BR57" i="15"/>
  <c r="BQ53" i="15"/>
  <c r="BR53" i="15" s="1"/>
  <c r="AL53" i="15"/>
  <c r="M57" i="5"/>
  <c r="M53" i="5"/>
  <c r="AB3" i="15"/>
  <c r="BQ83" i="15"/>
  <c r="BR83" i="15" s="1"/>
  <c r="D40" i="5"/>
  <c r="G40" i="5" s="1"/>
  <c r="J40" i="5" s="1"/>
  <c r="G57" i="5"/>
  <c r="J57" i="5" s="1"/>
  <c r="G53" i="5"/>
  <c r="J53" i="5" s="1"/>
  <c r="BQ85" i="15"/>
  <c r="BR85" i="15" s="1"/>
  <c r="AY97" i="15"/>
  <c r="AZ97" i="15" s="1"/>
  <c r="AY94" i="15"/>
  <c r="AZ94" i="15" s="1"/>
  <c r="AY95" i="15"/>
  <c r="AZ95" i="15" s="1"/>
  <c r="M50" i="5"/>
  <c r="M33" i="5"/>
  <c r="M32" i="5"/>
  <c r="G51" i="5"/>
  <c r="J51" i="5" s="1"/>
  <c r="G33" i="5"/>
  <c r="J33" i="5" s="1"/>
  <c r="G64" i="5"/>
  <c r="J64" i="5" s="1"/>
  <c r="G60" i="5"/>
  <c r="J60" i="5" s="1"/>
  <c r="G50" i="5"/>
  <c r="C259" i="12"/>
  <c r="C275" i="12"/>
  <c r="E380" i="12"/>
  <c r="G416" i="12"/>
  <c r="G433" i="12" s="1"/>
  <c r="F380" i="12"/>
  <c r="L416" i="12"/>
  <c r="L433" i="12" s="1"/>
  <c r="J416" i="12"/>
  <c r="J433" i="12" s="1"/>
  <c r="AM97" i="15"/>
  <c r="AM96" i="15"/>
  <c r="AY93" i="15"/>
  <c r="AZ93" i="15" s="1"/>
  <c r="AY96" i="15"/>
  <c r="AZ96" i="15" s="1"/>
  <c r="AM93" i="15"/>
  <c r="AM83" i="15"/>
  <c r="AM85" i="15"/>
  <c r="AY85" i="15"/>
  <c r="AZ85" i="15" s="1"/>
  <c r="AM82" i="15"/>
  <c r="AY82" i="15"/>
  <c r="AZ82" i="15" s="1"/>
  <c r="AY83" i="15"/>
  <c r="AZ83" i="15" s="1"/>
  <c r="AM95" i="15"/>
  <c r="AA84" i="15"/>
  <c r="AB84" i="15" s="1"/>
  <c r="AA95" i="15"/>
  <c r="AB95" i="15" s="1"/>
  <c r="AA81" i="15"/>
  <c r="AB81" i="15" s="1"/>
  <c r="AA94" i="15"/>
  <c r="AB94" i="15" s="1"/>
  <c r="AA97" i="15"/>
  <c r="AB97" i="15" s="1"/>
  <c r="AY84" i="15"/>
  <c r="AZ84" i="15" s="1"/>
  <c r="AY81" i="15"/>
  <c r="AZ81" i="15" s="1"/>
  <c r="AM94" i="15"/>
  <c r="M19" i="12"/>
  <c r="N19" i="12" s="1"/>
  <c r="Y90" i="15"/>
  <c r="Z90" i="15" s="1"/>
  <c r="Y87" i="15"/>
  <c r="Z87" i="15" s="1"/>
  <c r="M40" i="5" l="1"/>
  <c r="M41" i="5" s="1"/>
  <c r="J50" i="5"/>
  <c r="D41" i="5"/>
  <c r="G41" i="5" s="1"/>
  <c r="J41" i="5" s="1"/>
  <c r="C260" i="12"/>
  <c r="C276" i="12"/>
  <c r="F381" i="12"/>
  <c r="J417" i="12"/>
  <c r="J434" i="12" s="1"/>
  <c r="J449" i="12" s="1"/>
  <c r="L417" i="12"/>
  <c r="L434" i="12" s="1"/>
  <c r="L449" i="12" s="1"/>
  <c r="E381" i="12"/>
  <c r="G417" i="12"/>
  <c r="G434" i="12" s="1"/>
  <c r="G449" i="12" s="1"/>
  <c r="BD90" i="15"/>
  <c r="BE90" i="15" s="1"/>
  <c r="BD91" i="15"/>
  <c r="BE91" i="15" s="1"/>
  <c r="BD88" i="15"/>
  <c r="BE88" i="15" s="1"/>
  <c r="BD87" i="15"/>
  <c r="BE87" i="15" s="1"/>
  <c r="BD89" i="15"/>
  <c r="BE89" i="15" s="1"/>
  <c r="AO87" i="15"/>
  <c r="AP87" i="15" s="1"/>
  <c r="BK89" i="15"/>
  <c r="BK87" i="15"/>
  <c r="BK91" i="15"/>
  <c r="BK88" i="15"/>
  <c r="BK90" i="15"/>
  <c r="AW90" i="15"/>
  <c r="AA90" i="15" s="1"/>
  <c r="AB90" i="15" s="1"/>
  <c r="AH91" i="15"/>
  <c r="BL91" i="15" s="1"/>
  <c r="AL91" i="15" s="1"/>
  <c r="AH89" i="15"/>
  <c r="BL89" i="15" s="1"/>
  <c r="AL89" i="15" s="1"/>
  <c r="AH88" i="15"/>
  <c r="BL88" i="15" s="1"/>
  <c r="AL88" i="15" s="1"/>
  <c r="AH90" i="15"/>
  <c r="BL90" i="15" s="1"/>
  <c r="AL90" i="15" s="1"/>
  <c r="Y89" i="15"/>
  <c r="Z89" i="15" s="1"/>
  <c r="AX90" i="15"/>
  <c r="AO89" i="15"/>
  <c r="AP89" i="15" s="1"/>
  <c r="AO91" i="15"/>
  <c r="AP91" i="15" s="1"/>
  <c r="AX87" i="15"/>
  <c r="AH87" i="15"/>
  <c r="BL87" i="15" s="1"/>
  <c r="AL87" i="15" s="1"/>
  <c r="Y88" i="15"/>
  <c r="Z88" i="15" s="1"/>
  <c r="AW89" i="15"/>
  <c r="AW91" i="15"/>
  <c r="Y91" i="15"/>
  <c r="Z91" i="15" s="1"/>
  <c r="AO88" i="15"/>
  <c r="AP88" i="15" s="1"/>
  <c r="AO90" i="15"/>
  <c r="AP90" i="15" s="1"/>
  <c r="AW87" i="15"/>
  <c r="AA87" i="15" s="1"/>
  <c r="AB87" i="15" s="1"/>
  <c r="AA91" i="15" l="1"/>
  <c r="AB91" i="15" s="1"/>
  <c r="AA89" i="15"/>
  <c r="AB89" i="15" s="1"/>
  <c r="AA88" i="15"/>
  <c r="AB88" i="15" s="1"/>
  <c r="BQ89" i="15"/>
  <c r="BR89" i="15" s="1"/>
  <c r="D42" i="5"/>
  <c r="M42" i="5" s="1"/>
  <c r="M43" i="5" s="1"/>
  <c r="BQ87" i="15"/>
  <c r="BR87" i="15" s="1"/>
  <c r="BQ90" i="15"/>
  <c r="BR90" i="15" s="1"/>
  <c r="BQ88" i="15"/>
  <c r="BR88" i="15" s="1"/>
  <c r="BQ91" i="15"/>
  <c r="BR91" i="15" s="1"/>
  <c r="C261" i="12"/>
  <c r="C277" i="12"/>
  <c r="E382" i="12"/>
  <c r="G418" i="12"/>
  <c r="G435" i="12" s="1"/>
  <c r="F382" i="12"/>
  <c r="L418" i="12"/>
  <c r="L435" i="12" s="1"/>
  <c r="J418" i="12"/>
  <c r="J435" i="12" s="1"/>
  <c r="AY90" i="15"/>
  <c r="AZ90" i="15" s="1"/>
  <c r="AM91" i="15"/>
  <c r="AM90" i="15"/>
  <c r="AX89" i="15"/>
  <c r="AY89" i="15" s="1"/>
  <c r="AZ89" i="15" s="1"/>
  <c r="AI87" i="15"/>
  <c r="AI89" i="15"/>
  <c r="AX91" i="15"/>
  <c r="AY91" i="15" s="1"/>
  <c r="AZ91" i="15" s="1"/>
  <c r="AI88" i="15"/>
  <c r="AI91" i="15"/>
  <c r="AX88" i="15"/>
  <c r="AY88" i="15" s="1"/>
  <c r="AZ88" i="15" s="1"/>
  <c r="AI90" i="15"/>
  <c r="AM88" i="15"/>
  <c r="AY87" i="15"/>
  <c r="AZ87" i="15" s="1"/>
  <c r="AM87" i="15"/>
  <c r="AM89" i="15"/>
  <c r="D44" i="5" l="1"/>
  <c r="M44" i="5" s="1"/>
  <c r="D43" i="5"/>
  <c r="G43" i="5" s="1"/>
  <c r="G42" i="5"/>
  <c r="J42" i="5" s="1"/>
  <c r="J43" i="5" s="1"/>
  <c r="C262" i="12"/>
  <c r="C263" i="12" s="1"/>
  <c r="C278" i="12"/>
  <c r="C280" i="12" s="1"/>
  <c r="F280" i="12" s="1"/>
  <c r="F383" i="12"/>
  <c r="J419" i="12"/>
  <c r="J436" i="12" s="1"/>
  <c r="J450" i="12" s="1"/>
  <c r="J456" i="12" s="1"/>
  <c r="L419" i="12"/>
  <c r="L436" i="12" s="1"/>
  <c r="L450" i="12" s="1"/>
  <c r="L456" i="12" s="1"/>
  <c r="E383" i="12"/>
  <c r="G419" i="12"/>
  <c r="G436" i="12" s="1"/>
  <c r="G450" i="12" s="1"/>
  <c r="G456" i="12" s="1"/>
  <c r="AQ84" i="15"/>
  <c r="AR84" i="15" s="1"/>
  <c r="AQ85" i="15"/>
  <c r="AR85" i="15" s="1"/>
  <c r="AQ82" i="15"/>
  <c r="AR82" i="15" s="1"/>
  <c r="AQ83" i="15"/>
  <c r="AR83" i="15" s="1"/>
  <c r="AQ81" i="15"/>
  <c r="AR81" i="15" s="1"/>
  <c r="AS87" i="15" l="1"/>
  <c r="AS48" i="15"/>
  <c r="AS117" i="15"/>
  <c r="AS69" i="15"/>
  <c r="AS111" i="15"/>
  <c r="AS46" i="15"/>
  <c r="AS45" i="15"/>
  <c r="AS105" i="15"/>
  <c r="AT105" i="15" s="1"/>
  <c r="AS47" i="15"/>
  <c r="AS49" i="15"/>
  <c r="AS93" i="15"/>
  <c r="AS81" i="15"/>
  <c r="AS39" i="15"/>
  <c r="AS42" i="15"/>
  <c r="AS41" i="15"/>
  <c r="AS75" i="15"/>
  <c r="AS40" i="15"/>
  <c r="AS63" i="15"/>
  <c r="AS43" i="15"/>
  <c r="AS33" i="15"/>
  <c r="AT33" i="15" s="1"/>
  <c r="AS15" i="15"/>
  <c r="BH18" i="15"/>
  <c r="AS51" i="15"/>
  <c r="AS28" i="15"/>
  <c r="AS29" i="15"/>
  <c r="AS37" i="15"/>
  <c r="AS18" i="15"/>
  <c r="AS11" i="15"/>
  <c r="AS21" i="15"/>
  <c r="AT21" i="15" s="1"/>
  <c r="AS22" i="15"/>
  <c r="AS52" i="15"/>
  <c r="AS19" i="15"/>
  <c r="AS9" i="15"/>
  <c r="AS36" i="15"/>
  <c r="AS31" i="15"/>
  <c r="AS17" i="15"/>
  <c r="AS27" i="15"/>
  <c r="AT27" i="15" s="1"/>
  <c r="AS53" i="15"/>
  <c r="AS13" i="15"/>
  <c r="AS99" i="15"/>
  <c r="AS12" i="15"/>
  <c r="AS25" i="15"/>
  <c r="AS55" i="15"/>
  <c r="AS35" i="15"/>
  <c r="AS30" i="15"/>
  <c r="AS16" i="15"/>
  <c r="AS57" i="15"/>
  <c r="AS23" i="15"/>
  <c r="AS24" i="15"/>
  <c r="AS54" i="15"/>
  <c r="AS34" i="15"/>
  <c r="AS10" i="15"/>
  <c r="AT10" i="15" s="1"/>
  <c r="AS119" i="15"/>
  <c r="BH108" i="15"/>
  <c r="BI108" i="15" s="1"/>
  <c r="BH109" i="15"/>
  <c r="BI109" i="15" s="1"/>
  <c r="BH105" i="15"/>
  <c r="BI105" i="15" s="1"/>
  <c r="BH106" i="15"/>
  <c r="BI106" i="15" s="1"/>
  <c r="BH107" i="15"/>
  <c r="BI107" i="15" s="1"/>
  <c r="BH117" i="15"/>
  <c r="BI117" i="15" s="1"/>
  <c r="BH121" i="15"/>
  <c r="BI121" i="15" s="1"/>
  <c r="AS121" i="15"/>
  <c r="AT121" i="15" s="1"/>
  <c r="BH120" i="15"/>
  <c r="BI120" i="15" s="1"/>
  <c r="BH114" i="15"/>
  <c r="BI114" i="15" s="1"/>
  <c r="BH113" i="15"/>
  <c r="BI113" i="15" s="1"/>
  <c r="AS118" i="15"/>
  <c r="AT118" i="15" s="1"/>
  <c r="AT117" i="15"/>
  <c r="BH112" i="15"/>
  <c r="BI112" i="15" s="1"/>
  <c r="BH111" i="15"/>
  <c r="BI111" i="15" s="1"/>
  <c r="AS120" i="15"/>
  <c r="AT120" i="15" s="1"/>
  <c r="BH119" i="15"/>
  <c r="BI119" i="15" s="1"/>
  <c r="BH115" i="15"/>
  <c r="BI115" i="15" s="1"/>
  <c r="BH118" i="15"/>
  <c r="BI118" i="15" s="1"/>
  <c r="BH83" i="15"/>
  <c r="BI83" i="15" s="1"/>
  <c r="BH103" i="15"/>
  <c r="BI103" i="15" s="1"/>
  <c r="AS112" i="15"/>
  <c r="AS115" i="15"/>
  <c r="AT115" i="15" s="1"/>
  <c r="AT119" i="15"/>
  <c r="AT111" i="15"/>
  <c r="AS113" i="15"/>
  <c r="AT113" i="15" s="1"/>
  <c r="AS114" i="15"/>
  <c r="AT114" i="15" s="1"/>
  <c r="AS106" i="15"/>
  <c r="AT106" i="15" s="1"/>
  <c r="AS109" i="15"/>
  <c r="AT109" i="15" s="1"/>
  <c r="AS107" i="15"/>
  <c r="AT107" i="15" s="1"/>
  <c r="AS108" i="15"/>
  <c r="AT108" i="15" s="1"/>
  <c r="T29" i="12"/>
  <c r="T27" i="12"/>
  <c r="T28" i="12"/>
  <c r="G44" i="5"/>
  <c r="J44" i="5" s="1"/>
  <c r="T10" i="12"/>
  <c r="C154" i="18"/>
  <c r="T11" i="12"/>
  <c r="T18" i="12"/>
  <c r="T23" i="12"/>
  <c r="T19" i="12"/>
  <c r="T20" i="12"/>
  <c r="T8" i="12"/>
  <c r="T25" i="12"/>
  <c r="T15" i="12"/>
  <c r="T21" i="12"/>
  <c r="T12" i="12"/>
  <c r="T13" i="12"/>
  <c r="T9" i="12"/>
  <c r="T24" i="12"/>
  <c r="T16" i="12"/>
  <c r="AT37" i="15"/>
  <c r="AS103" i="15"/>
  <c r="AT103" i="15" s="1"/>
  <c r="BH17" i="15"/>
  <c r="BI17" i="15" s="1"/>
  <c r="BH13" i="15"/>
  <c r="BI13" i="15" s="1"/>
  <c r="AT15" i="15"/>
  <c r="AT43" i="15"/>
  <c r="BH43" i="15"/>
  <c r="BI43" i="15" s="1"/>
  <c r="BH63" i="15"/>
  <c r="BI63" i="15" s="1"/>
  <c r="BH39" i="15"/>
  <c r="BI39" i="15" s="1"/>
  <c r="BH31" i="15"/>
  <c r="BI31" i="15" s="1"/>
  <c r="BH72" i="15"/>
  <c r="BI72" i="15" s="1"/>
  <c r="AS73" i="15"/>
  <c r="AT73" i="15" s="1"/>
  <c r="BH71" i="15"/>
  <c r="BI71" i="15" s="1"/>
  <c r="BH90" i="15"/>
  <c r="BI90" i="15" s="1"/>
  <c r="BH87" i="15"/>
  <c r="BI87" i="15" s="1"/>
  <c r="BH88" i="15"/>
  <c r="BI88" i="15" s="1"/>
  <c r="BH60" i="15"/>
  <c r="BI60" i="15" s="1"/>
  <c r="BH51" i="15"/>
  <c r="BI51" i="15" s="1"/>
  <c r="BH34" i="15"/>
  <c r="BI34" i="15" s="1"/>
  <c r="BH25" i="15"/>
  <c r="BI25" i="15" s="1"/>
  <c r="BH54" i="15"/>
  <c r="BI54" i="15" s="1"/>
  <c r="BH99" i="15"/>
  <c r="BI99" i="15" s="1"/>
  <c r="BH27" i="15"/>
  <c r="BI27" i="15" s="1"/>
  <c r="BH24" i="15"/>
  <c r="BI24" i="15" s="1"/>
  <c r="AT53" i="15"/>
  <c r="AS59" i="15"/>
  <c r="AT59" i="15" s="1"/>
  <c r="AT24" i="15"/>
  <c r="AT18" i="15"/>
  <c r="AT13" i="15"/>
  <c r="BH57" i="15"/>
  <c r="BI57" i="15" s="1"/>
  <c r="BH12" i="15"/>
  <c r="BI12" i="15" s="1"/>
  <c r="BH21" i="15"/>
  <c r="BI21" i="15" s="1"/>
  <c r="BH102" i="15"/>
  <c r="BI102" i="15" s="1"/>
  <c r="BH19" i="15"/>
  <c r="BI19" i="15" s="1"/>
  <c r="BH59" i="15"/>
  <c r="BI59" i="15" s="1"/>
  <c r="BH11" i="15"/>
  <c r="BI11" i="15" s="1"/>
  <c r="AS64" i="15"/>
  <c r="AT64" i="15" s="1"/>
  <c r="AT40" i="15"/>
  <c r="BH42" i="15"/>
  <c r="BI42" i="15" s="1"/>
  <c r="AS71" i="15"/>
  <c r="AT71" i="15" s="1"/>
  <c r="BH69" i="15"/>
  <c r="BI69" i="15" s="1"/>
  <c r="AS90" i="15"/>
  <c r="AT90" i="15" s="1"/>
  <c r="BH89" i="15"/>
  <c r="BI89" i="15" s="1"/>
  <c r="BH61" i="15"/>
  <c r="BI61" i="15" s="1"/>
  <c r="BH66" i="15"/>
  <c r="BI66" i="15" s="1"/>
  <c r="BH29" i="15"/>
  <c r="BI29" i="15" s="1"/>
  <c r="AS67" i="15"/>
  <c r="AT67" i="15" s="1"/>
  <c r="AS102" i="15"/>
  <c r="AT102" i="15" s="1"/>
  <c r="AS61" i="15"/>
  <c r="AT61" i="15" s="1"/>
  <c r="AS101" i="15"/>
  <c r="AT101" i="15" s="1"/>
  <c r="AT12" i="15"/>
  <c r="AT34" i="15"/>
  <c r="AT30" i="15"/>
  <c r="AT54" i="15"/>
  <c r="AT29" i="15"/>
  <c r="AT52" i="15"/>
  <c r="BH23" i="15"/>
  <c r="BI23" i="15" s="1"/>
  <c r="AT42" i="15"/>
  <c r="BI18" i="15"/>
  <c r="BH16" i="15"/>
  <c r="BI16" i="15" s="1"/>
  <c r="BH53" i="15"/>
  <c r="BI53" i="15" s="1"/>
  <c r="BH64" i="15"/>
  <c r="BI64" i="15" s="1"/>
  <c r="BH55" i="15"/>
  <c r="BI55" i="15" s="1"/>
  <c r="AS72" i="15"/>
  <c r="AT72" i="15" s="1"/>
  <c r="AT69" i="15"/>
  <c r="AT87" i="15"/>
  <c r="AS88" i="15"/>
  <c r="AT88" i="15" s="1"/>
  <c r="BH52" i="15"/>
  <c r="BI52" i="15" s="1"/>
  <c r="BH35" i="15"/>
  <c r="BI35" i="15" s="1"/>
  <c r="AT39" i="15"/>
  <c r="BH100" i="15"/>
  <c r="BI100" i="15" s="1"/>
  <c r="BH15" i="15"/>
  <c r="BI15" i="15" s="1"/>
  <c r="BH65" i="15"/>
  <c r="BI65" i="15" s="1"/>
  <c r="AT57" i="15"/>
  <c r="AS100" i="15"/>
  <c r="AT100" i="15" s="1"/>
  <c r="AT16" i="15"/>
  <c r="AT11" i="15"/>
  <c r="AT55" i="15"/>
  <c r="AT19" i="15"/>
  <c r="AS65" i="15"/>
  <c r="AT65" i="15" s="1"/>
  <c r="BH22" i="15"/>
  <c r="BI22" i="15" s="1"/>
  <c r="BH41" i="15"/>
  <c r="BI41" i="15" s="1"/>
  <c r="BH30" i="15"/>
  <c r="BI30" i="15" s="1"/>
  <c r="BH58" i="15"/>
  <c r="BI58" i="15" s="1"/>
  <c r="BH10" i="15"/>
  <c r="BI10" i="15" s="1"/>
  <c r="AS66" i="15"/>
  <c r="AT66" i="15" s="1"/>
  <c r="BH67" i="15"/>
  <c r="BI67" i="15" s="1"/>
  <c r="BH73" i="15"/>
  <c r="BI73" i="15" s="1"/>
  <c r="BH70" i="15"/>
  <c r="BI70" i="15" s="1"/>
  <c r="AS70" i="15"/>
  <c r="AT70" i="15" s="1"/>
  <c r="BH91" i="15"/>
  <c r="BI91" i="15" s="1"/>
  <c r="AS89" i="15"/>
  <c r="AT89" i="15" s="1"/>
  <c r="AS91" i="15"/>
  <c r="AT91" i="15" s="1"/>
  <c r="BH9" i="15"/>
  <c r="BH101" i="15"/>
  <c r="BI101" i="15" s="1"/>
  <c r="BH36" i="15"/>
  <c r="BI36" i="15" s="1"/>
  <c r="AT63" i="15"/>
  <c r="BH33" i="15"/>
  <c r="BI33" i="15" s="1"/>
  <c r="BH28" i="15"/>
  <c r="BI28" i="15" s="1"/>
  <c r="BH37" i="15"/>
  <c r="BI37" i="15" s="1"/>
  <c r="AT41" i="15"/>
  <c r="BH40" i="15"/>
  <c r="BI40" i="15" s="1"/>
  <c r="AT36" i="15"/>
  <c r="AT25" i="15"/>
  <c r="AT23" i="15"/>
  <c r="AT22" i="15"/>
  <c r="AT35" i="15"/>
  <c r="AT17" i="15"/>
  <c r="AT31" i="15"/>
  <c r="AS58" i="15"/>
  <c r="AT58" i="15" s="1"/>
  <c r="AT28" i="15"/>
  <c r="AS60" i="15"/>
  <c r="AT60" i="15" s="1"/>
  <c r="AT9" i="15"/>
  <c r="AS96" i="15"/>
  <c r="AT96" i="15" s="1"/>
  <c r="AS94" i="15"/>
  <c r="AT94" i="15" s="1"/>
  <c r="AS85" i="15"/>
  <c r="AT85" i="15" s="1"/>
  <c r="BH76" i="15"/>
  <c r="BI76" i="15" s="1"/>
  <c r="AS95" i="15"/>
  <c r="AT95" i="15" s="1"/>
  <c r="BH93" i="15"/>
  <c r="BI93" i="15" s="1"/>
  <c r="BH85" i="15"/>
  <c r="BI85" i="15" s="1"/>
  <c r="BH82" i="15"/>
  <c r="BI82" i="15" s="1"/>
  <c r="AS97" i="15"/>
  <c r="AT97" i="15" s="1"/>
  <c r="AS79" i="15"/>
  <c r="AT79" i="15" s="1"/>
  <c r="AS78" i="15"/>
  <c r="AT78" i="15" s="1"/>
  <c r="AT75" i="15"/>
  <c r="AS76" i="15"/>
  <c r="AT76" i="15" s="1"/>
  <c r="BH81" i="15"/>
  <c r="BI81" i="15" s="1"/>
  <c r="BH78" i="15"/>
  <c r="BI78" i="15" s="1"/>
  <c r="BH75" i="15"/>
  <c r="BI75" i="15" s="1"/>
  <c r="BH97" i="15"/>
  <c r="BI97" i="15" s="1"/>
  <c r="BH77" i="15"/>
  <c r="BI77" i="15" s="1"/>
  <c r="BH84" i="15"/>
  <c r="BI84" i="15" s="1"/>
  <c r="AS77" i="15"/>
  <c r="AT77" i="15" s="1"/>
  <c r="AS84" i="15"/>
  <c r="AT84" i="15" s="1"/>
  <c r="BH94" i="15"/>
  <c r="BI94" i="15" s="1"/>
  <c r="BH95" i="15"/>
  <c r="BI95" i="15" s="1"/>
  <c r="BH96" i="15"/>
  <c r="BI96" i="15" s="1"/>
  <c r="AS83" i="15"/>
  <c r="AT83" i="15" s="1"/>
  <c r="AS82" i="15"/>
  <c r="AT82" i="15" s="1"/>
  <c r="AT81" i="15"/>
  <c r="BH79" i="15"/>
  <c r="BI79" i="15" s="1"/>
  <c r="E384" i="12"/>
  <c r="G420" i="12"/>
  <c r="G437" i="12" s="1"/>
  <c r="F384" i="12"/>
  <c r="L420" i="12"/>
  <c r="L437" i="12" s="1"/>
  <c r="J420" i="12"/>
  <c r="J437" i="12" s="1"/>
  <c r="AT93" i="15" l="1"/>
  <c r="C52" i="5"/>
  <c r="F52" i="5" s="1"/>
  <c r="I52" i="5" s="1"/>
  <c r="AT99" i="15"/>
  <c r="AT51" i="15"/>
  <c r="AT112" i="15"/>
  <c r="BI9" i="15"/>
  <c r="BI123" i="15" s="1"/>
  <c r="M52" i="5" s="1"/>
  <c r="F385" i="12"/>
  <c r="J421" i="12"/>
  <c r="J438" i="12" s="1"/>
  <c r="J451" i="12" s="1"/>
  <c r="L421" i="12"/>
  <c r="L438" i="12" s="1"/>
  <c r="L451" i="12" s="1"/>
  <c r="E385" i="12"/>
  <c r="G421" i="12"/>
  <c r="G438" i="12" s="1"/>
  <c r="G451" i="12" s="1"/>
  <c r="K51" i="12"/>
  <c r="AT123" i="15" l="1"/>
  <c r="L52" i="5" s="1"/>
  <c r="E386" i="12"/>
  <c r="G422" i="12"/>
  <c r="G439" i="12" s="1"/>
  <c r="G453" i="12" s="1"/>
  <c r="F386" i="12"/>
  <c r="J422" i="12"/>
  <c r="J439" i="12" s="1"/>
  <c r="J453" i="12" s="1"/>
  <c r="L422" i="12"/>
  <c r="L439" i="12" s="1"/>
  <c r="L453" i="12" s="1"/>
  <c r="M51" i="12"/>
  <c r="L51" i="12"/>
  <c r="X51" i="12"/>
  <c r="K75" i="12"/>
  <c r="AD64" i="15" l="1"/>
  <c r="X75" i="12"/>
  <c r="AE64" i="15"/>
  <c r="F387" i="12"/>
  <c r="J423" i="12"/>
  <c r="J440" i="12" s="1"/>
  <c r="J452" i="12" s="1"/>
  <c r="L423" i="12"/>
  <c r="L440" i="12" s="1"/>
  <c r="L452" i="12" s="1"/>
  <c r="E387" i="12"/>
  <c r="G424" i="12" s="1"/>
  <c r="G441" i="12" s="1"/>
  <c r="G454" i="12" s="1"/>
  <c r="G423" i="12"/>
  <c r="G440" i="12" s="1"/>
  <c r="G452" i="12" s="1"/>
  <c r="N51" i="12"/>
  <c r="AD66" i="15"/>
  <c r="AD67" i="15"/>
  <c r="AD65" i="15"/>
  <c r="AD63" i="15"/>
  <c r="L75" i="12"/>
  <c r="W67" i="15" s="1"/>
  <c r="X67" i="15" s="1"/>
  <c r="U67" i="15"/>
  <c r="V67" i="15" s="1"/>
  <c r="AO64" i="15"/>
  <c r="AP64" i="15" s="1"/>
  <c r="M75" i="12"/>
  <c r="U64" i="15"/>
  <c r="V64" i="15" s="1"/>
  <c r="U65" i="15"/>
  <c r="V65" i="15" s="1"/>
  <c r="U66" i="15"/>
  <c r="V66" i="15" s="1"/>
  <c r="U63" i="15"/>
  <c r="V63" i="15" s="1"/>
  <c r="AE63" i="15" l="1"/>
  <c r="AE65" i="15"/>
  <c r="AE67" i="15"/>
  <c r="AE66" i="15"/>
  <c r="AE123" i="15" s="1"/>
  <c r="M30" i="5" s="1"/>
  <c r="M31" i="5" s="1"/>
  <c r="V123" i="15"/>
  <c r="L30" i="5" s="1"/>
  <c r="L31" i="5" s="1"/>
  <c r="G458" i="12"/>
  <c r="AH65" i="15"/>
  <c r="BL65" i="15" s="1"/>
  <c r="AL65" i="15" s="1"/>
  <c r="L424" i="12"/>
  <c r="L441" i="12" s="1"/>
  <c r="L454" i="12" s="1"/>
  <c r="L458" i="12" s="1"/>
  <c r="R77" i="12" s="1"/>
  <c r="S77" i="12" s="1"/>
  <c r="J424" i="12"/>
  <c r="J441" i="12" s="1"/>
  <c r="J454" i="12" s="1"/>
  <c r="J458" i="12" s="1"/>
  <c r="BD65" i="15"/>
  <c r="BE65" i="15" s="1"/>
  <c r="BD66" i="15"/>
  <c r="BE66" i="15" s="1"/>
  <c r="BD63" i="15"/>
  <c r="BE63" i="15" s="1"/>
  <c r="BD64" i="15"/>
  <c r="BE64" i="15" s="1"/>
  <c r="BD67" i="15"/>
  <c r="BE67" i="15" s="1"/>
  <c r="AO67" i="15"/>
  <c r="AP67" i="15" s="1"/>
  <c r="AO65" i="15"/>
  <c r="AP65" i="15" s="1"/>
  <c r="AO63" i="15"/>
  <c r="AP63" i="15" s="1"/>
  <c r="AO66" i="15"/>
  <c r="AP66" i="15" s="1"/>
  <c r="W66" i="15"/>
  <c r="X66" i="15" s="1"/>
  <c r="W64" i="15"/>
  <c r="X64" i="15" s="1"/>
  <c r="BK67" i="15"/>
  <c r="W65" i="15"/>
  <c r="X65" i="15" s="1"/>
  <c r="W63" i="15"/>
  <c r="X63" i="15" s="1"/>
  <c r="N75" i="12"/>
  <c r="AH67" i="15"/>
  <c r="Y64" i="15"/>
  <c r="U123" i="15"/>
  <c r="AO129" i="15" s="1"/>
  <c r="Y63" i="15"/>
  <c r="C30" i="5"/>
  <c r="AH66" i="15"/>
  <c r="Y67" i="15"/>
  <c r="AX67" i="15" s="1"/>
  <c r="AW67" i="15"/>
  <c r="Y66" i="15"/>
  <c r="AH64" i="15"/>
  <c r="Y65" i="15"/>
  <c r="AD123" i="15"/>
  <c r="AQ129" i="15" s="1"/>
  <c r="AH63" i="15"/>
  <c r="D30" i="5"/>
  <c r="D31" i="5" s="1"/>
  <c r="G31" i="5" s="1"/>
  <c r="J31" i="5" s="1"/>
  <c r="X123" i="15" l="1"/>
  <c r="L32" i="5" s="1"/>
  <c r="R25" i="12"/>
  <c r="AQ78" i="15" s="1"/>
  <c r="AR78" i="15" s="1"/>
  <c r="R24" i="12"/>
  <c r="AQ73" i="15" s="1"/>
  <c r="AR73" i="15" s="1"/>
  <c r="AA67" i="15"/>
  <c r="AB67" i="15" s="1"/>
  <c r="F30" i="5"/>
  <c r="I30" i="5" s="1"/>
  <c r="C31" i="5"/>
  <c r="F31" i="5" s="1"/>
  <c r="I31" i="5" s="1"/>
  <c r="AP123" i="15"/>
  <c r="BE123" i="15"/>
  <c r="M48" i="5" s="1"/>
  <c r="AW64" i="15"/>
  <c r="AW63" i="15"/>
  <c r="D48" i="5"/>
  <c r="AW65" i="15"/>
  <c r="AM65" i="15" s="1"/>
  <c r="AW66" i="15"/>
  <c r="Z66" i="15"/>
  <c r="G30" i="5"/>
  <c r="J30" i="5" s="1"/>
  <c r="C48" i="5"/>
  <c r="F48" i="5" s="1"/>
  <c r="Z67" i="15"/>
  <c r="Z65" i="15"/>
  <c r="Z63" i="15"/>
  <c r="Z64" i="15"/>
  <c r="AO123" i="15"/>
  <c r="AO128" i="15" s="1"/>
  <c r="BD123" i="15"/>
  <c r="AQ128" i="15" s="1"/>
  <c r="AM67" i="15"/>
  <c r="AI65" i="15"/>
  <c r="AX64" i="15"/>
  <c r="BL63" i="15"/>
  <c r="AL63" i="15" s="1"/>
  <c r="BL66" i="15"/>
  <c r="AL66" i="15" s="1"/>
  <c r="BL64" i="15"/>
  <c r="AL64" i="15" s="1"/>
  <c r="BK65" i="15"/>
  <c r="BQ65" i="15" s="1"/>
  <c r="BR65" i="15" s="1"/>
  <c r="AX65" i="15"/>
  <c r="C32" i="5"/>
  <c r="BL67" i="15"/>
  <c r="AI67" i="15"/>
  <c r="W123" i="15"/>
  <c r="AF123" i="15"/>
  <c r="AX63" i="15"/>
  <c r="BK63" i="15"/>
  <c r="BK64" i="15"/>
  <c r="BK66" i="15"/>
  <c r="BQ66" i="15" s="1"/>
  <c r="BR66" i="15" s="1"/>
  <c r="D32" i="5"/>
  <c r="AX66" i="15"/>
  <c r="AH123" i="15"/>
  <c r="AI64" i="15"/>
  <c r="AY67" i="15"/>
  <c r="AZ67" i="15" s="1"/>
  <c r="Y123" i="15"/>
  <c r="AI63" i="15"/>
  <c r="AI66" i="15"/>
  <c r="BQ67" i="15" l="1"/>
  <c r="BR67" i="15" s="1"/>
  <c r="AL67" i="15"/>
  <c r="AQ77" i="15"/>
  <c r="AR77" i="15" s="1"/>
  <c r="AQ71" i="15"/>
  <c r="AR71" i="15" s="1"/>
  <c r="BF79" i="15"/>
  <c r="BG79" i="15" s="1"/>
  <c r="AQ79" i="15"/>
  <c r="AR79" i="15" s="1"/>
  <c r="BF75" i="15"/>
  <c r="BG75" i="15" s="1"/>
  <c r="BF76" i="15"/>
  <c r="BG76" i="15" s="1"/>
  <c r="AQ75" i="15"/>
  <c r="AR75" i="15" s="1"/>
  <c r="BF77" i="15"/>
  <c r="BG77" i="15" s="1"/>
  <c r="S25" i="12"/>
  <c r="BF78" i="15"/>
  <c r="BG78" i="15" s="1"/>
  <c r="BF71" i="15"/>
  <c r="BG71" i="15" s="1"/>
  <c r="AQ76" i="15"/>
  <c r="AR76" i="15" s="1"/>
  <c r="BF73" i="15"/>
  <c r="BG73" i="15" s="1"/>
  <c r="BF69" i="15"/>
  <c r="BG69" i="15" s="1"/>
  <c r="S24" i="12"/>
  <c r="BF72" i="15"/>
  <c r="BG72" i="15" s="1"/>
  <c r="BF70" i="15"/>
  <c r="BG70" i="15" s="1"/>
  <c r="AQ70" i="15"/>
  <c r="AR70" i="15" s="1"/>
  <c r="AQ72" i="15"/>
  <c r="AR72" i="15" s="1"/>
  <c r="AQ69" i="15"/>
  <c r="AR69" i="15" s="1"/>
  <c r="L48" i="5"/>
  <c r="D36" i="5"/>
  <c r="G36" i="5" s="1"/>
  <c r="J36" i="5" s="1"/>
  <c r="AA63" i="15"/>
  <c r="C36" i="5"/>
  <c r="F36" i="5" s="1"/>
  <c r="I36" i="5" s="1"/>
  <c r="BQ63" i="15"/>
  <c r="BR63" i="15" s="1"/>
  <c r="AY66" i="15"/>
  <c r="AZ66" i="15" s="1"/>
  <c r="AY64" i="15"/>
  <c r="AZ64" i="15" s="1"/>
  <c r="BQ64" i="15"/>
  <c r="BR64" i="15" s="1"/>
  <c r="G32" i="5"/>
  <c r="J32" i="5" s="1"/>
  <c r="G48" i="5"/>
  <c r="J48" i="5" s="1"/>
  <c r="AM66" i="15"/>
  <c r="AM64" i="15"/>
  <c r="AA64" i="15"/>
  <c r="AB64" i="15" s="1"/>
  <c r="AA65" i="15"/>
  <c r="AB65" i="15" s="1"/>
  <c r="AA66" i="15"/>
  <c r="AB66" i="15" s="1"/>
  <c r="AM63" i="15"/>
  <c r="AW123" i="15"/>
  <c r="AY65" i="15"/>
  <c r="AZ65" i="15" s="1"/>
  <c r="AY63" i="15"/>
  <c r="AZ63" i="15" s="1"/>
  <c r="F32" i="5"/>
  <c r="I32" i="5" s="1"/>
  <c r="I48" i="5"/>
  <c r="AX123" i="15"/>
  <c r="BK123" i="15"/>
  <c r="Z123" i="15"/>
  <c r="BL123" i="15"/>
  <c r="AI123" i="15"/>
  <c r="AB63" i="15" l="1"/>
  <c r="C34" i="5"/>
  <c r="C35" i="5" s="1"/>
  <c r="BR123" i="15"/>
  <c r="BQ123" i="15"/>
  <c r="AM123" i="15"/>
  <c r="M34" i="5" s="1"/>
  <c r="M35" i="5" s="1"/>
  <c r="AZ123" i="15"/>
  <c r="AB123" i="15"/>
  <c r="AA123" i="15"/>
  <c r="D34" i="5"/>
  <c r="D37" i="5" s="1"/>
  <c r="AY123" i="15"/>
  <c r="AL123" i="15"/>
  <c r="M37" i="5" l="1"/>
  <c r="C37" i="5"/>
  <c r="L34" i="5"/>
  <c r="L35" i="5" s="1"/>
  <c r="F34" i="5"/>
  <c r="I34" i="5" s="1"/>
  <c r="I35" i="5" s="1"/>
  <c r="D35" i="5"/>
  <c r="G35" i="5" s="1"/>
  <c r="G34" i="5"/>
  <c r="J34" i="5" s="1"/>
  <c r="J35" i="5" s="1"/>
  <c r="L37" i="5" l="1"/>
  <c r="F37" i="5"/>
  <c r="I37" i="5" s="1"/>
  <c r="G37" i="5"/>
  <c r="J37" i="5" s="1"/>
  <c r="F35" i="5"/>
  <c r="BX63" i="15"/>
  <c r="BY63" i="15" s="1"/>
  <c r="BY123" i="15" s="1"/>
  <c r="L60" i="5" s="1"/>
  <c r="E51" i="12"/>
  <c r="G111" i="18" s="1"/>
  <c r="BW63" i="15"/>
  <c r="BW123" i="15" s="1"/>
  <c r="L64" i="5" l="1"/>
  <c r="M65" i="5" s="1"/>
  <c r="M61" i="5"/>
  <c r="BX123" i="15"/>
  <c r="C60" i="5"/>
  <c r="F60" i="5" s="1"/>
  <c r="G61" i="5" l="1"/>
  <c r="I60" i="5"/>
  <c r="J61" i="5" s="1"/>
  <c r="C64" i="5"/>
  <c r="F64" i="5" s="1"/>
  <c r="D61" i="5"/>
  <c r="G65" i="5" l="1"/>
  <c r="I64" i="5"/>
  <c r="J65" i="5" s="1"/>
  <c r="D65" i="5"/>
  <c r="AS123" i="15" l="1"/>
  <c r="BH49" i="15" l="1"/>
  <c r="BH46" i="15"/>
  <c r="BH48" i="15"/>
  <c r="BH47" i="15"/>
  <c r="BH45" i="15"/>
  <c r="D52" i="5" l="1"/>
  <c r="BH123" i="15"/>
  <c r="G52" i="5" l="1"/>
  <c r="J52" i="5" s="1"/>
  <c r="E410" i="12"/>
  <c r="E427" i="12" s="1"/>
  <c r="F410" i="12"/>
  <c r="F427" i="12" s="1"/>
  <c r="D374" i="12"/>
  <c r="D411" i="12" s="1"/>
  <c r="D428" i="12" s="1"/>
  <c r="D410" i="12"/>
  <c r="D427" i="12" s="1"/>
  <c r="E411" i="12" l="1"/>
  <c r="E428" i="12" s="1"/>
  <c r="D375" i="12"/>
  <c r="F411" i="12"/>
  <c r="F428" i="12" s="1"/>
  <c r="E412" i="12" l="1"/>
  <c r="E429" i="12" s="1"/>
  <c r="D412" i="12"/>
  <c r="D429" i="12" s="1"/>
  <c r="F412" i="12"/>
  <c r="F429" i="12" s="1"/>
  <c r="D376" i="12"/>
  <c r="E413" i="12" l="1"/>
  <c r="E430" i="12" s="1"/>
  <c r="E447" i="12" s="1"/>
  <c r="D413" i="12"/>
  <c r="D430" i="12" s="1"/>
  <c r="D447" i="12" s="1"/>
  <c r="F413" i="12"/>
  <c r="F430" i="12" s="1"/>
  <c r="F447" i="12" s="1"/>
  <c r="D377" i="12"/>
  <c r="E414" i="12" l="1"/>
  <c r="E431" i="12" s="1"/>
  <c r="D378" i="12"/>
  <c r="D414" i="12"/>
  <c r="D431" i="12" s="1"/>
  <c r="F414" i="12"/>
  <c r="F431" i="12" s="1"/>
  <c r="F415" i="12" l="1"/>
  <c r="F432" i="12" s="1"/>
  <c r="F448" i="12" s="1"/>
  <c r="F455" i="12" s="1"/>
  <c r="D415" i="12"/>
  <c r="D432" i="12" s="1"/>
  <c r="D448" i="12" s="1"/>
  <c r="D455" i="12" s="1"/>
  <c r="D379" i="12"/>
  <c r="E415" i="12"/>
  <c r="E432" i="12" s="1"/>
  <c r="E448" i="12" s="1"/>
  <c r="E455" i="12" s="1"/>
  <c r="E416" i="12" l="1"/>
  <c r="E433" i="12" s="1"/>
  <c r="D416" i="12"/>
  <c r="D433" i="12" s="1"/>
  <c r="F416" i="12"/>
  <c r="F433" i="12" s="1"/>
  <c r="D380" i="12"/>
  <c r="F417" i="12" l="1"/>
  <c r="F434" i="12" s="1"/>
  <c r="F449" i="12" s="1"/>
  <c r="E417" i="12"/>
  <c r="E434" i="12" s="1"/>
  <c r="E449" i="12" s="1"/>
  <c r="D417" i="12"/>
  <c r="D434" i="12" s="1"/>
  <c r="D449" i="12" s="1"/>
  <c r="D381" i="12"/>
  <c r="F418" i="12" l="1"/>
  <c r="F435" i="12" s="1"/>
  <c r="D418" i="12"/>
  <c r="D435" i="12" s="1"/>
  <c r="D382" i="12"/>
  <c r="E418" i="12"/>
  <c r="E435" i="12" s="1"/>
  <c r="D419" i="12" l="1"/>
  <c r="D436" i="12" s="1"/>
  <c r="D450" i="12" s="1"/>
  <c r="D456" i="12" s="1"/>
  <c r="D383" i="12"/>
  <c r="F419" i="12"/>
  <c r="F436" i="12" s="1"/>
  <c r="F450" i="12" s="1"/>
  <c r="F456" i="12" s="1"/>
  <c r="E419" i="12"/>
  <c r="E436" i="12" s="1"/>
  <c r="E450" i="12" s="1"/>
  <c r="E456" i="12" s="1"/>
  <c r="D420" i="12" l="1"/>
  <c r="D437" i="12" s="1"/>
  <c r="F420" i="12"/>
  <c r="F437" i="12" s="1"/>
  <c r="E420" i="12"/>
  <c r="E437" i="12" s="1"/>
  <c r="D384" i="12"/>
  <c r="E421" i="12" l="1"/>
  <c r="E438" i="12" s="1"/>
  <c r="E451" i="12" s="1"/>
  <c r="F421" i="12"/>
  <c r="F438" i="12" s="1"/>
  <c r="F451" i="12" s="1"/>
  <c r="D421" i="12"/>
  <c r="D438" i="12" s="1"/>
  <c r="D451" i="12" s="1"/>
  <c r="D385" i="12"/>
  <c r="F422" i="12" l="1"/>
  <c r="F439" i="12" s="1"/>
  <c r="F453" i="12" s="1"/>
  <c r="D422" i="12"/>
  <c r="D439" i="12" s="1"/>
  <c r="D453" i="12" s="1"/>
  <c r="D386" i="12"/>
  <c r="E422" i="12"/>
  <c r="E439" i="12" s="1"/>
  <c r="E453" i="12" s="1"/>
  <c r="D423" i="12" l="1"/>
  <c r="D440" i="12" s="1"/>
  <c r="D452" i="12" s="1"/>
  <c r="D387" i="12"/>
  <c r="E423" i="12"/>
  <c r="E440" i="12" s="1"/>
  <c r="E452" i="12" s="1"/>
  <c r="F423" i="12"/>
  <c r="F440" i="12" s="1"/>
  <c r="F452" i="12" s="1"/>
  <c r="D424" i="12" l="1"/>
  <c r="D441" i="12" s="1"/>
  <c r="D454" i="12" s="1"/>
  <c r="D458" i="12" s="1"/>
  <c r="E424" i="12"/>
  <c r="E441" i="12" s="1"/>
  <c r="E454" i="12" s="1"/>
  <c r="E458" i="12" s="1"/>
  <c r="R51" i="12" s="1"/>
  <c r="S51" i="12" s="1"/>
  <c r="F424" i="12"/>
  <c r="F441" i="12" s="1"/>
  <c r="F454" i="12" s="1"/>
  <c r="F458" i="12" s="1"/>
  <c r="R75" i="12" s="1"/>
  <c r="S75" i="12" s="1"/>
  <c r="R23" i="12" l="1"/>
  <c r="BF63" i="15" s="1"/>
  <c r="BG63" i="15" s="1"/>
  <c r="BF65" i="15" l="1"/>
  <c r="BG65" i="15" s="1"/>
  <c r="AQ63" i="15"/>
  <c r="AQ64" i="15"/>
  <c r="AR64" i="15" s="1"/>
  <c r="AQ67" i="15"/>
  <c r="AR67" i="15" s="1"/>
  <c r="BF66" i="15"/>
  <c r="BG66" i="15" s="1"/>
  <c r="AQ66" i="15"/>
  <c r="AR66" i="15" s="1"/>
  <c r="AQ65" i="15"/>
  <c r="AR65" i="15" s="1"/>
  <c r="BF64" i="15"/>
  <c r="BG64" i="15" s="1"/>
  <c r="S23" i="12"/>
  <c r="BF67" i="15"/>
  <c r="BG67" i="15" s="1"/>
  <c r="AR123" i="15" l="1"/>
  <c r="L49" i="5" s="1"/>
  <c r="L54" i="5" s="1"/>
  <c r="L68" i="5" s="1"/>
  <c r="AR63" i="15"/>
  <c r="C49" i="5"/>
  <c r="C54" i="5" s="1"/>
  <c r="C68" i="5" s="1"/>
  <c r="BG123" i="15"/>
  <c r="M49" i="5" s="1"/>
  <c r="M54" i="5" s="1"/>
  <c r="M68" i="5" s="1"/>
  <c r="D49" i="5"/>
  <c r="D54" i="5" s="1"/>
  <c r="D69" i="5" s="1"/>
  <c r="G69" i="5" s="1"/>
  <c r="AQ123" i="15"/>
  <c r="BF123" i="15"/>
  <c r="L71" i="5" l="1"/>
  <c r="L69" i="5"/>
  <c r="M69" i="5"/>
  <c r="M73" i="5"/>
  <c r="F49" i="5"/>
  <c r="I49" i="5" s="1"/>
  <c r="I54" i="5" s="1"/>
  <c r="I68" i="5" s="1"/>
  <c r="C69" i="5"/>
  <c r="F69" i="5" s="1"/>
  <c r="G74" i="5" s="1"/>
  <c r="F54" i="5"/>
  <c r="D68" i="5"/>
  <c r="G68" i="5" s="1"/>
  <c r="G49" i="5"/>
  <c r="J49" i="5" s="1"/>
  <c r="J54" i="5" s="1"/>
  <c r="J68" i="5" s="1"/>
  <c r="G54" i="5"/>
  <c r="F68" i="5"/>
  <c r="M74" i="5" l="1"/>
  <c r="I69" i="5"/>
  <c r="D74" i="5"/>
  <c r="D73" i="5"/>
  <c r="C71" i="5"/>
  <c r="J69" i="5"/>
  <c r="F71" i="5"/>
  <c r="I71" i="5"/>
  <c r="J73" i="5"/>
  <c r="G73" i="5"/>
  <c r="J74"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L28" authorId="0" shapeId="0" xr:uid="{09A62E20-5B4B-A84A-82AA-13FFE45415B6}">
      <text>
        <r>
          <rPr>
            <sz val="10"/>
            <color rgb="FF000000"/>
            <rFont val="Tahoma"/>
            <family val="2"/>
          </rPr>
          <t xml:space="preserve">Input gemeente Amsterdam: </t>
        </r>
        <r>
          <rPr>
            <sz val="10"/>
            <color rgb="FF000000"/>
            <rFont val="Calibri"/>
            <family val="2"/>
          </rPr>
          <t xml:space="preserve">BPM niet van toepassing voor huidige diesel voertuigen; n.v.t. voor vrachtwagens. 
</t>
        </r>
      </text>
    </comment>
    <comment ref="F29" authorId="0" shapeId="0" xr:uid="{9670FA37-4AD1-3C41-A7C4-26A5DC5B12E2}">
      <text>
        <r>
          <rPr>
            <b/>
            <sz val="10"/>
            <color rgb="FF000000"/>
            <rFont val="Tahoma"/>
            <family val="2"/>
          </rPr>
          <t>L / bedrijfsuur</t>
        </r>
        <r>
          <rPr>
            <sz val="10"/>
            <color rgb="FF000000"/>
            <rFont val="Tahoma"/>
            <family val="2"/>
          </rPr>
          <t xml:space="preserve">
</t>
        </r>
      </text>
    </comment>
    <comment ref="L29" authorId="0" shapeId="0" xr:uid="{78E7C69C-7510-FF48-A049-0A42EAA2E461}">
      <text>
        <r>
          <rPr>
            <b/>
            <sz val="10"/>
            <color rgb="FF000000"/>
            <rFont val="Tahoma"/>
            <family val="2"/>
          </rPr>
          <t>Robin Matton:</t>
        </r>
        <r>
          <rPr>
            <sz val="10"/>
            <color rgb="FF000000"/>
            <rFont val="Tahoma"/>
            <family val="2"/>
          </rPr>
          <t xml:space="preserve">
</t>
        </r>
        <r>
          <rPr>
            <sz val="10"/>
            <color rgb="FF000000"/>
            <rFont val="Calibri"/>
            <family val="2"/>
            <scheme val="minor"/>
          </rPr>
          <t>Geen BPM voor straatveegwagen. Input gemeente Amsterdam.</t>
        </r>
      </text>
    </comment>
    <comment ref="R29" authorId="0" shapeId="0" xr:uid="{BA31C392-919E-3E4E-B25F-9C131F22EB1C}">
      <text>
        <r>
          <rPr>
            <sz val="10"/>
            <color rgb="FF000000"/>
            <rFont val="Tahoma"/>
            <family val="2"/>
          </rPr>
          <t>Input gemeente Amsterdam: Vrijstelling MRB voor straatveegwagen.</t>
        </r>
      </text>
    </comment>
    <comment ref="U29" authorId="0" shapeId="0" xr:uid="{A1555A4E-7C8B-8F49-959E-8C253429CD15}">
      <text>
        <r>
          <rPr>
            <b/>
            <sz val="10"/>
            <color rgb="FF000000"/>
            <rFont val="Tahoma"/>
            <family val="2"/>
          </rPr>
          <t>Robin Matton:</t>
        </r>
        <r>
          <rPr>
            <sz val="10"/>
            <color rgb="FF000000"/>
            <rFont val="Tahoma"/>
            <family val="2"/>
          </rPr>
          <t xml:space="preserve">
</t>
        </r>
        <r>
          <rPr>
            <sz val="10"/>
            <color rgb="FF000000"/>
            <rFont val="Tahoma"/>
            <family val="2"/>
          </rPr>
          <t>Euro/bedrijfsuur</t>
        </r>
      </text>
    </comment>
    <comment ref="Z91" authorId="0" shapeId="0" xr:uid="{9E2D5856-37F4-C544-8BDD-8CDC7F0D42CA}">
      <text>
        <r>
          <rPr>
            <sz val="10"/>
            <color rgb="FF000000"/>
            <rFont val="Tahoma"/>
            <family val="2"/>
          </rPr>
          <t>Leverbaar vanaf augustugs 2018</t>
        </r>
      </text>
    </comment>
    <comment ref="Z100" authorId="0" shapeId="0" xr:uid="{DD7BECED-821B-DC4C-8881-C6096A97F4DE}">
      <text>
        <r>
          <rPr>
            <sz val="10"/>
            <color rgb="FF000000"/>
            <rFont val="Tahoma"/>
            <family val="2"/>
          </rPr>
          <t>Op de markt vanaf eind 2018.</t>
        </r>
      </text>
    </comment>
    <comment ref="Z104" authorId="0" shapeId="0" xr:uid="{B3EA34F2-A9C7-0C47-99F0-ECD918FCD1D0}">
      <text>
        <r>
          <rPr>
            <sz val="10"/>
            <color rgb="FF000000"/>
            <rFont val="Tahoma"/>
            <family val="2"/>
          </rPr>
          <t>Op de markt vanaf eind 2018.</t>
        </r>
      </text>
    </comment>
    <comment ref="F105" authorId="0" shapeId="0" xr:uid="{79523C3F-AA30-1443-B722-616C38D913DC}">
      <text>
        <r>
          <rPr>
            <b/>
            <sz val="10"/>
            <color rgb="FF000000"/>
            <rFont val="Tahoma"/>
            <family val="2"/>
          </rPr>
          <t>Robin Matton:</t>
        </r>
        <r>
          <rPr>
            <sz val="10"/>
            <color rgb="FF000000"/>
            <rFont val="Tahoma"/>
            <family val="2"/>
          </rPr>
          <t xml:space="preserve">
</t>
        </r>
        <r>
          <rPr>
            <sz val="10"/>
            <color rgb="FF000000"/>
            <rFont val="Tahoma"/>
            <family val="2"/>
          </rPr>
          <t>Verbruik per bedrijfsuur.</t>
        </r>
      </text>
    </comment>
    <comment ref="H146" authorId="0" shapeId="0" xr:uid="{EAE46CC7-C437-6A46-91B2-55D4D785CD17}">
      <text>
        <r>
          <rPr>
            <sz val="10"/>
            <color rgb="FF000000"/>
            <rFont val="Tahoma"/>
            <family val="2"/>
          </rPr>
          <t xml:space="preserve">Aanschafwaarde
</t>
        </r>
      </text>
    </comment>
    <comment ref="C481" authorId="0" shapeId="0" xr:uid="{37AE82D0-61C0-7045-BCA2-5D20F7EB20CA}">
      <text>
        <r>
          <rPr>
            <sz val="10"/>
            <color rgb="FF000000"/>
            <rFont val="Tahoma"/>
            <family val="2"/>
          </rPr>
          <t>Geen data in ANWB systeem. Trend van segment A - E doorgetrokken voor segment F.</t>
        </r>
      </text>
    </comment>
    <comment ref="C533" authorId="0" shapeId="0" xr:uid="{5F8BC31D-E7E5-8443-9DFD-A0E03AA569A7}">
      <text>
        <r>
          <rPr>
            <sz val="10"/>
            <color rgb="FF000000"/>
            <rFont val="Tahoma"/>
            <family val="2"/>
          </rPr>
          <t>Geen data in ANWB systeem. Trend van segment A - E doorgetrokken voor segment F.</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E18" authorId="0" shapeId="0" xr:uid="{1F22E4A9-543C-3945-92C5-374C66C2B58B}">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G18" authorId="0" shapeId="0" xr:uid="{A59F03F0-1051-914C-B4FC-D55A5DAF6B6D}">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C18" authorId="0" shapeId="0" xr:uid="{6B8929D9-2CAD-6143-9AF7-26887AB80FDC}">
      <text>
        <r>
          <rPr>
            <sz val="10"/>
            <color rgb="FF000000"/>
            <rFont val="Tahoma"/>
            <family val="2"/>
          </rPr>
          <t>Leverbaar vanaf augustus 2018</t>
        </r>
      </text>
    </comment>
    <comment ref="C53" authorId="0" shapeId="0" xr:uid="{B80AFA70-8431-3740-B2C6-39C025DD9363}">
      <text>
        <r>
          <rPr>
            <sz val="10"/>
            <color rgb="FF000000"/>
            <rFont val="Tahoma"/>
            <family val="2"/>
          </rPr>
          <t>Vanaf eind 2018 op de Nederlandse markt beschikbaar.</t>
        </r>
      </text>
    </comment>
    <comment ref="G53" authorId="0" shapeId="0" xr:uid="{78D97955-515F-E240-8F71-B9003F9FC052}">
      <text>
        <r>
          <rPr>
            <b/>
            <sz val="10"/>
            <color rgb="FF000000"/>
            <rFont val="Tahoma"/>
            <family val="2"/>
          </rPr>
          <t>Robin Matton:</t>
        </r>
        <r>
          <rPr>
            <sz val="10"/>
            <color rgb="FF000000"/>
            <rFont val="Tahoma"/>
            <family val="2"/>
          </rPr>
          <t xml:space="preserve">
</t>
        </r>
        <r>
          <rPr>
            <sz val="10"/>
            <color rgb="FF000000"/>
            <rFont val="Tahoma"/>
            <family val="2"/>
          </rPr>
          <t>WLTP range, vergelijkbaar EVDB real range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AA2" authorId="0" shapeId="0" xr:uid="{D85EF954-AA7D-7E45-AC4A-FCCDEA214270}">
      <text>
        <r>
          <rPr>
            <sz val="10"/>
            <color rgb="FF000000"/>
            <rFont val="Tahoma"/>
            <family val="2"/>
          </rPr>
          <t xml:space="preserve">(Nieuwprijs - restwaarde)/2 * rente%
</t>
        </r>
      </text>
    </comment>
    <comment ref="AB2" authorId="0" shapeId="0" xr:uid="{DBF22FD6-5C54-F347-BED7-6402F013A145}">
      <text>
        <r>
          <rPr>
            <sz val="10"/>
            <color rgb="FF000000"/>
            <rFont val="Tahoma"/>
            <family val="2"/>
          </rPr>
          <t xml:space="preserve">(Nieuwprijs - restwaarde)/2 * rente%
</t>
        </r>
      </text>
    </comment>
    <comment ref="AL2" authorId="0" shapeId="0" xr:uid="{876B347D-BCDA-3C42-A0D6-A78CEF7B96AC}">
      <text>
        <r>
          <rPr>
            <sz val="10"/>
            <color rgb="FF000000"/>
            <rFont val="Tahoma"/>
            <family val="2"/>
          </rPr>
          <t>(Nieuwprijs - restwaarde)/2 * rente%</t>
        </r>
      </text>
    </comment>
    <comment ref="AM2" authorId="0" shapeId="0" xr:uid="{D15046E9-4EB4-514D-94C8-0E4FB0E01C69}">
      <text>
        <r>
          <rPr>
            <sz val="10"/>
            <color rgb="FF000000"/>
            <rFont val="Tahoma"/>
            <family val="2"/>
          </rPr>
          <t xml:space="preserve">(Nieuwprijs - restwaarde)/2 * rente%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L9" authorId="0" shapeId="0" xr:uid="{07FE3537-553A-F14C-8595-117E277D2EC0}">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L19" authorId="0" shapeId="0" xr:uid="{23A8DC9D-6CEF-4947-A339-315572F4FF55}">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L30" authorId="0" shapeId="0" xr:uid="{FB117831-4AE9-334A-9134-72450AC35925}">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Robin Matton</author>
    <author/>
    <author>Robin Yorrick Matton</author>
  </authors>
  <commentList>
    <comment ref="O3" authorId="0" shapeId="0" xr:uid="{6E2BAEAB-833F-5643-AF77-5894A16D4072}">
      <text>
        <r>
          <rPr>
            <sz val="10"/>
            <color rgb="FF000000"/>
            <rFont val="Tahoma"/>
            <family val="2"/>
          </rPr>
          <t>Width vechile, excluding width of mirrors</t>
        </r>
      </text>
    </comment>
    <comment ref="E10" authorId="1" shapeId="0" xr:uid="{4AA1345A-FB9B-8D48-BBC1-8BC910C20F43}">
      <text>
        <r>
          <rPr>
            <sz val="12"/>
            <color rgb="FF000000"/>
            <rFont val="Calibri"/>
            <family val="2"/>
          </rPr>
          <t>Call MB (dec 2018)
NL rond de 300 stuks</t>
        </r>
      </text>
    </comment>
    <comment ref="X10" authorId="1" shapeId="0" xr:uid="{3337DA29-677A-7C46-B439-4A3954ABBDFF}">
      <text>
        <r>
          <rPr>
            <sz val="12"/>
            <color rgb="FF000000"/>
            <rFont val="Calibri"/>
            <family val="2"/>
          </rPr>
          <t xml:space="preserve">Standard: 80 km/h
Optional: 100 or 120 km/h
</t>
        </r>
      </text>
    </comment>
    <comment ref="AG10" authorId="1" shapeId="0" xr:uid="{D739FD4F-36F8-5E48-9A5A-27407BFC3C9E}">
      <text>
        <r>
          <rPr>
            <sz val="12"/>
            <color rgb="FF000000"/>
            <rFont val="Calibri"/>
            <family val="2"/>
          </rPr>
          <t xml:space="preserve">Website VW: 160 - 149 km.
</t>
        </r>
      </text>
    </comment>
    <comment ref="AI10" authorId="1" shapeId="0" xr:uid="{0C8785BA-C806-744B-92CA-0380D77669FD}">
      <text>
        <r>
          <rPr>
            <sz val="12"/>
            <color rgb="FF000000"/>
            <rFont val="Calibri"/>
            <family val="2"/>
          </rPr>
          <t>Input van Mountox gebruikt.</t>
        </r>
      </text>
    </comment>
    <comment ref="AJ10" authorId="1" shapeId="0" xr:uid="{02B59B39-BBA0-4647-9507-F5D8AD04986C}">
      <text>
        <r>
          <rPr>
            <sz val="12"/>
            <color rgb="FF000000"/>
            <rFont val="Calibri"/>
            <family val="2"/>
          </rPr>
          <t>Input van Mountox gebruikt.</t>
        </r>
      </text>
    </comment>
    <comment ref="E11" authorId="1" shapeId="0" xr:uid="{B4E2C8ED-372C-834D-8DEF-A41EC119E8E6}">
      <text>
        <r>
          <rPr>
            <sz val="12"/>
            <color rgb="FF000000"/>
            <rFont val="Calibri"/>
            <family val="2"/>
          </rPr>
          <t xml:space="preserve">Call MB (dec 2018)
</t>
        </r>
        <r>
          <rPr>
            <sz val="12"/>
            <color rgb="FF000000"/>
            <rFont val="Calibri"/>
            <family val="2"/>
          </rPr>
          <t>NL rond de 300 stuks</t>
        </r>
      </text>
    </comment>
    <comment ref="X11" authorId="1" shapeId="0" xr:uid="{8F99874B-0E22-2B4A-BB03-98999EFDAD8D}">
      <text>
        <r>
          <rPr>
            <sz val="12"/>
            <color rgb="FF000000"/>
            <rFont val="Calibri"/>
            <family val="2"/>
          </rPr>
          <t xml:space="preserve">Standard: 80 km/h
Optional: 100 or 120 km/h
</t>
        </r>
      </text>
    </comment>
    <comment ref="AG11" authorId="1" shapeId="0" xr:uid="{34D7D6BC-87F1-FD49-B4F1-92097D1CA17E}">
      <text>
        <r>
          <rPr>
            <sz val="12"/>
            <color rgb="FF000000"/>
            <rFont val="Calibri"/>
            <family val="2"/>
          </rPr>
          <t xml:space="preserve">Website VW: 160 - 149 km.
</t>
        </r>
      </text>
    </comment>
    <comment ref="AI11" authorId="1" shapeId="0" xr:uid="{4718EB4C-6EC3-BE42-A97C-A6B5259DF280}">
      <text>
        <r>
          <rPr>
            <sz val="12"/>
            <color rgb="FF000000"/>
            <rFont val="Calibri"/>
            <family val="2"/>
          </rPr>
          <t>Input van Mountox gebruikt.</t>
        </r>
      </text>
    </comment>
    <comment ref="AJ11" authorId="1" shapeId="0" xr:uid="{AE1F9E8D-5152-0E45-BE57-F192C878FBB5}">
      <text>
        <r>
          <rPr>
            <sz val="12"/>
            <color rgb="FF000000"/>
            <rFont val="Calibri"/>
            <family val="2"/>
          </rPr>
          <t>Input van Mountox gebruikt.</t>
        </r>
      </text>
    </comment>
    <comment ref="AD12" authorId="1" shapeId="0" xr:uid="{C950D8DE-A6FD-0B46-A281-3E9A36CC0DE1}">
      <text>
        <r>
          <rPr>
            <sz val="12"/>
            <color rgb="FF000000"/>
            <rFont val="Calibri"/>
            <family val="2"/>
          </rPr>
          <t xml:space="preserve">Indication based on NEDC range (Call MB dec-2018)
</t>
        </r>
      </text>
    </comment>
    <comment ref="E13" authorId="1" shapeId="0" xr:uid="{416138DE-1AF4-8746-8A49-D41E126963D3}">
      <text>
        <r>
          <rPr>
            <sz val="12"/>
            <color rgb="FF000000"/>
            <rFont val="Calibri"/>
            <family val="2"/>
          </rPr>
          <t xml:space="preserve">Call MB (dec 2018)
NL rond de 300 stuks
</t>
        </r>
      </text>
    </comment>
    <comment ref="E14" authorId="1" shapeId="0" xr:uid="{4E60C3B8-EE12-FC47-9F84-9A3002D73F36}">
      <text>
        <r>
          <rPr>
            <sz val="12"/>
            <color rgb="FF000000"/>
            <rFont val="Calibri"/>
            <family val="2"/>
          </rPr>
          <t xml:space="preserve">Call MB (dec 2018)
NL rond de 300 stuks
</t>
        </r>
      </text>
    </comment>
    <comment ref="AJ14" authorId="1" shapeId="0" xr:uid="{43F24BB8-984A-7842-9833-F066B6CD9573}">
      <text>
        <r>
          <rPr>
            <sz val="12"/>
            <color rgb="FF000000"/>
            <rFont val="Calibri"/>
            <family val="2"/>
          </rPr>
          <t>Test in Sweden (Noordkaap); https://www.bestelauto-expo.nl/nieuws/bestelautotests/koude-test-voor-elektrische-sprinter/
For NL we keep mountox as source: https://www.mountox.com/elektrische-automodellen/mercedes-benz/mercedes-benz-esprinter-55-kwh.html</t>
        </r>
      </text>
    </comment>
    <comment ref="AI20" authorId="1" shapeId="0" xr:uid="{050EB642-A7EE-A24A-9DF2-92D0742CBA0F}">
      <text>
        <r>
          <rPr>
            <sz val="12"/>
            <color rgb="FF000000"/>
            <rFont val="Calibri"/>
            <family val="2"/>
          </rPr>
          <t xml:space="preserve">Bij de volgende specificaties:
</t>
        </r>
        <r>
          <rPr>
            <sz val="12"/>
            <color rgb="FF000000"/>
            <rFont val="Calibri"/>
            <family val="2"/>
          </rPr>
          <t xml:space="preserve">- 80 km/h
</t>
        </r>
        <r>
          <rPr>
            <sz val="12"/>
            <color rgb="FF000000"/>
            <rFont val="Calibri"/>
            <family val="2"/>
          </rPr>
          <t xml:space="preserve">- 5 graden celcius
</t>
        </r>
        <r>
          <rPr>
            <sz val="12"/>
            <color rgb="FF000000"/>
            <rFont val="Calibri"/>
            <family val="2"/>
          </rPr>
          <t xml:space="preserve">- 650 kg belading (max)
</t>
        </r>
      </text>
    </comment>
    <comment ref="AJ20" authorId="1" shapeId="0" xr:uid="{1F40E7D1-3B65-7E47-A485-70DDB1A7516C}">
      <text>
        <r>
          <rPr>
            <sz val="12"/>
            <color rgb="FF000000"/>
            <rFont val="Calibri"/>
            <family val="2"/>
          </rPr>
          <t xml:space="preserve">Bij de volgende specificaties:
- 80 km/h
- minus 5 graden celcius
- 650 kg belading (max)
</t>
        </r>
      </text>
    </comment>
    <comment ref="AI21" authorId="1" shapeId="0" xr:uid="{1AF506B7-33FD-A54D-AE97-E8D9EB8779E3}">
      <text>
        <r>
          <rPr>
            <sz val="12"/>
            <color rgb="FF000000"/>
            <rFont val="Calibri"/>
            <family val="2"/>
          </rPr>
          <t xml:space="preserve">Bij de volgende specificaties:
</t>
        </r>
        <r>
          <rPr>
            <sz val="12"/>
            <color rgb="FF000000"/>
            <rFont val="Calibri"/>
            <family val="2"/>
          </rPr>
          <t xml:space="preserve">- 80 km/h
</t>
        </r>
        <r>
          <rPr>
            <sz val="12"/>
            <color rgb="FF000000"/>
            <rFont val="Calibri"/>
            <family val="2"/>
          </rPr>
          <t xml:space="preserve">- 5 graden celcius
</t>
        </r>
        <r>
          <rPr>
            <sz val="12"/>
            <color rgb="FF000000"/>
            <rFont val="Calibri"/>
            <family val="2"/>
          </rPr>
          <t xml:space="preserve">- 650 kg belading (max)
</t>
        </r>
      </text>
    </comment>
    <comment ref="AJ21" authorId="1" shapeId="0" xr:uid="{1247A1CC-B3DE-7047-A4EE-F17243993126}">
      <text>
        <r>
          <rPr>
            <sz val="12"/>
            <color rgb="FF000000"/>
            <rFont val="Calibri"/>
            <family val="2"/>
          </rPr>
          <t xml:space="preserve">Bij de volgende specificaties:
</t>
        </r>
        <r>
          <rPr>
            <sz val="12"/>
            <color rgb="FF000000"/>
            <rFont val="Calibri"/>
            <family val="2"/>
          </rPr>
          <t xml:space="preserve">- 80 km/h
</t>
        </r>
        <r>
          <rPr>
            <sz val="12"/>
            <color rgb="FF000000"/>
            <rFont val="Calibri"/>
            <family val="2"/>
          </rPr>
          <t xml:space="preserve">- 5 graden celcius
</t>
        </r>
        <r>
          <rPr>
            <sz val="12"/>
            <color rgb="FF000000"/>
            <rFont val="Calibri"/>
            <family val="2"/>
          </rPr>
          <t xml:space="preserve">- 650 kg belading (max)
</t>
        </r>
      </text>
    </comment>
    <comment ref="AI22" authorId="1" shapeId="0" xr:uid="{976CBA2E-3512-394C-A828-F0C7112375D9}">
      <text>
        <r>
          <rPr>
            <sz val="12"/>
            <color rgb="FF000000"/>
            <rFont val="Calibri"/>
            <family val="2"/>
          </rPr>
          <t xml:space="preserve">Bij de volgende specificaties:
- 80km/h
- 5 graden celcius
- 1000 kg belading
</t>
        </r>
      </text>
    </comment>
    <comment ref="AJ22" authorId="1" shapeId="0" xr:uid="{F49BA3E2-DEA8-4C44-AA77-C638ACE27A72}">
      <text>
        <r>
          <rPr>
            <sz val="12"/>
            <color rgb="FF000000"/>
            <rFont val="Calibri"/>
            <family val="2"/>
          </rPr>
          <t>Bij de volgende specificaties:
- 80 km/h
- minus 5 graden celcius
- 1000 kg belading</t>
        </r>
      </text>
    </comment>
    <comment ref="AI23" authorId="1" shapeId="0" xr:uid="{0E5AD232-602A-7644-9D96-C499499614A1}">
      <text>
        <r>
          <rPr>
            <sz val="12"/>
            <color rgb="FF000000"/>
            <rFont val="Calibri"/>
            <family val="2"/>
          </rPr>
          <t xml:space="preserve">Bij de volgende specificaties:
</t>
        </r>
        <r>
          <rPr>
            <sz val="12"/>
            <color rgb="FF000000"/>
            <rFont val="Calibri"/>
            <family val="2"/>
          </rPr>
          <t xml:space="preserve">- 80km/h
</t>
        </r>
        <r>
          <rPr>
            <sz val="12"/>
            <color rgb="FF000000"/>
            <rFont val="Calibri"/>
            <family val="2"/>
          </rPr>
          <t xml:space="preserve">- 5 graden celcius
</t>
        </r>
        <r>
          <rPr>
            <sz val="12"/>
            <color rgb="FF000000"/>
            <rFont val="Calibri"/>
            <family val="2"/>
          </rPr>
          <t xml:space="preserve">- 1000 kg belading
</t>
        </r>
      </text>
    </comment>
    <comment ref="AJ23" authorId="1" shapeId="0" xr:uid="{DF02B129-C140-2C4B-B74E-A0D86524290B}">
      <text>
        <r>
          <rPr>
            <sz val="12"/>
            <color rgb="FF000000"/>
            <rFont val="Calibri"/>
            <family val="2"/>
          </rPr>
          <t>Bij de volgende specificaties:
- 80 km/h
- minus 5 graden celcius
- 1000 kg belading</t>
        </r>
      </text>
    </comment>
    <comment ref="AI24" authorId="1" shapeId="0" xr:uid="{7D95E529-7B52-3F4A-A766-0703861CB8E4}">
      <text>
        <r>
          <rPr>
            <sz val="12"/>
            <color rgb="FF000000"/>
            <rFont val="Calibri"/>
            <family val="2"/>
          </rPr>
          <t xml:space="preserve">Bij de volgende specificaties:
- 80km/h
- 5 graden celcius
- 1000 kg belading
</t>
        </r>
      </text>
    </comment>
    <comment ref="AJ24" authorId="1" shapeId="0" xr:uid="{9DC242E8-823C-ED41-B1FA-F92E02232F88}">
      <text>
        <r>
          <rPr>
            <sz val="12"/>
            <color rgb="FF000000"/>
            <rFont val="Calibri"/>
            <family val="2"/>
          </rPr>
          <t>Bij de volgende specificaties:
- 80 km/h
- minus 5 graden celcius
- 1000 kg belading</t>
        </r>
      </text>
    </comment>
    <comment ref="AI25" authorId="1" shapeId="0" xr:uid="{95BC6E34-994F-3F4D-809C-453A4680D46F}">
      <text>
        <r>
          <rPr>
            <sz val="12"/>
            <color rgb="FF000000"/>
            <rFont val="Calibri"/>
            <family val="2"/>
          </rPr>
          <t xml:space="preserve">Bij de volgende specificaties:
</t>
        </r>
        <r>
          <rPr>
            <sz val="12"/>
            <color rgb="FF000000"/>
            <rFont val="Calibri"/>
            <family val="2"/>
          </rPr>
          <t xml:space="preserve">- 80km/h
</t>
        </r>
        <r>
          <rPr>
            <sz val="12"/>
            <color rgb="FF000000"/>
            <rFont val="Calibri"/>
            <family val="2"/>
          </rPr>
          <t xml:space="preserve">- 5 graden celcius
</t>
        </r>
        <r>
          <rPr>
            <sz val="12"/>
            <color rgb="FF000000"/>
            <rFont val="Calibri"/>
            <family val="2"/>
          </rPr>
          <t xml:space="preserve">- 1000 kg belading
</t>
        </r>
      </text>
    </comment>
    <comment ref="AJ25" authorId="1" shapeId="0" xr:uid="{659E75D3-D16C-CC46-B5A0-DE098ACEC18A}">
      <text>
        <r>
          <rPr>
            <sz val="12"/>
            <color rgb="FF000000"/>
            <rFont val="Calibri"/>
            <family val="2"/>
          </rPr>
          <t>Bij de volgende specificaties:
- 80 km/h
- minus 5 graden celcius
- 1000 kg belading</t>
        </r>
      </text>
    </comment>
    <comment ref="AK25" authorId="1" shapeId="0" xr:uid="{D123F446-38C8-2449-B900-7CE6F3A7D43E}">
      <text>
        <r>
          <rPr>
            <sz val="12"/>
            <color rgb="FF000000"/>
            <rFont val="Calibri"/>
            <family val="2"/>
          </rPr>
          <t xml:space="preserve">Practice input PostNL Netherlands
</t>
        </r>
      </text>
    </comment>
    <comment ref="AL25" authorId="1" shapeId="0" xr:uid="{09A584A9-D65A-9748-9BF6-1B8319D0C04F}">
      <text>
        <r>
          <rPr>
            <sz val="12"/>
            <color rgb="FF000000"/>
            <rFont val="Calibri"/>
            <family val="2"/>
          </rPr>
          <t xml:space="preserve">Practice input PostNL Netherlands
</t>
        </r>
      </text>
    </comment>
    <comment ref="AS25" authorId="1" shapeId="0" xr:uid="{9C2F8E23-C888-1B4C-9ADE-33B830CF7BA7}">
      <text>
        <r>
          <rPr>
            <sz val="12"/>
            <color rgb="FF000000"/>
            <rFont val="Calibri"/>
            <family val="2"/>
          </rPr>
          <t xml:space="preserve">Practice input PostNL Netherlands
</t>
        </r>
      </text>
    </comment>
    <comment ref="AT25" authorId="1" shapeId="0" xr:uid="{DAAEAA13-9753-B746-9F72-06F2806AC136}">
      <text>
        <r>
          <rPr>
            <sz val="12"/>
            <color rgb="FF000000"/>
            <rFont val="Calibri"/>
            <family val="2"/>
          </rPr>
          <t xml:space="preserve">Practice input PostNL Netherlands
</t>
        </r>
      </text>
    </comment>
    <comment ref="L26" authorId="1" shapeId="0" xr:uid="{B21F1090-535E-FF4D-9AAA-CA2C3FED1222}">
      <text>
        <r>
          <rPr>
            <sz val="12"/>
            <color rgb="FF000000"/>
            <rFont val="Calibri"/>
            <family val="2"/>
          </rPr>
          <t>Zonder opbouw</t>
        </r>
      </text>
    </comment>
    <comment ref="AI26" authorId="1" shapeId="0" xr:uid="{28703DA9-4271-684E-8473-F6AC11B89BAB}">
      <text>
        <r>
          <rPr>
            <sz val="12"/>
            <color rgb="FF000000"/>
            <rFont val="Calibri"/>
            <family val="2"/>
          </rPr>
          <t>Inschatting; afhankelijk van opbouw.</t>
        </r>
      </text>
    </comment>
    <comment ref="AJ26" authorId="1" shapeId="0" xr:uid="{DD128236-68E4-2E43-85DB-7D75A3B6F60C}">
      <text>
        <r>
          <rPr>
            <sz val="12"/>
            <color rgb="FF000000"/>
            <rFont val="Calibri"/>
            <family val="2"/>
          </rPr>
          <t>Inschatting; afhankelijk van opbouw.</t>
        </r>
      </text>
    </comment>
    <comment ref="L27" authorId="1" shapeId="0" xr:uid="{C376441A-3695-C640-A5B8-6AC78DE94E80}">
      <text>
        <r>
          <rPr>
            <sz val="12"/>
            <color rgb="FF000000"/>
            <rFont val="Calibri"/>
            <family val="2"/>
          </rPr>
          <t>Zonder opbouw</t>
        </r>
      </text>
    </comment>
    <comment ref="AI27" authorId="1" shapeId="0" xr:uid="{8DFE59BC-E2AC-4247-ADE4-10D69FA98527}">
      <text>
        <r>
          <rPr>
            <sz val="12"/>
            <color rgb="FF000000"/>
            <rFont val="Calibri"/>
            <family val="2"/>
          </rPr>
          <t>Inschatting; afhankelijk van opbouw.</t>
        </r>
      </text>
    </comment>
    <comment ref="AJ27" authorId="1" shapeId="0" xr:uid="{481A489A-1944-C34F-98F7-F1F1F5EFD0D3}">
      <text>
        <r>
          <rPr>
            <sz val="12"/>
            <color rgb="FF000000"/>
            <rFont val="Calibri"/>
            <family val="2"/>
          </rPr>
          <t>Inschatting; afhankelijk van opbouw.</t>
        </r>
      </text>
    </comment>
    <comment ref="E31" authorId="1" shapeId="0" xr:uid="{BDA1AF66-F4F0-4C4D-802E-E358F5CE2616}">
      <text>
        <r>
          <rPr>
            <sz val="12"/>
            <color rgb="FF000000"/>
            <rFont val="Calibri"/>
            <family val="2"/>
          </rPr>
          <t>De EV30 komt naar Europa en gaat in 2020 als eerste in het Verenigd Koninkrijk op de markt komen.</t>
        </r>
      </text>
    </comment>
    <comment ref="BE31" authorId="1" shapeId="0" xr:uid="{9CF266D4-13F0-B048-BC5B-796729F484D4}">
      <text>
        <r>
          <rPr>
            <sz val="12"/>
            <color rgb="FF000000"/>
            <rFont val="Calibri"/>
            <family val="2"/>
          </rPr>
          <t xml:space="preserve">Eerste inschatting; rond de 25,000 
</t>
        </r>
      </text>
    </comment>
    <comment ref="E32" authorId="1" shapeId="0" xr:uid="{7909CC84-02B1-694A-BD5F-6A23E1654E91}">
      <text>
        <r>
          <rPr>
            <sz val="12"/>
            <color rgb="FF000000"/>
            <rFont val="Calibri"/>
            <family val="2"/>
          </rPr>
          <t>De EV30 komt naar Europa en gaat in 2020 als eerste in het Verenigd Koninkrijk op de markt komen.</t>
        </r>
      </text>
    </comment>
    <comment ref="BE32" authorId="1" shapeId="0" xr:uid="{1B14081D-FA99-5F45-B3AF-2915E0BFC46D}">
      <text>
        <r>
          <rPr>
            <sz val="12"/>
            <color rgb="FF000000"/>
            <rFont val="Calibri"/>
            <family val="2"/>
          </rPr>
          <t xml:space="preserve">Eerste inschatting; rond de 25,000 
</t>
        </r>
      </text>
    </comment>
    <comment ref="E33" authorId="1" shapeId="0" xr:uid="{29B695EF-A10D-0845-BF43-6802DB58B8C9}">
      <text>
        <r>
          <rPr>
            <sz val="12"/>
            <color rgb="FF000000"/>
            <rFont val="Calibri"/>
            <family val="2"/>
          </rPr>
          <t>De EV30 komt naar Europa en gaat in 2020 als eerste in het Verenigd Koninkrijk op de markt komen</t>
        </r>
      </text>
    </comment>
    <comment ref="E34" authorId="1" shapeId="0" xr:uid="{275418F3-165C-E148-8ED5-35EECADA3CB2}">
      <text>
        <r>
          <rPr>
            <sz val="12"/>
            <color rgb="FF000000"/>
            <rFont val="Calibri"/>
            <family val="2"/>
          </rPr>
          <t>De EV30 komt naar Europa en gaat in 2020 als eerste in het Verenigd Koninkrijk op de markt komen</t>
        </r>
      </text>
    </comment>
    <comment ref="E35" authorId="1" shapeId="0" xr:uid="{21B513EC-CADC-8F4E-B747-87EF7F673695}">
      <text>
        <r>
          <rPr>
            <sz val="12"/>
            <color rgb="FF000000"/>
            <rFont val="Calibri"/>
            <family val="2"/>
          </rPr>
          <t>De EV30 komt naar Europa en gaat in 2020 als eerste in het Verenigd Koninkrijk op de markt komen</t>
        </r>
      </text>
    </comment>
    <comment ref="E36" authorId="1" shapeId="0" xr:uid="{809E061C-FCE5-464B-B747-74F52CC065EF}">
      <text>
        <r>
          <rPr>
            <sz val="12"/>
            <color rgb="FF000000"/>
            <rFont val="Calibri"/>
            <family val="2"/>
          </rPr>
          <t>De EV30 komt naar Europa en gaat in 2020 als eerste in het Verenigd Koninkrijk op de markt komen</t>
        </r>
      </text>
    </comment>
    <comment ref="BE37" authorId="1" shapeId="0" xr:uid="{647068EE-35CF-BF40-92E4-A07663299B4E}">
      <text>
        <r>
          <rPr>
            <sz val="12"/>
            <color rgb="FF000000"/>
            <rFont val="Calibri"/>
            <family val="2"/>
          </rPr>
          <t>Separation price to different models (pure, pick-up, box) is not taken into account yet.</t>
        </r>
      </text>
    </comment>
    <comment ref="AI51" authorId="1" shapeId="0" xr:uid="{2A3F1A67-DAD4-1E4C-96F8-FC9E65DE7F65}">
      <text>
        <r>
          <rPr>
            <sz val="12"/>
            <color rgb="FF000000"/>
            <rFont val="Calibri"/>
            <family val="2"/>
          </rPr>
          <t>Indication; calculated based on detailed indication Renault.</t>
        </r>
      </text>
    </comment>
    <comment ref="AJ51" authorId="1" shapeId="0" xr:uid="{9D83C211-BA5F-A84E-A98E-B61441C455E7}">
      <text>
        <r>
          <rPr>
            <sz val="12"/>
            <color rgb="FF000000"/>
            <rFont val="Calibri"/>
            <family val="2"/>
          </rPr>
          <t xml:space="preserve">Indication; calculated based on detailed indication Renault.
</t>
        </r>
      </text>
    </comment>
    <comment ref="AI52" authorId="1" shapeId="0" xr:uid="{80A14DDF-B196-8343-9863-6986BF80CD47}">
      <text>
        <r>
          <rPr>
            <sz val="12"/>
            <color rgb="FF000000"/>
            <rFont val="Calibri"/>
            <family val="2"/>
          </rPr>
          <t xml:space="preserve">Indication; calculated based on detailed indication Renault.
Factor 0.9 = expert guess EVConsult based on higher weight
</t>
        </r>
      </text>
    </comment>
    <comment ref="AJ52" authorId="1" shapeId="0" xr:uid="{4BF06B17-27B8-DF4F-8A83-60499AA941FE}">
      <text>
        <r>
          <rPr>
            <sz val="12"/>
            <color rgb="FF000000"/>
            <rFont val="Calibri"/>
            <family val="2"/>
          </rPr>
          <t xml:space="preserve">Indication; calculated based on detailed indication Renault.
Factor 0.9 = expert guess EVConsult based on higher weight
</t>
        </r>
      </text>
    </comment>
    <comment ref="C53" authorId="1" shapeId="0" xr:uid="{4BEA3C36-9F39-9744-BBB8-5F6DBF1E5CB8}">
      <text>
        <r>
          <rPr>
            <sz val="12"/>
            <color rgb="FF000000"/>
            <rFont val="Calibri"/>
            <family val="2"/>
          </rPr>
          <t>Kan worden geleverd als gesloten bestel en als Kombi.</t>
        </r>
      </text>
    </comment>
    <comment ref="E55" authorId="2" shapeId="0" xr:uid="{9C31B055-80DD-7342-8D82-72F17ADF578C}">
      <text>
        <r>
          <rPr>
            <sz val="10"/>
            <color rgb="FF000000"/>
            <rFont val="Calibri"/>
            <family val="2"/>
            <scheme val="minor"/>
          </rPr>
          <t>De Duitse levering begint Q1 2020.</t>
        </r>
        <r>
          <rPr>
            <sz val="10"/>
            <color rgb="FF000000"/>
            <rFont val="Calibri"/>
            <family val="2"/>
            <scheme val="minor"/>
          </rPr>
          <t xml:space="preserve">
</t>
        </r>
      </text>
    </comment>
    <comment ref="C56" authorId="1" shapeId="0" xr:uid="{7C1B4889-901A-094B-A372-D3B49F017E82}">
      <text>
        <r>
          <rPr>
            <sz val="12"/>
            <color rgb="FF000000"/>
            <rFont val="Calibri"/>
            <family val="2"/>
          </rPr>
          <t xml:space="preserve">CHASSISCABINE-, KOEL-, AFVALVERWERKINGS-VARIANTEN
</t>
        </r>
        <r>
          <rPr>
            <sz val="12"/>
            <color rgb="FF000000"/>
            <rFont val="Calibri"/>
            <family val="2"/>
          </rPr>
          <t>OP SPECIALE BESTELLING LEVERBAAR.</t>
        </r>
      </text>
    </comment>
    <comment ref="I62" authorId="0" shapeId="0" xr:uid="{32F3AB4D-209B-EE46-8695-0D994527E018}">
      <text>
        <r>
          <rPr>
            <sz val="10"/>
            <color rgb="FF000000"/>
            <rFont val="Tahoma"/>
            <family val="2"/>
          </rPr>
          <t>Width vechile, excluding width of mirrors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AQ12" authorId="0" shapeId="0" xr:uid="{44879D0B-43B1-604A-A91E-08CFC56AB094}">
      <text>
        <r>
          <rPr>
            <b/>
            <sz val="10"/>
            <color rgb="FF000000"/>
            <rFont val="Tahoma"/>
            <family val="2"/>
          </rPr>
          <t>Robin Matton:</t>
        </r>
        <r>
          <rPr>
            <sz val="10"/>
            <color rgb="FF000000"/>
            <rFont val="Tahoma"/>
            <family val="2"/>
          </rPr>
          <t xml:space="preserve">
</t>
        </r>
        <r>
          <rPr>
            <sz val="10"/>
            <color rgb="FF000000"/>
            <rFont val="Tahoma"/>
            <family val="2"/>
          </rPr>
          <t>Ombouwkosten Tribus L2H2 23,000 &amp; L3H2 25,000 euro.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R4" authorId="0" shapeId="0" xr:uid="{D06D1E94-82A3-0B48-93DA-6B54D127CE8C}">
      <text>
        <r>
          <rPr>
            <sz val="10"/>
            <color rgb="FF000000"/>
            <rFont val="Calibri"/>
            <family val="2"/>
          </rPr>
          <t xml:space="preserve">Charging of the battery by charger is required. Power fuel cell is not enought to fill battery fully.
</t>
        </r>
      </text>
    </comment>
    <comment ref="V4" authorId="0" shapeId="0" xr:uid="{15AC6637-E144-F84C-B12B-30EFECAEEF36}">
      <text>
        <r>
          <rPr>
            <sz val="10"/>
            <color rgb="FF000000"/>
            <rFont val="Tahoma"/>
            <family val="2"/>
          </rPr>
          <t>Two hydrogen tanks of 2.1 kg by 600 bar.</t>
        </r>
      </text>
    </comment>
    <comment ref="AQ4" authorId="0" shapeId="0" xr:uid="{033F8AF1-6CE3-F044-9C44-8105E65BE721}">
      <text>
        <r>
          <rPr>
            <b/>
            <sz val="10"/>
            <color rgb="FF000000"/>
            <rFont val="Tahoma"/>
            <family val="2"/>
          </rPr>
          <t>Robin Matton:</t>
        </r>
        <r>
          <rPr>
            <sz val="10"/>
            <color rgb="FF000000"/>
            <rFont val="Tahoma"/>
            <family val="2"/>
          </rPr>
          <t xml:space="preserve">
</t>
        </r>
        <r>
          <rPr>
            <sz val="10"/>
            <color rgb="FF000000"/>
            <rFont val="Tahoma"/>
            <family val="2"/>
          </rPr>
          <t>Ombouwkosten Tribus L2H2 23,000 &amp; L3H2 25,000 euro.</t>
        </r>
      </text>
    </comment>
    <comment ref="R5" authorId="0" shapeId="0" xr:uid="{1AFCB60A-8C5C-3743-B392-A9BE8D5203C0}">
      <text>
        <r>
          <rPr>
            <sz val="10"/>
            <color rgb="FF000000"/>
            <rFont val="Calibri"/>
            <family val="2"/>
          </rPr>
          <t xml:space="preserve">Charging of the battery by charger is required. Power fuel cell is not enought to fill battery fully.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Robin Matton</author>
  </authors>
  <commentList>
    <comment ref="M3" authorId="0" shapeId="0" xr:uid="{176D2F7C-37B9-EB48-8F90-D09496A61940}">
      <text>
        <r>
          <rPr>
            <sz val="12"/>
            <color rgb="FF000000"/>
            <rFont val="Calibri"/>
            <family val="2"/>
          </rPr>
          <t>Width vechile, excluding width of mirrors</t>
        </r>
      </text>
    </comment>
    <comment ref="AA4" authorId="1" shapeId="0" xr:uid="{11E73C2F-0B37-B04E-9A61-7FF10D5AA094}">
      <text>
        <r>
          <rPr>
            <b/>
            <sz val="10"/>
            <color rgb="FF000000"/>
            <rFont val="Tahoma"/>
            <family val="2"/>
          </rPr>
          <t>Robin Matton:</t>
        </r>
        <r>
          <rPr>
            <sz val="10"/>
            <color rgb="FF000000"/>
            <rFont val="Tahoma"/>
            <family val="2"/>
          </rPr>
          <t xml:space="preserve">
</t>
        </r>
        <r>
          <rPr>
            <sz val="10"/>
            <color rgb="FF000000"/>
            <rFont val="Calibri"/>
            <family val="2"/>
          </rPr>
          <t>Charging of the battery by charger</t>
        </r>
        <r>
          <rPr>
            <sz val="10"/>
            <color rgb="FF000000"/>
            <rFont val="Calibri"/>
            <family val="2"/>
          </rPr>
          <t xml:space="preserve"> is required. Power fuel cell is not enought to fill battery fully.</t>
        </r>
      </text>
    </comment>
    <comment ref="BF4" authorId="1" shapeId="0" xr:uid="{FC339E6E-EDFA-4C46-A6D3-04B2B513E44F}">
      <text>
        <r>
          <rPr>
            <b/>
            <sz val="10"/>
            <color rgb="FF000000"/>
            <rFont val="Tahoma"/>
            <family val="2"/>
          </rPr>
          <t>Robin Matton:</t>
        </r>
        <r>
          <rPr>
            <sz val="10"/>
            <color rgb="FF000000"/>
            <rFont val="Tahoma"/>
            <family val="2"/>
          </rPr>
          <t xml:space="preserve">
</t>
        </r>
        <r>
          <rPr>
            <sz val="10"/>
            <color rgb="FF000000"/>
            <rFont val="Calibri"/>
            <family val="2"/>
          </rPr>
          <t>48,300 euros (in France; incl. battery)</t>
        </r>
      </text>
    </comment>
    <comment ref="AA5" authorId="1" shapeId="0" xr:uid="{440E25D2-C7FB-2949-A9A7-1DE88D6DF9A5}">
      <text>
        <r>
          <rPr>
            <sz val="10"/>
            <color rgb="FF000000"/>
            <rFont val="Calibri"/>
            <family val="2"/>
          </rPr>
          <t xml:space="preserve">Charging of the battery by charger is required. Power fuel cell is not enought to fill battery fully.
</t>
        </r>
      </text>
    </comment>
    <comment ref="AC5" authorId="1" shapeId="0" xr:uid="{FA9A7632-CC76-0440-BF99-1A8182767E19}">
      <text>
        <r>
          <rPr>
            <sz val="10"/>
            <color rgb="FF000000"/>
            <rFont val="Tahoma"/>
            <family val="2"/>
          </rPr>
          <t>Two hydrogen tanks of 1.5 kg by 600 bar.</t>
        </r>
      </text>
    </comment>
    <comment ref="J6" authorId="0" shapeId="0" xr:uid="{E54F21DE-1CA1-E943-B106-9EF459C4AC11}">
      <text>
        <r>
          <rPr>
            <sz val="12"/>
            <color rgb="FF000000"/>
            <rFont val="Calibri"/>
            <family val="2"/>
          </rPr>
          <t>Zonder opbouw</t>
        </r>
      </text>
    </comment>
    <comment ref="AA6" authorId="1" shapeId="0" xr:uid="{EAFBE7B5-BDD4-C749-8AC5-C515E18FEB2C}">
      <text>
        <r>
          <rPr>
            <sz val="10"/>
            <color rgb="FF000000"/>
            <rFont val="Calibri"/>
            <family val="2"/>
          </rPr>
          <t xml:space="preserve">Charging of the battery by charger is required. Power fuel cell is not enought to fill battery fully.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D9" authorId="0" shapeId="0" xr:uid="{A80910F7-F3BA-7847-8CD2-6AAA7E176A3D}">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F9" authorId="0" shapeId="0" xr:uid="{7B2D88C0-F9BD-9E42-8747-2FA3AF5CB10A}">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9" authorId="0" shapeId="0" xr:uid="{DDE98AE4-F923-3F4B-8D72-214DFDC9F963}">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22" authorId="0" shapeId="0" xr:uid="{BF2CD354-8A83-6842-85A3-F14BA1E8114E}">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F22" authorId="0" shapeId="0" xr:uid="{B18BB3F7-6A8E-DA4D-9C5E-4E0633921B52}">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22" authorId="0" shapeId="0" xr:uid="{0F967A6A-2074-7E4D-8B8B-6DA229AEDDFD}">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34" authorId="0" shapeId="0" xr:uid="{9263DDF1-7824-A44F-8250-8A4631DF2756}">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F34" authorId="0" shapeId="0" xr:uid="{24C6304C-2AFD-9B4C-8964-D1E97AB05822}">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34" authorId="0" shapeId="0" xr:uid="{0AAE4576-3D0E-5D47-8EBD-52B7A8848019}">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E41" authorId="0" shapeId="0" xr:uid="{4079BB3D-ED93-3845-8824-92475DFBA7E0}">
      <text>
        <r>
          <rPr>
            <sz val="10"/>
            <color rgb="FF000000"/>
            <rFont val="Tahoma"/>
            <family val="2"/>
          </rPr>
          <t>Branstofverbruik is vergelijkbaar met een zuinige diesel; Bron: Autorai: https://autorai.nl/feiten-en-fabels-over-rijden-op-aardgas/</t>
        </r>
        <r>
          <rPr>
            <sz val="10"/>
            <color rgb="FF000000"/>
            <rFont val="Tahoma"/>
            <family val="2"/>
          </rPr>
          <t xml:space="preserve">
</t>
        </r>
      </text>
    </comment>
    <comment ref="D47" authorId="0" shapeId="0" xr:uid="{E4F55573-962B-C540-AC37-03BAD05F053A}">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F47" authorId="0" shapeId="0" xr:uid="{D68E73EC-D052-0B40-A222-A424FEDD222A}">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47" authorId="0" shapeId="0" xr:uid="{93EDA2F8-87EF-654A-92CF-5C78828682B7}">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57" authorId="0" shapeId="0" xr:uid="{25021F3E-2D72-BB48-BE12-4A0E4678EBA4}">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E57" authorId="0" shapeId="0" xr:uid="{A9718712-AEC4-184E-9C76-AE1CC79E80F7}">
      <text>
        <r>
          <rPr>
            <sz val="10"/>
            <color rgb="FF000000"/>
            <rFont val="Tahoma"/>
            <family val="2"/>
          </rPr>
          <t xml:space="preserve">Verbruik L per 100 km: 6.1 (volkswagen Combi) en 7.5 (mercedez benz sprinter) is aan de lage kant. Verbruik benzine ligt vaak hoger dan diesel, vandaar hier een expert judgement voor het gebruik.
</t>
        </r>
      </text>
    </comment>
    <comment ref="F57" authorId="0" shapeId="0" xr:uid="{682FA060-D458-0940-8A86-A9368336247D}">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57" authorId="0" shapeId="0" xr:uid="{EFE3DE74-07DE-4145-BBD3-077C6F629A67}">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67" authorId="0" shapeId="0" xr:uid="{0A26DE49-42FD-0B4E-8414-CA5BD0442ED2}">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E67" authorId="0" shapeId="0" xr:uid="{3FC47471-9F97-764D-B888-A46384C543C8}">
      <text>
        <r>
          <rPr>
            <sz val="10"/>
            <color rgb="FF000000"/>
            <rFont val="Tahoma"/>
            <family val="2"/>
          </rPr>
          <t xml:space="preserve">Verbruik L per 100 km: 6.1 (volkswagen Combi) en 7.5 (mercedez benz sprinter) is aan de lage kant. Verbruik benzine ligt vaak hoger dan diesel, vandaar hier een expert judgement voor het gebruik.
</t>
        </r>
      </text>
    </comment>
    <comment ref="F67" authorId="0" shapeId="0" xr:uid="{5EB944E8-9E55-F544-B4BF-096C4DA53A9A}">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67" authorId="0" shapeId="0" xr:uid="{60EBB603-3231-294C-A884-FFF4E4C98D54}">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81" authorId="0" shapeId="0" xr:uid="{62D673AA-F8A1-5040-B6D2-1160232A0A61}">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E81" authorId="0" shapeId="0" xr:uid="{EF30828B-72F0-7148-B0BD-1EB7791FF98C}">
      <text>
        <r>
          <rPr>
            <sz val="10"/>
            <color rgb="FF000000"/>
            <rFont val="Tahoma"/>
            <family val="2"/>
          </rPr>
          <t xml:space="preserve">Verbruik L per 100 km: 6.1 (volkswagen Combi) en 7.5 (mercedez benz sprinter) is aan de lage kant. Verbruik benzine ligt vaak hoger dan diesel, vandaar hier een expert judgement voor het gebruik.
</t>
        </r>
      </text>
    </comment>
    <comment ref="F81" authorId="0" shapeId="0" xr:uid="{1B73363A-1697-2845-8818-EC5D1439A875}">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81" authorId="0" shapeId="0" xr:uid="{4536A222-E68B-A44E-98FE-D1F4F082FA47}">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92" authorId="0" shapeId="0" xr:uid="{12131726-FEDC-3C4C-BB15-9A82AFB16193}">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E92" authorId="0" shapeId="0" xr:uid="{8517D962-24F9-1944-A063-5DC1D891F4DA}">
      <text>
        <r>
          <rPr>
            <sz val="10"/>
            <color rgb="FF000000"/>
            <rFont val="Tahoma"/>
            <family val="2"/>
          </rPr>
          <t xml:space="preserve">Verbruik L per 100 km: 6.1 (volkswagen Combi) en 7.5 (mercedez benz sprinter) is aan de lage kant. Verbruik benzine ligt vaak hoger dan diesel, vandaar hier een expert judgement voor het gebruik.
</t>
        </r>
      </text>
    </comment>
    <comment ref="F92" authorId="0" shapeId="0" xr:uid="{77A9B04E-17D9-E24A-A104-7B9903D2DCBB}">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92" authorId="0" shapeId="0" xr:uid="{7EC97DFF-C312-B142-A043-73A6DC9511F7}">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103" authorId="0" shapeId="0" xr:uid="{89722EA1-35BE-A74D-9E1F-D18942646D1B}">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E103" authorId="0" shapeId="0" xr:uid="{0ECEA95C-9FD1-7D43-9FBD-610AD6DE0F5D}">
      <text>
        <r>
          <rPr>
            <sz val="10"/>
            <color rgb="FF000000"/>
            <rFont val="Tahoma"/>
            <family val="2"/>
          </rPr>
          <t xml:space="preserve">Verbruik L per 100 km: 6.1 (volkswagen Combi) en 7.5 (mercedez benz sprinter) is aan de lage kant. Verbruik benzine ligt vaak hoger dan diesel, vandaar hier een expert judgement voor het gebruik.
</t>
        </r>
      </text>
    </comment>
    <comment ref="F103" authorId="0" shapeId="0" xr:uid="{4B1852EC-F6D7-3E49-A1A6-1D9F8B8AEA8E}">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103" authorId="0" shapeId="0" xr:uid="{7F8740E8-D9D7-544E-9C6F-6D8D77B7FA99}">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E109" authorId="0" shapeId="0" xr:uid="{4DB0978E-D483-C947-8B9E-EEE4F98CEFE4}">
      <text>
        <r>
          <rPr>
            <sz val="10"/>
            <color rgb="FF000000"/>
            <rFont val="Calibri"/>
            <family val="2"/>
            <scheme val="minor"/>
          </rPr>
          <t>Branstofverbruik is vergelijkbaar met een zuinige diesel; Bron: Autorai: https://autorai.nl/feiten-en-fabels-over-rijden-op-aardgas/</t>
        </r>
        <r>
          <rPr>
            <sz val="10"/>
            <color rgb="FF000000"/>
            <rFont val="Calibri"/>
            <family val="2"/>
            <scheme val="minor"/>
          </rPr>
          <t xml:space="preserve">
</t>
        </r>
        <r>
          <rPr>
            <sz val="10"/>
            <color rgb="FF000000"/>
            <rFont val="Tahoma"/>
            <family val="2"/>
          </rPr>
          <t xml:space="preserve">
</t>
        </r>
      </text>
    </comment>
    <comment ref="D114" authorId="0" shapeId="0" xr:uid="{0FCD20EA-FDED-4441-A974-295B16E6AE5B}">
      <text>
        <r>
          <rPr>
            <b/>
            <sz val="10"/>
            <color rgb="FF000000"/>
            <rFont val="Tahoma"/>
            <family val="2"/>
          </rPr>
          <t>Robin Matton:</t>
        </r>
        <r>
          <rPr>
            <sz val="10"/>
            <color rgb="FF000000"/>
            <rFont val="Tahoma"/>
            <family val="2"/>
          </rPr>
          <t xml:space="preserve">
</t>
        </r>
        <r>
          <rPr>
            <sz val="10"/>
            <color rgb="FF000000"/>
            <rFont val="Tahoma"/>
            <family val="2"/>
          </rPr>
          <t xml:space="preserve">Zijn gemeten autowaarden van autoweek. Sluiten het beste aan bij WLTP waarden. </t>
        </r>
      </text>
    </comment>
    <comment ref="D115" authorId="0" shapeId="0" xr:uid="{0328D0CD-B968-4F43-8309-3E4097B4B405}">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F115" authorId="0" shapeId="0" xr:uid="{1E6FE695-C0C3-584B-AA1D-149E75725B92}">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115" authorId="0" shapeId="0" xr:uid="{BFD6547F-3D01-7A4B-BB3E-683A450623C7}">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125" authorId="0" shapeId="0" xr:uid="{07334164-F9C2-DF48-9BAC-DA3552AE7E50}">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E125" authorId="0" shapeId="0" xr:uid="{4BF76B60-D885-994A-9CE7-4D40ADF4C2CF}">
      <text>
        <r>
          <rPr>
            <sz val="10"/>
            <color rgb="FF000000"/>
            <rFont val="Calibri"/>
            <family val="2"/>
          </rPr>
          <t xml:space="preserve">Verbruik L per 100 km: 6.6 (Fiat Ducato), . Verbruik benzine ligt vaak hoger dan diesel, vandaar hier een expert judgement voor het gebruik.
</t>
        </r>
      </text>
    </comment>
    <comment ref="F125" authorId="0" shapeId="0" xr:uid="{B75E0333-0422-CC47-AAA0-05706A8D0CD9}">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125" authorId="0" shapeId="0" xr:uid="{7CF3100B-6854-1C41-A66C-B1FC49394510}">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D135" authorId="0" shapeId="0" xr:uid="{5D1A4E94-7FD3-F14B-9089-C0B8B15964C1}">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E135" authorId="0" shapeId="0" xr:uid="{2003794B-7B17-DD43-A793-D77C05F74263}">
      <text>
        <r>
          <rPr>
            <sz val="10"/>
            <color rgb="FF000000"/>
            <rFont val="Calibri"/>
            <family val="2"/>
          </rPr>
          <t xml:space="preserve">Verbruik L per 100 km: 6.6 (Fiat Ducato), . Verbruik benzine ligt vaak hoger dan diesel, vandaar hier een expert judgement voor het gebruik.
</t>
        </r>
      </text>
    </comment>
    <comment ref="F135" authorId="0" shapeId="0" xr:uid="{97710B1D-0081-3541-ACC4-E86D7BBEDF69}">
      <text>
        <r>
          <rPr>
            <b/>
            <sz val="10"/>
            <color rgb="FF000000"/>
            <rFont val="Tahoma"/>
            <family val="2"/>
          </rPr>
          <t>Robin Matton:</t>
        </r>
        <r>
          <rPr>
            <sz val="10"/>
            <color rgb="FF000000"/>
            <rFont val="Tahoma"/>
            <family val="2"/>
          </rPr>
          <t xml:space="preserve">
</t>
        </r>
        <r>
          <rPr>
            <sz val="10"/>
            <color rgb="FF000000"/>
            <rFont val="Tahoma"/>
            <family val="2"/>
          </rPr>
          <t>Niet per se nodig; rekenen we uit op basis van verbruik en uitstootfactor diesel / benzine</t>
        </r>
      </text>
    </comment>
    <comment ref="L135" authorId="0" shapeId="0" xr:uid="{AC886665-BBF9-324D-9F1E-835F5F76FDCC}">
      <text>
        <r>
          <rPr>
            <b/>
            <sz val="10"/>
            <color rgb="FF000000"/>
            <rFont val="Tahoma"/>
            <family val="2"/>
          </rPr>
          <t>Robin Matton:</t>
        </r>
        <r>
          <rPr>
            <sz val="10"/>
            <color rgb="FF000000"/>
            <rFont val="Tahoma"/>
            <family val="2"/>
          </rPr>
          <t xml:space="preserve">
</t>
        </r>
        <r>
          <rPr>
            <sz val="10"/>
            <color rgb="FF000000"/>
            <rFont val="Tahoma"/>
            <family val="2"/>
          </rPr>
          <t>In enkel de som van Netto catalogusprijs + BPM + BTW</t>
        </r>
      </text>
    </comment>
    <comment ref="E140" authorId="0" shapeId="0" xr:uid="{4C91C458-CD75-4C43-9927-F511AF56DAFE}">
      <text>
        <r>
          <rPr>
            <sz val="10"/>
            <color rgb="FF000000"/>
            <rFont val="Calibri"/>
            <family val="2"/>
            <scheme val="minor"/>
          </rPr>
          <t>Branstofverbruik is vergelijkbaar met een zuinige diesel; Bron: Autorai: https://autorai.nl/feiten-en-fabels-over-rijden-op-aardgas/</t>
        </r>
        <r>
          <rPr>
            <sz val="10"/>
            <color rgb="FF000000"/>
            <rFont val="Calibri"/>
            <family val="2"/>
            <scheme val="minor"/>
          </rPr>
          <t xml:space="preserve">
</t>
        </r>
        <r>
          <rPr>
            <sz val="10"/>
            <color rgb="FF000000"/>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Robin Matton</author>
  </authors>
  <commentList>
    <comment ref="H4" authorId="0" shapeId="0" xr:uid="{F82A995A-4B11-824C-9658-DAF1884D0758}">
      <text>
        <r>
          <rPr>
            <b/>
            <sz val="10"/>
            <color rgb="FF000000"/>
            <rFont val="Tahoma"/>
            <family val="2"/>
          </rPr>
          <t>Robin Matton:</t>
        </r>
        <r>
          <rPr>
            <sz val="10"/>
            <color rgb="FF000000"/>
            <rFont val="Tahoma"/>
            <family val="2"/>
          </rPr>
          <t xml:space="preserve">
</t>
        </r>
        <r>
          <rPr>
            <sz val="10"/>
            <color rgb="FF000000"/>
            <rFont val="Tahoma"/>
            <family val="2"/>
          </rPr>
          <t>Gewicht e-Vito extra lang besteL:2210; inschatting met stoelen 2500 kg.</t>
        </r>
      </text>
    </comment>
    <comment ref="AO4" authorId="0" shapeId="0" xr:uid="{2121A332-02EA-7044-BC6C-73644EAF1674}">
      <text>
        <r>
          <rPr>
            <sz val="10"/>
            <color rgb="FF000000"/>
            <rFont val="Tahoma"/>
            <family val="2"/>
          </rPr>
          <t>Aanname: ombouw naar variant met stoelen: €5,000</t>
        </r>
      </text>
    </comment>
    <comment ref="C5" authorId="0" shapeId="0" xr:uid="{E792D743-3F41-7D47-A570-932FCFF39EA7}">
      <text>
        <r>
          <rPr>
            <sz val="10"/>
            <color rgb="FF000000"/>
            <rFont val="Calibri"/>
            <family val="2"/>
            <scheme val="minor"/>
          </rPr>
          <t>Zodra het ontwerp voor de ombouw gereed is, zal deze ter goedkeuring aangeboden worden aan de Volkswagenfabriek.</t>
        </r>
        <r>
          <rPr>
            <sz val="10"/>
            <color rgb="FF000000"/>
            <rFont val="Calibri"/>
            <family val="2"/>
            <scheme val="minor"/>
          </rPr>
          <t xml:space="preserve"> Eerste 26 modellen zijn besteld door Qbuzz.</t>
        </r>
      </text>
    </comment>
    <comment ref="Y5" authorId="0" shapeId="0" xr:uid="{EC750293-A1E8-754B-A09A-0DFF8079069B}">
      <text>
        <r>
          <rPr>
            <b/>
            <sz val="10"/>
            <color rgb="FF000000"/>
            <rFont val="Tahoma"/>
            <family val="2"/>
          </rPr>
          <t>Robin Matton:</t>
        </r>
        <r>
          <rPr>
            <sz val="10"/>
            <color rgb="FF000000"/>
            <rFont val="Tahoma"/>
            <family val="2"/>
          </rPr>
          <t xml:space="preserve">
</t>
        </r>
        <r>
          <rPr>
            <sz val="10"/>
            <color rgb="FF000000"/>
            <rFont val="Tahoma"/>
            <family val="2"/>
          </rPr>
          <t>Tribus verwacht een actieradius van 110 - 130 km.</t>
        </r>
      </text>
    </comment>
    <comment ref="AO5" authorId="0" shapeId="0" xr:uid="{E8B337C3-4EA7-C44B-A75C-662C73352385}">
      <text>
        <r>
          <rPr>
            <b/>
            <sz val="10"/>
            <color rgb="FF000000"/>
            <rFont val="Tahoma"/>
            <family val="2"/>
          </rPr>
          <t>Robin Matton:</t>
        </r>
        <r>
          <rPr>
            <sz val="10"/>
            <color rgb="FF000000"/>
            <rFont val="Tahoma"/>
            <family val="2"/>
          </rPr>
          <t xml:space="preserve">
</t>
        </r>
        <r>
          <rPr>
            <sz val="10"/>
            <color rgb="FF000000"/>
            <rFont val="Tahoma"/>
            <family val="2"/>
          </rPr>
          <t xml:space="preserve">Aanname ombouw naar pers. variant.
</t>
        </r>
        <r>
          <rPr>
            <sz val="10"/>
            <color rgb="FF000000"/>
            <rFont val="Tahoma"/>
            <family val="2"/>
          </rPr>
          <t xml:space="preserve">
</t>
        </r>
        <r>
          <rPr>
            <sz val="10"/>
            <color rgb="FF000000"/>
            <rFont val="Tahoma"/>
            <family val="2"/>
          </rPr>
          <t>Tribus heeft prijsafspraken met VW. Aanschaf niet 69k€ maar naar verwachting 65k€; inschatting EVC. Ombouw naar pers. bus: 10l€ en ombouw naar rolstoel: 17k€. Checken met tribus.</t>
        </r>
      </text>
    </comment>
    <comment ref="AO8" authorId="0" shapeId="0" xr:uid="{EC78AB7A-ACDE-774A-9C2A-CD4742D60A6D}">
      <text>
        <r>
          <rPr>
            <b/>
            <sz val="10"/>
            <color rgb="FF000000"/>
            <rFont val="Tahoma"/>
            <family val="2"/>
          </rPr>
          <t>Robin Matton:</t>
        </r>
        <r>
          <rPr>
            <sz val="10"/>
            <color rgb="FF000000"/>
            <rFont val="Tahoma"/>
            <family val="2"/>
          </rPr>
          <t xml:space="preserve">
</t>
        </r>
        <r>
          <rPr>
            <sz val="10"/>
            <color rgb="FF000000"/>
            <rFont val="Tahoma"/>
            <family val="2"/>
          </rPr>
          <t>Nog checken of 62,000 ook de prijs van het T35 model is (ouder model T31); verwachting dat er een gering prijsverschil zal zijn.</t>
        </r>
      </text>
    </comment>
    <comment ref="G24" authorId="0" shapeId="0" xr:uid="{1FCCD961-FE5D-5C43-AC02-0B50ADF78256}">
      <text>
        <r>
          <rPr>
            <b/>
            <sz val="10"/>
            <color rgb="FF000000"/>
            <rFont val="Tahoma"/>
            <family val="2"/>
          </rPr>
          <t>Robin Matton:</t>
        </r>
        <r>
          <rPr>
            <sz val="10"/>
            <color rgb="FF000000"/>
            <rFont val="Tahoma"/>
            <family val="2"/>
          </rPr>
          <t xml:space="preserve">
</t>
        </r>
        <r>
          <rPr>
            <sz val="10"/>
            <color rgb="FF000000"/>
            <rFont val="Tahoma"/>
            <family val="2"/>
          </rPr>
          <t>Range niet getest; opgaaf van TriBus. Bron: studie Omnibuzz</t>
        </r>
      </text>
    </comment>
    <comment ref="K24" authorId="0" shapeId="0" xr:uid="{D12F078F-9317-1F48-B475-C555A3897D91}">
      <text>
        <r>
          <rPr>
            <sz val="10"/>
            <color rgb="FF000000"/>
            <rFont val="Tahoma"/>
            <family val="2"/>
          </rPr>
          <t xml:space="preserve">Aanname: zelfde prijs als omgebouwde Renault Master (naar EV + rolstoel). Uitgaan van MIA voordeel (4500) erbij opgeteld.
</t>
        </r>
        <r>
          <rPr>
            <sz val="10"/>
            <color rgb="FF000000"/>
            <rFont val="Tahoma"/>
            <family val="2"/>
          </rPr>
          <t xml:space="preserve">
</t>
        </r>
        <r>
          <rPr>
            <sz val="10"/>
            <color rgb="FF000000"/>
            <rFont val="Tahoma"/>
            <family val="2"/>
          </rPr>
          <t>Bron: studie Omninuzz.</t>
        </r>
      </text>
    </comment>
    <comment ref="L25" authorId="0" shapeId="0" xr:uid="{BE9D0500-6AEB-9E42-99AB-C0F431CEE44D}">
      <text>
        <r>
          <rPr>
            <b/>
            <sz val="10"/>
            <color rgb="FF000000"/>
            <rFont val="Tahoma"/>
            <family val="2"/>
          </rPr>
          <t>Robin Matton:</t>
        </r>
        <r>
          <rPr>
            <sz val="10"/>
            <color rgb="FF000000"/>
            <rFont val="Tahoma"/>
            <family val="2"/>
          </rPr>
          <t xml:space="preserve">
</t>
        </r>
        <r>
          <rPr>
            <sz val="10"/>
            <color rgb="FF000000"/>
            <rFont val="Calibri"/>
            <family val="2"/>
          </rPr>
          <t xml:space="preserve">Indicatie VDL. Studie Omnibuzz
</t>
        </r>
      </text>
    </comment>
  </commentList>
</comments>
</file>

<file path=xl/sharedStrings.xml><?xml version="1.0" encoding="utf-8"?>
<sst xmlns="http://schemas.openxmlformats.org/spreadsheetml/2006/main" count="9642" uniqueCount="4445">
  <si>
    <t>Autosegment</t>
  </si>
  <si>
    <t>Aantal benzine voertuigen (km/jaar)</t>
  </si>
  <si>
    <t>Aantal diesel voertuigen (km/jaar)</t>
  </si>
  <si>
    <t>Totaal</t>
  </si>
  <si>
    <t>Beschrijving</t>
  </si>
  <si>
    <t>0 tot 10.000km</t>
  </si>
  <si>
    <t>Elektrisch</t>
  </si>
  <si>
    <t>A</t>
  </si>
  <si>
    <t>Submini personenauto's</t>
  </si>
  <si>
    <t>n.v.t.</t>
  </si>
  <si>
    <t>Citroën C1, Toyota Aygo, Volkswagen Up</t>
  </si>
  <si>
    <t>Citroën C-Zero, Mitsubishi iMiEV, Peugeot iOn, Volkswagen e-Up</t>
  </si>
  <si>
    <t>B</t>
  </si>
  <si>
    <t>Kleine personenauto's</t>
  </si>
  <si>
    <t>Ford Fiesta, Volkswagen Polo, Opel Corsa</t>
  </si>
  <si>
    <t>C</t>
  </si>
  <si>
    <t>Kleine middenklasse personenauto's</t>
  </si>
  <si>
    <t>Ford Focus, Volkswagen Golf, Audi A3</t>
  </si>
  <si>
    <t>D</t>
  </si>
  <si>
    <t>Middenklasse personenauto's</t>
  </si>
  <si>
    <t>Audi A4, Peugeot 508, Opel Insignia</t>
  </si>
  <si>
    <t>E</t>
  </si>
  <si>
    <t>Hogere middenklasse personenauto's</t>
  </si>
  <si>
    <t>Volvo S90, BMW 5 Serie, Mercedes-Benz E-Klasse</t>
  </si>
  <si>
    <t>Tesla Model S</t>
  </si>
  <si>
    <t>F</t>
  </si>
  <si>
    <t>Grote personenauto's</t>
  </si>
  <si>
    <t>Audi A8, Mercedes-Benz S-klasse, Jaguar XJ</t>
  </si>
  <si>
    <t>L</t>
  </si>
  <si>
    <t>Lower SUV's</t>
  </si>
  <si>
    <t>Hyundai Tucson, Volvo XC60</t>
  </si>
  <si>
    <t>Hyundai Kona</t>
  </si>
  <si>
    <t>M</t>
  </si>
  <si>
    <t>Upper SUV's</t>
  </si>
  <si>
    <t>BMW X5, Audi Q7</t>
  </si>
  <si>
    <t>Jaquar I-Pace, Tesla Model X</t>
  </si>
  <si>
    <t>Opmerkingen en bronvermelding</t>
  </si>
  <si>
    <t>https://autorai.nl/duidelijkheid-over-autosegmenten/</t>
  </si>
  <si>
    <t>https://www.anwb.nl/auto/themas/elektrisch-rijden/elektrische-autos/welke-autos-zijn-er/welke-autos-zijn-er</t>
  </si>
  <si>
    <t>BOVAG: Mobiliteit in Cijfers; auto's 2017 - 2018</t>
  </si>
  <si>
    <t>https://www.anwb.nl/zakelijk/nieuws/2017/juli/top10-elektrische-bestelautos-2017</t>
  </si>
  <si>
    <t>Uw parameters</t>
  </si>
  <si>
    <t>jaar</t>
  </si>
  <si>
    <t>Groene stroom</t>
  </si>
  <si>
    <t>Uitgangspunten en bronvermelding</t>
  </si>
  <si>
    <t>Bronnen:</t>
  </si>
  <si>
    <t>ANWB (2018), Autowaarde berekenen</t>
  </si>
  <si>
    <t>https://www.anwb.nl/auto/koerslijst#/kenteken</t>
  </si>
  <si>
    <t>Emissiefactoren</t>
  </si>
  <si>
    <t>WTW (totaal)</t>
  </si>
  <si>
    <t>Benzine (E95, NL)</t>
  </si>
  <si>
    <t>Diesel (NL)</t>
  </si>
  <si>
    <t>Stroom (oorsprong onbekend, energie mix)</t>
  </si>
  <si>
    <t>Stroom (grijze stroom)</t>
  </si>
  <si>
    <t>Stroom (groene stroom)</t>
  </si>
  <si>
    <t>Emissiefactor stroom gebruikt in berekening</t>
  </si>
  <si>
    <t>Aanames &amp; toelichting</t>
  </si>
  <si>
    <t>1. Dit betreft de "Well-to-Wheel" uitstoot; dit is de uitstoot die wordt veroorzaakt bij de winning van het aardgas of aardolie ("Well-to-Tank'') + de uitstoot die tijdens het rijden wordt veroorzaakt ("Tank-to-Wheel").</t>
  </si>
  <si>
    <t>2. Deze factor neemt niet de uitstoot mee die veroorzaak wordt door het bouwen van een aardgascentrale of een windmolenpark.</t>
  </si>
  <si>
    <t>CO2 emissiefactoren</t>
  </si>
  <si>
    <t>https://www.co2emissiefactoren.nl/lijst-emissiefactoren/</t>
  </si>
  <si>
    <t>C) Verbruikscijfers en uitstootcijfers voertuigen</t>
  </si>
  <si>
    <t>Parameter</t>
  </si>
  <si>
    <t>Gemiddeld verbruik segmenten personenauto's - benzine</t>
  </si>
  <si>
    <t>L/100 km</t>
  </si>
  <si>
    <t>km/L</t>
  </si>
  <si>
    <t xml:space="preserve">Gemiddeld verbruik segmenten personenauto's - diesel </t>
  </si>
  <si>
    <t>Gemiddeld verbruik segmenten personenauto's - BEV</t>
  </si>
  <si>
    <t>kWh/100 km</t>
  </si>
  <si>
    <t>km/kWh</t>
  </si>
  <si>
    <t>https://www.rdw.nl/-/media/rdw/rdw/pdf/sitecollectiondocuments/vt/naslag/brandstofverbruiksboekje-2018.pdf</t>
  </si>
  <si>
    <t>Elektrische voertuigen database (2018), EVDB Real Range</t>
  </si>
  <si>
    <t>https://ev-database.nl</t>
  </si>
  <si>
    <t>ANWB (2015), Top 10 zuinige en schone bestelauto's</t>
  </si>
  <si>
    <t>https://www.anwb.nl/auto/besparen/top-10-zuinige-autos/top-10-zuinige-bestelautos-overzicht</t>
  </si>
  <si>
    <t>https://mijn.bovag.nl/dossiers/alles-over-de-wltp</t>
  </si>
  <si>
    <t>D) BTW &amp; brandstofprijzen</t>
  </si>
  <si>
    <t>BTW</t>
  </si>
  <si>
    <t>Gemiddelde pomprijs</t>
  </si>
  <si>
    <t>€/L</t>
  </si>
  <si>
    <t>Elektricieitskosten</t>
  </si>
  <si>
    <t>Elektriciteit - kantoor</t>
  </si>
  <si>
    <t>€/kWh</t>
  </si>
  <si>
    <t>Elektriciteit - thuis</t>
  </si>
  <si>
    <t>Elektriciteit - publieke laadpaal</t>
  </si>
  <si>
    <t>Elektriciteit - snellader</t>
  </si>
  <si>
    <t>Belastingdienst (2018)</t>
  </si>
  <si>
    <t>CBS (2018), pomprijzen motorbrandstoffen</t>
  </si>
  <si>
    <t>http://statline.cbs.nl/StatWeb/publication/?DM=SLNL&amp;PA=81567NED</t>
  </si>
  <si>
    <t>Allego (2018)</t>
  </si>
  <si>
    <t>https://www.allego.nl/e-rijders/alles-over-laden/wat-kost-laden/</t>
  </si>
  <si>
    <t>FastNed (2018)</t>
  </si>
  <si>
    <t>https://fastned.nl/nl/kies-je-prijsplan</t>
  </si>
  <si>
    <t>LeaseBlog (2018)</t>
  </si>
  <si>
    <t>https://www.leaseblog.nl/algemeen/kost-om-elektrische-auto-op-laden/</t>
  </si>
  <si>
    <t xml:space="preserve">E) Aanschafbelasting </t>
  </si>
  <si>
    <t>https://www.belastingdienst.nl/wps/wcm/connect/bldcontentnl/belastingdienst/prive/auto_en_vervoer/belastingen_op_auto_en_motor/bpm/bpm</t>
  </si>
  <si>
    <t>F) Motorrijtuigenbelasting</t>
  </si>
  <si>
    <t>https://www.belastingdienst.nl/wps/wcm/connect/nl/auto-en-vervoer/content/hulpmiddel-motorrijtuigenbelasting-berekenen</t>
  </si>
  <si>
    <t>Onderhoudskosten</t>
  </si>
  <si>
    <t>€/km</t>
  </si>
  <si>
    <t>Gemiddelde onderhoudskosten segmenten personenauto's - BEV</t>
  </si>
  <si>
    <t>4. In de bovenstaande tabel zijn de gemiddelde onderhoudskosten gepresenteerd (€/km), maar in berekeningen is per segment de afzonderlijke waarde gebruikt.</t>
  </si>
  <si>
    <t xml:space="preserve">Bronnen: </t>
  </si>
  <si>
    <t>ANWB; rekentool Autokosten (2018)</t>
  </si>
  <si>
    <t>https://www.anwb.nl/auto/autokosten#/merkentype</t>
  </si>
  <si>
    <t>Verzekering</t>
  </si>
  <si>
    <t>Auke Hoekstra, Senior Advisor Eletric Mobility TU Eindhoven (2013)</t>
  </si>
  <si>
    <t>H) MIA - Milieu investeringsaftrek</t>
  </si>
  <si>
    <t xml:space="preserve">2. Wel geldt er een belastingtarief voor venootschapsbelasting van 25% </t>
  </si>
  <si>
    <t>RVO (2018): Duurzaam Transport, subsidies</t>
  </si>
  <si>
    <t>https://www.rvo.nl/subsidies-regelingen/mia-en-vamil/milieulijst-miavamil/branches-en-themas/duurzaam-transport?utm_campaign=327193004&amp;utm_source=google&amp;utm_medium=cpc&amp;utm_content=262160046159&amp;utm_term=mia%20elektrische%20auto%202018&amp;adgroupid=22648406924&amp;gclid=EAIaIQobChMIha6Sq_vu3AIVBeJ3Ch2GvQj_EAAYASAAEgI-0_D_BwE</t>
  </si>
  <si>
    <t>Segment</t>
  </si>
  <si>
    <t>Opmerkingen</t>
  </si>
  <si>
    <t>Huidig</t>
  </si>
  <si>
    <t>Eenheid</t>
  </si>
  <si>
    <t>Notitie</t>
  </si>
  <si>
    <t>Wagenpark (voertuigen)</t>
  </si>
  <si>
    <t>-</t>
  </si>
  <si>
    <t>Aanname dat gebruikers van het E-segment, ook een Tesla model S aanschaffen</t>
  </si>
  <si>
    <t>Bestelbus groot</t>
  </si>
  <si>
    <t>BPM</t>
  </si>
  <si>
    <t>MIA</t>
  </si>
  <si>
    <t>Verzekeringskosten</t>
  </si>
  <si>
    <t>MRB</t>
  </si>
  <si>
    <t>Looptijd is variabel, bijv. 48 maanden/4 jaar</t>
  </si>
  <si>
    <t>TCO analyse</t>
  </si>
  <si>
    <t>Milieu analyse</t>
  </si>
  <si>
    <t xml:space="preserve">Totale CO2 uitstoot (WTW) </t>
  </si>
  <si>
    <t>ton CO2</t>
  </si>
  <si>
    <t>Well-to-Wheel uistoot gedurende de gekozen looptijd</t>
  </si>
  <si>
    <t xml:space="preserve">Totale CO2 besparing (WTW) </t>
  </si>
  <si>
    <t>Besparing Well-to-Wheel uistoot gedurende de gekozen looptijd</t>
  </si>
  <si>
    <t xml:space="preserve">Autosegment </t>
  </si>
  <si>
    <t>Diesel</t>
  </si>
  <si>
    <t>Van toepassing? *</t>
  </si>
  <si>
    <t>Milieu indicatoren</t>
  </si>
  <si>
    <t>Financiele indicatoren - eenmalig (CAPEX)</t>
  </si>
  <si>
    <t>Financiele indicatoren - maandelijks (OPEX)</t>
  </si>
  <si>
    <t>CO2 uitstoot TTW (1)</t>
  </si>
  <si>
    <t>CO2 uitstoot WTW (2)</t>
  </si>
  <si>
    <t>Emissiefactor WTW</t>
  </si>
  <si>
    <t>Emissiefactor TTW</t>
  </si>
  <si>
    <t>Cataloguprijs (bruto)</t>
  </si>
  <si>
    <t>MIA aanschafsubsidie</t>
  </si>
  <si>
    <t>Brandstofkosten</t>
  </si>
  <si>
    <t xml:space="preserve">Restwaardepercentage </t>
  </si>
  <si>
    <t>[g CO2 / km]</t>
  </si>
  <si>
    <t>[L / 100km]</t>
  </si>
  <si>
    <t>[kg CO2 / L]</t>
  </si>
  <si>
    <t>[€ excl. BTW &amp; BPM]</t>
  </si>
  <si>
    <t>[€]</t>
  </si>
  <si>
    <t>[€ incl. BPM en BTW]</t>
  </si>
  <si>
    <t>[€/maand]</t>
  </si>
  <si>
    <t>[€ / L]</t>
  </si>
  <si>
    <t>[€ / km]</t>
  </si>
  <si>
    <t>[%]</t>
  </si>
  <si>
    <t>[€ / maand]</t>
  </si>
  <si>
    <t>nvt</t>
  </si>
  <si>
    <t>J</t>
  </si>
  <si>
    <t>Bestelbus klein &lt; 1.5 ton (&lt; 4.5 m3 laadruimte)</t>
  </si>
  <si>
    <t xml:space="preserve">Bestelbus gemiddeld &gt; 1.5 &lt; 2 ton (4.5 -  7 m3 laadruimte) </t>
  </si>
  <si>
    <t>Bestelbus groot &gt; 2 ton (&gt; 7m3 laadruimte)</t>
  </si>
  <si>
    <t>Benzine</t>
  </si>
  <si>
    <t>Financiele indicatoren - maandelijks (CAPEX)</t>
  </si>
  <si>
    <t>BEV</t>
  </si>
  <si>
    <t>Speficificaties geselecteerde BEV ***</t>
  </si>
  <si>
    <t>Automerk &amp; type</t>
  </si>
  <si>
    <t>Actieradius</t>
  </si>
  <si>
    <t>Accucapaciteit</t>
  </si>
  <si>
    <t>[kWh / 100km]</t>
  </si>
  <si>
    <t>[kg CO2 / kWh]</t>
  </si>
  <si>
    <t>[€ / kWh]</t>
  </si>
  <si>
    <t>[km]</t>
  </si>
  <si>
    <t>[kWh]</t>
  </si>
  <si>
    <t>Notitie:</t>
  </si>
  <si>
    <t>Citroen C-zero / Peugeot iOn</t>
  </si>
  <si>
    <t>Renault Zoe</t>
  </si>
  <si>
    <t>Hyundai Ionic</t>
  </si>
  <si>
    <t>Aanname dat gebruikers van het D-segment, ook een Hundai Ionic zullen aanschaffen.</t>
  </si>
  <si>
    <t>Tesla S 75D</t>
  </si>
  <si>
    <t>Nog geen BEV in het J-segment op de markt</t>
  </si>
  <si>
    <t>Jaquar I-pace</t>
  </si>
  <si>
    <t>Renault Kangoo Z.E. Maxi</t>
  </si>
  <si>
    <t>Mercedez Benz eVito</t>
  </si>
  <si>
    <t xml:space="preserve">Renault Master Z.E. </t>
  </si>
  <si>
    <t>** BOVAG: Mobiliteit in Cijfers; auto's 2017 - 2018; Gemiddelde aanschafprijs van nieuwe personenauto's (naar brandstofsoort). Dat deze waarde een stukje hoger ligt dan het gemiddelde van de 4 best verkochte auto's per segment, is naar verwachting te verklaren dat aanschafprijs van de meest verkochte auto's lager ligt dan de andere automodellen in de desbetreffende segmenten</t>
  </si>
  <si>
    <t>*** De desbetreffende BEV is geselecteerd o.b.v. het desbetreffende autosegment van de BEV en prijs-kwaliteit verhouding (aanschafprijs vs. grootte batterijpakket)</t>
  </si>
  <si>
    <t xml:space="preserve">Basisbron: </t>
  </si>
  <si>
    <t>https://www.anwb.nl/auto/kopen/auto-kiezen/autokosten</t>
  </si>
  <si>
    <t>A) Looptijd &amp; afschrijving</t>
  </si>
  <si>
    <t>Tesla S - 75 235 kW Basic aut</t>
  </si>
  <si>
    <t>Renault Clio - TCE 0.9</t>
  </si>
  <si>
    <t>Restwaarde (jaar)</t>
  </si>
  <si>
    <t>Aanname:</t>
  </si>
  <si>
    <t xml:space="preserve">Inruilwaarde bij autobedrijf / verkoop tussen particulieren als restwaarde genomen </t>
  </si>
  <si>
    <t>B) Emissiefactoren</t>
  </si>
  <si>
    <t>TTW (energiegebruik)</t>
  </si>
  <si>
    <t>WTT (energieproductie)</t>
  </si>
  <si>
    <t>kg CO2/liter</t>
  </si>
  <si>
    <t>Stroom (oorsprong onbekend, gebruiken voor laden elektrische auto)</t>
  </si>
  <si>
    <t>kg CO2/kWh</t>
  </si>
  <si>
    <t>CO2 emissiefactoren (2018)</t>
  </si>
  <si>
    <t>CO2 emissiecijfers (CBS, 2016)</t>
  </si>
  <si>
    <t>https://www.cbs.nl/nl-nl/maatwerk/2018/04/rendementen-en-co2-emissie-elektriciteitsproductie-2016</t>
  </si>
  <si>
    <t>C) Verbruikscijfers &amp; uitstootcijfers</t>
  </si>
  <si>
    <t>Diesel &amp; benzine voertuigen</t>
  </si>
  <si>
    <t>Voor diesel en benzine voertuigen is gerekend met de NEDC verbruiks en uitstootcijfers (type goedkeuring van een voertuig dat wordt gedaan door de auto fabrikant).</t>
  </si>
  <si>
    <t xml:space="preserve">Voor elektrische voertuigen is de EVDB range gebruikt. </t>
  </si>
  <si>
    <t>Belastingdienst</t>
  </si>
  <si>
    <t xml:space="preserve">E) BPM belasting </t>
  </si>
  <si>
    <t>CO2 uitstoot niet meer dan</t>
  </si>
  <si>
    <t xml:space="preserve">(CO2 uitstoot auto - waarde I)* waarde IV + waarde III </t>
  </si>
  <si>
    <t>I</t>
  </si>
  <si>
    <t>II</t>
  </si>
  <si>
    <t>III</t>
  </si>
  <si>
    <t>IV [€/gCO2]</t>
  </si>
  <si>
    <t>g CO2/km</t>
  </si>
  <si>
    <t>2) Personenvoertuigen diesel (bovenop de bovenstaande BPM toeslag)</t>
  </si>
  <si>
    <t>€/gCO2</t>
  </si>
  <si>
    <t>3) Bestelauto's</t>
  </si>
  <si>
    <t>De bpm voor een bestelauto of kampeerauto is een percentage van de nettocatalogusprijsmet een aftrek of toeslag, afhankelijk van de brandstof.</t>
  </si>
  <si>
    <t>Bpm-tarief bestelauto’s of kampeerauto’s</t>
  </si>
  <si>
    <t>% netto-</t>
  </si>
  <si>
    <t>Trek af:</t>
  </si>
  <si>
    <t>Tel op:</t>
  </si>
  <si>
    <t>catalogusprijs</t>
  </si>
  <si>
    <t>Bestelauto of kampeerauto</t>
  </si>
  <si>
    <t>Geen bpm bij geen CO2-uitstoot</t>
  </si>
  <si>
    <t>4) BPM elektrische voertuigen - personen- en bestelauto's</t>
  </si>
  <si>
    <t>F) MRB</t>
  </si>
  <si>
    <t>Een benadering van de complexe tabel die voor verschillende gewichten en provincies de wegenbelasting bepaalt. De duurste provincie (ZH) is circa 15% duurder dan de goedkoopste provincie (NH).</t>
  </si>
  <si>
    <t>segment A</t>
  </si>
  <si>
    <t>segment B</t>
  </si>
  <si>
    <t>segment C</t>
  </si>
  <si>
    <t>segment D</t>
  </si>
  <si>
    <t>eenheid</t>
  </si>
  <si>
    <t>Autokosten ANWB per km_fossiel</t>
  </si>
  <si>
    <t>€/km (/jaar)</t>
  </si>
  <si>
    <t>Autokosten ANWB per km_elektrisch</t>
  </si>
  <si>
    <t>Geen EV in dit segment</t>
  </si>
  <si>
    <t>segment E</t>
  </si>
  <si>
    <t>segment F</t>
  </si>
  <si>
    <t>segment J</t>
  </si>
  <si>
    <t>segment L</t>
  </si>
  <si>
    <t>segment M</t>
  </si>
  <si>
    <t>De variabele kosten voor onderhoud en reparatie zijn voor servicebeuren, reparaties en banden</t>
  </si>
  <si>
    <t>Bestelwagen klein</t>
  </si>
  <si>
    <t>Bestelwagen middel</t>
  </si>
  <si>
    <t>Bestelwagen groot</t>
  </si>
  <si>
    <t xml:space="preserve">Aanname: </t>
  </si>
  <si>
    <t>2. Onderhoudskosten - particulier (20.000 km/jaar; 10 jaar afschrijving)</t>
  </si>
  <si>
    <t>Er is geen groot verschil tussen onderhoudskosten van een bezine en een dieselvoertuig (vb. Volkswagen Golf, 10,000 km/jaar; diesel: 0.04 €/km (reparatie &amp; onderhoud) en 0.018 €/km ; benzine 0.032 €/km (reparatie &amp; onderhoud) en 0.018 €/km (banden)).</t>
  </si>
  <si>
    <t>Daarom is aangenomen dat dezelfde onderhoudskosten gelden voor benzine en diesel voertuigen.</t>
  </si>
  <si>
    <t>Aangenomen is dat de voertuigen gebouwd en nieuw zijn aangeschaft op januari 2018  met 0 km op de teller, geen extra opties en 10 jaar in bezit. De meest verkochte auto per segment is gekozen, laagst mogelijk aantal deuren.</t>
  </si>
  <si>
    <t>Onderhoudskosten voor een elektrische auto liggen gemiddeld 35% lager dan voor benzine- en dieselauto's</t>
  </si>
  <si>
    <t>ANWB &amp; Nibud (2018)</t>
  </si>
  <si>
    <t>https://www.nibud.nl/consumenten/wat-kost-een-auto/</t>
  </si>
  <si>
    <t>Duitse Institut für Automobilwirtschaft (IFA) (2013)</t>
  </si>
  <si>
    <t>https://www.anwb.nl/auto/nieuws/2012/november/elektrische-auto-goedkoper-in-onderhoud</t>
  </si>
  <si>
    <t>Volledig elektrische auto's met een CO2-uitstoot van 0 g/km komen aanmerking voor:</t>
  </si>
  <si>
    <t>Belastingtarief venootschapsbelasting</t>
  </si>
  <si>
    <t>Voorbeeld:</t>
  </si>
  <si>
    <t>Aanschafprijs personenauto</t>
  </si>
  <si>
    <t xml:space="preserve">MIA subsidie </t>
  </si>
  <si>
    <t>&gt;0</t>
  </si>
  <si>
    <t>Belastingdienst, 2018</t>
  </si>
  <si>
    <t>https://www.belastingdienst.nl/wps/wcm/connect/bldcontentnl/belastingdienst/zakelijk/winst/inkomstenbelasting/veranderingen-inkomstenbelasting-2018/bijtelling-privegebruik-auto-2018</t>
  </si>
  <si>
    <t>Toelichting</t>
  </si>
  <si>
    <t>We kijken enkel naar de kosten voor de werkgever en niet de voor werknemer. Om deze reden is het mogelijke bijtellingsvoordeel niet meegenomen in de berekening.</t>
  </si>
  <si>
    <t>Huidig wagenpark - aantallen</t>
  </si>
  <si>
    <t>Nieuw wagenpark - aantallen</t>
  </si>
  <si>
    <t>Huidig wagenpark - CAPEX</t>
  </si>
  <si>
    <t>Nieuw wagenpark - CAPEX</t>
  </si>
  <si>
    <t>Huidig wagenpark - OPEX</t>
  </si>
  <si>
    <t>Nieuw wagenpark - OPEX</t>
  </si>
  <si>
    <t>Huidig wagenpark - Milieu</t>
  </si>
  <si>
    <t>Aantal_km_per_jaar</t>
  </si>
  <si>
    <t>Aantal_km_per_jaar (rekenwaarden)</t>
  </si>
  <si>
    <t>Aantal_autos</t>
  </si>
  <si>
    <t>Waarvan_diesel</t>
  </si>
  <si>
    <t>Waarvan_benzine</t>
  </si>
  <si>
    <t>Waarvan_BEV</t>
  </si>
  <si>
    <t>Netto prijs [€, excl. BTW &amp; BPM]</t>
  </si>
  <si>
    <t>BPM [€]</t>
  </si>
  <si>
    <t>Bruto prijs [€, incl. BTW &amp; BPM]</t>
  </si>
  <si>
    <t>MIA [€]</t>
  </si>
  <si>
    <t>Verzekering [€/maand]</t>
  </si>
  <si>
    <t>Onderhoudskosten [€/jaar]</t>
  </si>
  <si>
    <t>Restwaarde [€ excl. BTW]</t>
  </si>
  <si>
    <t>Restwaarde [€ incl. BTW]</t>
  </si>
  <si>
    <t>Afschrijving [€/maand]</t>
  </si>
  <si>
    <t>TTW CO2 uitstoot [kg CO2/jaar]</t>
  </si>
  <si>
    <t>WTW CO2 uitstoot [kg CO2/jaar]</t>
  </si>
  <si>
    <t>1</t>
  </si>
  <si>
    <t>2</t>
  </si>
  <si>
    <t>Input drop-down menu's</t>
  </si>
  <si>
    <t>Aantal voertuigen</t>
  </si>
  <si>
    <t>Type stroom</t>
  </si>
  <si>
    <t>MIA subsidie</t>
  </si>
  <si>
    <t>Recht op BTW verrekening</t>
  </si>
  <si>
    <t>Looptijd</t>
  </si>
  <si>
    <t>Energie mix</t>
  </si>
  <si>
    <t>Grijze stroom</t>
  </si>
  <si>
    <t>&gt;60</t>
  </si>
  <si>
    <t>Autosegment - letter</t>
  </si>
  <si>
    <t>Autosegment - beschrijving</t>
  </si>
  <si>
    <t>Voorbeelden benzine / diesel</t>
  </si>
  <si>
    <t>Voorbeelden elektrisch</t>
  </si>
  <si>
    <t>Citroën C1, Toyota Aygo, Volkswagen Up, Renault Twingo</t>
  </si>
  <si>
    <t>Mercedes B-Klasse Electric Drive, Renault Zoe</t>
  </si>
  <si>
    <t>BMW I3, Volkswagen e-Golf, Hyundai IONIQ electric, Nissan Leaf, Opel Ampera-e</t>
  </si>
  <si>
    <t>Medium MPV's</t>
  </si>
  <si>
    <t>Renault Scénic, Volkswagen Touran, Opel Zafira Tourer</t>
  </si>
  <si>
    <t>Segment A - Submini personenauto's</t>
  </si>
  <si>
    <t>Merk | model | uitvoering                                             </t>
  </si>
  <si>
    <t>Brandstof</t>
  </si>
  <si>
    <t>BTW (€)</t>
  </si>
  <si>
    <t>Volkswagen UP - B 44 KW M 96 18</t>
  </si>
  <si>
    <t>Renault Twingo - SCe 70 (95) E6W</t>
  </si>
  <si>
    <t>Opel Karl - 1.0 (55kW) H5 Start/Stop ‘94’</t>
  </si>
  <si>
    <t xml:space="preserve">Benzine </t>
  </si>
  <si>
    <t>Gemiddelde personenauto's segment A - benzine</t>
  </si>
  <si>
    <t>Geen A-klasse auto's die als diesel wordt aangeboden. Minder km, minder comfortabel, minder voordeel diesel</t>
  </si>
  <si>
    <t>CO2 g/km</t>
  </si>
  <si>
    <t>Br. l/100 km</t>
  </si>
  <si>
    <t>Leeg gewicht (kg)</t>
  </si>
  <si>
    <t>Prijs excl. BTW/BPM (€), catalogusprijs netto</t>
  </si>
  <si>
    <t>MRB (€)</t>
  </si>
  <si>
    <t>Zuinighuidscategorie</t>
  </si>
  <si>
    <t>Gemiddelde personenauto's segment A - diesel</t>
  </si>
  <si>
    <t>Segment B - Kleine personenauto's</t>
  </si>
  <si>
    <t>Volkswagen Polo - B 48 KW M 108 00</t>
  </si>
  <si>
    <t>Renault Clio - TCe 90 (94) E6W</t>
  </si>
  <si>
    <t>Ford Fiesta 5drs - 1.0 48kW Euro 6 Start/Stop </t>
  </si>
  <si>
    <t>Gemiddelde personenauto's segment B - benzine</t>
  </si>
  <si>
    <t>Renault Clio - dCi 90 (82) E6W</t>
  </si>
  <si>
    <t>Opel Corsa_E 5-deurs - 1.3 CDTi (70kW) Easytronic Start/Stop ‘90’</t>
  </si>
  <si>
    <t>Ford Fiesta - 1.5TDCi cDPF 63kW Start/Stop</t>
  </si>
  <si>
    <t>Gemiddelde personenauto's segment B - diesel</t>
  </si>
  <si>
    <t>Segment C - Kleine middenklasse personenauto's</t>
  </si>
  <si>
    <t>Prijs excl. BTW/BPM (€), catalugusprijs netto</t>
  </si>
  <si>
    <t>Volkswagen Golf - B 63 KW M 108 31</t>
  </si>
  <si>
    <t>Opel Astra 1.0 Turbo (77kW) H5 Start/Stop ‘102’ </t>
  </si>
  <si>
    <t>Renault Megane - TCe 100 (120) E6W</t>
  </si>
  <si>
    <t>Ford Focus 5drs  - 1.0 EcoBoost 74kW Start/Stop</t>
  </si>
  <si>
    <t>Gemiddelde personenauto's segment C - benzine</t>
  </si>
  <si>
    <t>Volkswagen Golf - D 66 KW M 106 30</t>
  </si>
  <si>
    <t>Opel Astra_K 5-deurs 1.6 CDTi (81kW) H6 </t>
  </si>
  <si>
    <t>Renault Megane - dCi 110 (95) E6W</t>
  </si>
  <si>
    <t>Ford Focus 5drs - 1.5TDCi cDPF 70kW Start/Stop AGS</t>
  </si>
  <si>
    <t>Gemiddelde personenauto's segment C - diesel</t>
  </si>
  <si>
    <t>Segment D - Middenklasse personenauto's</t>
  </si>
  <si>
    <t>Peugeot 508 - Berline 1.6 e-THP 165 - 121KW 8D5GZM/1S</t>
  </si>
  <si>
    <t>Gemiddelde personenauto's segment D - benzine</t>
  </si>
  <si>
    <t>Volkswagen Passat - D 110 KW A 114 48</t>
  </si>
  <si>
    <t>Peugeot 508 Berline - 1.6 BlueHDI 120 EAT6 - 88KW 8DBHZT/1S</t>
  </si>
  <si>
    <t>Gemiddelde personenauto's segment D - diesel</t>
  </si>
  <si>
    <t>Segment E - Hogere middenklasse personenauto's</t>
  </si>
  <si>
    <t>Mercedes-Benz E-Klasse sedan - E200{A9}(W213)(2)142-6,3</t>
  </si>
  <si>
    <t>BMW 5 Serie Sedan G30 530i Aut. (JA51)</t>
  </si>
  <si>
    <t>Volvo S90 modeljaar 2017 - T5 Geartronic</t>
  </si>
  <si>
    <t>Gemiddelde personenauto's segment E - benzine</t>
  </si>
  <si>
    <t>Mercedes-Benz E-Klasse sedan - E200d{A9}(W213)(2)112-4,3</t>
  </si>
  <si>
    <t>BMW 5 Serie Sedan G30 - 520d Efficient Dynamics Aut. (JE31) ‘groep 2’</t>
  </si>
  <si>
    <t xml:space="preserve">Volvo S90 modeljaar 2017 - D4 </t>
  </si>
  <si>
    <t>Gemiddelde personenauto's segment E - diesel</t>
  </si>
  <si>
    <t>Segment F - Grote personenauto's</t>
  </si>
  <si>
    <t>Mercedes-Benz S-Klasse - S450{A9}(V222)(2)187-8,2</t>
  </si>
  <si>
    <t>BMW 7 Serie G11 - 740i Aut. (7A21) ‘groep 1’</t>
  </si>
  <si>
    <t>Gemiddelde personenauto's segment F - benzine</t>
  </si>
  <si>
    <t xml:space="preserve">Mercedes-Benz S-Klasse - S350d{A7}(W222)(1)146-5,5 </t>
  </si>
  <si>
    <t>BMW 7 Serie G11 - 730d Aut. (7C21) ‘groep 1’</t>
  </si>
  <si>
    <t>Gemiddelde personenauto's segment F - diesel</t>
  </si>
  <si>
    <t>Segment J - Medium MPV's</t>
  </si>
  <si>
    <t>Peugeot 2008 SUV - 1.2 PureTech 82 - 60KW CUHMZ6</t>
  </si>
  <si>
    <t>Opel Mokka_X 1.6 (85kW) H5 Start/Stop ‘153’</t>
  </si>
  <si>
    <t>Gemiddelde personenauto's segment J - benzine</t>
  </si>
  <si>
    <t>Renault Captur - dCi 110 (101) E6W</t>
  </si>
  <si>
    <t>Peugeot 2008 SUV - 1.6 BlueHDi 120 - 88KW CUBHZM/S</t>
  </si>
  <si>
    <t>Opel Mokka_X - 1.6 CDTi (81kW) H6 Start/Stop ‘103’</t>
  </si>
  <si>
    <t>Gemiddelde personenauto's segment J - diesel</t>
  </si>
  <si>
    <t>Segment L - Lower SUV's</t>
  </si>
  <si>
    <t>Nissan Qashqai - 1.2 85 kW DIG-T (129) E6W</t>
  </si>
  <si>
    <t>Peugeot 3008 - 1.2 PureTech 130 - 96KW MRHNYH C1B000</t>
  </si>
  <si>
    <t>Gemiddelde personenauto's segment L - benzine</t>
  </si>
  <si>
    <t>Volkswagen Tiguan - D 110 KW M 123 31</t>
  </si>
  <si>
    <t>G</t>
  </si>
  <si>
    <t>Peugeot 3008 - 1.6 BlueHDI 120 - 88KW MCBHZH C2K000</t>
  </si>
  <si>
    <t>Gemiddelde personenauto's segment L - diesel</t>
  </si>
  <si>
    <t>Segment M - Upper SUV's</t>
  </si>
  <si>
    <t>BMW X5 - xDrive35i Aut. (KR01) ‘groep 1’</t>
  </si>
  <si>
    <t>Volvo XC90 modeljaar 2018 - T5 AWD Geartronic</t>
  </si>
  <si>
    <t>Mercedes-Benz GLE - GLE400-4M{A9}(W166)(2)197-8,5</t>
  </si>
  <si>
    <t>Land Rover Range Rover Sport - 3.0 V6 SC 250kW A8 5p ‘243’</t>
  </si>
  <si>
    <t>BMW X5 - xDrive30d Aut. (KS41) ‘groep 2/158’</t>
  </si>
  <si>
    <t>Volvo XC90 modeljaar 2018 - D4 Geartronic</t>
  </si>
  <si>
    <t>Mercedes-Benz GLE - GLE250d{A9}(W166)(3)140-5,4</t>
  </si>
  <si>
    <t>Land Rover Range Rover Sport - 2.0 SD4 177kW A8 5p ‘172’</t>
  </si>
  <si>
    <t>(1)</t>
  </si>
  <si>
    <t>(2)</t>
  </si>
  <si>
    <t>(3)</t>
  </si>
  <si>
    <t>Open Data, RDW</t>
  </si>
  <si>
    <t>https://opendata.rdw.nl/Voertuigen/Personenauto-s-met-Catalogusprijs/aq35-ccn7/data</t>
  </si>
  <si>
    <t>(4)</t>
  </si>
  <si>
    <t>Autoweek, BPM calculator</t>
  </si>
  <si>
    <t>https://www.autoweek.nl/bpmcalculator/</t>
  </si>
  <si>
    <t>(5)</t>
  </si>
  <si>
    <t>Autoweek.nl</t>
  </si>
  <si>
    <t>(6)</t>
  </si>
  <si>
    <t>BPM belasting berekenen</t>
  </si>
  <si>
    <t>(7)</t>
  </si>
  <si>
    <t>Autozine, gewichten personenauto's</t>
  </si>
  <si>
    <t>https://www.autozine.nl/overzicht/modellen_techniek.php</t>
  </si>
  <si>
    <t>Verschil WLTP en NEDC</t>
  </si>
  <si>
    <t>https://www.wltp-info.nl/van-nedc-naar-wltp-veranderingen/</t>
  </si>
  <si>
    <t>Bestelauto's klein (&lt; 1,5 ton)</t>
  </si>
  <si>
    <t>Laadvolume (m3)</t>
  </si>
  <si>
    <t>Lengte laadr. (mm)</t>
  </si>
  <si>
    <t>Max. laad- </t>
  </si>
  <si>
    <t>Prijs excl. BTW/BPM (€)</t>
  </si>
  <si>
    <t>gewicht (kg)</t>
  </si>
  <si>
    <t>1 </t>
  </si>
  <si>
    <t>Ford Transit Courier FWD 95 pk diesel</t>
  </si>
  <si>
    <t>2 </t>
  </si>
  <si>
    <t>Citroën Nemo HDI 75FAP EGS</t>
  </si>
  <si>
    <t>Fiat Fiorino 1.3 MJ Start&amp;Stop ComfortMatic</t>
  </si>
  <si>
    <t>Peugeot Bipper XT 1.3HDi 75pk 2Tronic ETG6 + Stop&amp;Start</t>
  </si>
  <si>
    <t>3 </t>
  </si>
  <si>
    <t>Mercedes-Benz, Citan, 108 CDI L BlueEFFICIENCY</t>
  </si>
  <si>
    <t>Renault Kangoo Express dCi 75 ENERGY STOP &amp; START</t>
  </si>
  <si>
    <t>4 </t>
  </si>
  <si>
    <t>Fiat Doblò Cargo L1H1 1.3 MJ 90pk Euro 5+ met ECO Jet engine</t>
  </si>
  <si>
    <t>5 </t>
  </si>
  <si>
    <t>Volkswagen Caddy 1.6TDi 75kW L1H1 BlueMotion</t>
  </si>
  <si>
    <t>6 </t>
  </si>
  <si>
    <t>Citroën Berlingo e-Hdi 90 FAP Airdream EGS Club 'Economy'</t>
  </si>
  <si>
    <t>Peugeot Partner XT Profit+ 120L1 1.6HDi 92pk ETG6 + Stop&amp;Start</t>
  </si>
  <si>
    <t>Gemiddelde kleine bestelauto's (&lt;1,5 ton) / (&lt; 4.5 m3)</t>
  </si>
  <si>
    <t>Bestelauto's middel (&gt;1,5 ton &lt; 1,75 ton)</t>
  </si>
  <si>
    <t>Mercedes-Benz, Vito, 116 CDI</t>
  </si>
  <si>
    <t>Volkswagen Transporter 2.0 TDi 84kW L1H1 BlueMotion</t>
  </si>
  <si>
    <t>Opel Vivaro Edition L1H1 2700 88kW/120pk MT6</t>
  </si>
  <si>
    <t>Renault Trafic L1H1 T27 ENERGY dCi 120 TT STOP &amp; START</t>
  </si>
  <si>
    <t>Citroën Jumpy 10 L1H1 Hdi 125 Economy</t>
  </si>
  <si>
    <t>Peugeot Expert Profit + 227L1H1 2.0HDi 125pk</t>
  </si>
  <si>
    <t>Toyota PROACE 2.0D 128pk Comfort</t>
  </si>
  <si>
    <t>Ford Transit Custom 270 L1H1 Ambiente ECOnetic FWD 100 pk diesel</t>
  </si>
  <si>
    <t>Gemiddelde middel bestelauto's (&gt;1500 ton &lt; 1750 ton) / &gt; 4.5 &lt; 7 m3</t>
  </si>
  <si>
    <t>Bestelauto's groot (&gt;1,75 ton &lt; 2,5 ton)</t>
  </si>
  <si>
    <t>Fiat Ducato 2600 GVW L1H1 2.3 MJ 130 pk ECO</t>
  </si>
  <si>
    <t>Mercedes-Benz Sprinter 213 CDI BlueEFFICIENCY PLUS wb 366</t>
  </si>
  <si>
    <t>Volkswagen Crafter</t>
  </si>
  <si>
    <t>Citroën Jumper HDIF 30L1H1 130 Stop &amp; Start 96kW/130 pk</t>
  </si>
  <si>
    <t>Peugeot Boxer XT 330L1H1 2.2HDi 130pk Stop&amp;Start</t>
  </si>
  <si>
    <t>Renault Master GB L1H1 T28 FWD ENERGY dCi 135 TT STOP &amp; START</t>
  </si>
  <si>
    <t>Opel Movano L1H1 3300 100kW/136pk</t>
  </si>
  <si>
    <t xml:space="preserve">Gemiddelde grote bestelauto's (&gt;1500 ton &lt; 1750 ton) / &gt; 7 m3 </t>
  </si>
  <si>
    <t>MRB, Belastingdienst (2018)</t>
  </si>
  <si>
    <t>BEV personenauto's</t>
  </si>
  <si>
    <t>Auto-segment</t>
  </si>
  <si>
    <t>Prijs excl. BTW/BPM (€), catalugusprijs (netto)</t>
  </si>
  <si>
    <t>€/km batterijpakket</t>
  </si>
  <si>
    <t>BPM (€)</t>
  </si>
  <si>
    <t>BTW (21%)</t>
  </si>
  <si>
    <t>Citroen C-zero</t>
  </si>
  <si>
    <t>BEV, elektrisch</t>
  </si>
  <si>
    <t>Volkswagen e-Up</t>
  </si>
  <si>
    <t>Mitsubishi i-MiEV</t>
  </si>
  <si>
    <t>Peugeot iOn</t>
  </si>
  <si>
    <t>Kia Soul</t>
  </si>
  <si>
    <t>Renault Zoë</t>
  </si>
  <si>
    <t>BMW I3</t>
  </si>
  <si>
    <t>Volkwagen E-golf</t>
  </si>
  <si>
    <t>Nissan Leaf 2</t>
  </si>
  <si>
    <t>Opel Ampera-E</t>
  </si>
  <si>
    <t>Nog geen E-model dit segment</t>
  </si>
  <si>
    <t>Tesla Model S 75D</t>
  </si>
  <si>
    <t>E/F</t>
  </si>
  <si>
    <t>Hogere middenklasse personenauto's / Grote personenauto's</t>
  </si>
  <si>
    <t>Tesla Model S 100D</t>
  </si>
  <si>
    <t>Hogere middenklasse personenauto's/ Grote personenauto's</t>
  </si>
  <si>
    <t>Hyundai Kona Electric</t>
  </si>
  <si>
    <t>Tesla Model X 75D</t>
  </si>
  <si>
    <t>Tesla Model X 100D</t>
  </si>
  <si>
    <t>*EVDB Real range</t>
  </si>
  <si>
    <t>Mercedes B-Klasse Electric Drive, Renault Zoe, Kia Soul</t>
  </si>
  <si>
    <t>Evdatabase</t>
  </si>
  <si>
    <t>ANWB; rekentool Autokosten</t>
  </si>
  <si>
    <t>BEV Bestelauto's</t>
  </si>
  <si>
    <t>MPV's? Personen of laadruimte voor spulen</t>
  </si>
  <si>
    <t>Leeggewicht [kg] / laadvolume [m3]</t>
  </si>
  <si>
    <t>Prijs excl. BTW/BPM (€), catalugusprijs (netto)*</t>
  </si>
  <si>
    <t>Citroën e-Berlingo multispace</t>
  </si>
  <si>
    <t xml:space="preserve">Klein  </t>
  </si>
  <si>
    <t xml:space="preserve">1604 / 3.3 </t>
  </si>
  <si>
    <t>Renault Kangoo ZE Maxi</t>
  </si>
  <si>
    <t>1530 / 4</t>
  </si>
  <si>
    <t>Nissan e-NV200 (7 personen)</t>
  </si>
  <si>
    <t>1689 / 4.2</t>
  </si>
  <si>
    <t>Peuget Partner Tepee eletric</t>
  </si>
  <si>
    <t>1579 / 3.3 - 3.7</t>
  </si>
  <si>
    <t>Groot</t>
  </si>
  <si>
    <t>2500 / 10.7 m3</t>
  </si>
  <si>
    <t>2175 / 13 m3</t>
  </si>
  <si>
    <t>Middel</t>
  </si>
  <si>
    <t>2127 / 6.0-6.6 m3</t>
  </si>
  <si>
    <t>Nog geen marktprijs beschikbaar</t>
  </si>
  <si>
    <t>* Prijzen zijn inclusie batterijpakket</t>
  </si>
  <si>
    <t>ANWB (2014), Top 10 elektrische bestelauto's</t>
  </si>
  <si>
    <t>https://www.anwb.nl/auto/themas/elektrisch-rijden/top10-elektrische-bestelautos</t>
  </si>
  <si>
    <t>Pon's automobielhandel (2018); kick-of Volkswagen e-crafter (ppt)</t>
  </si>
  <si>
    <t>Achtergrond map PIANOo</t>
  </si>
  <si>
    <t xml:space="preserve">Renault E-master; presentatie 2017 </t>
  </si>
  <si>
    <t>Mercedez-Benz e-Vito</t>
  </si>
  <si>
    <t>https://media.mercedes-benz.nl/mercedes-benz-vans-introduceert-volledig-elektrische-evito-en-esprinter/</t>
  </si>
  <si>
    <t>https://www.mercedes-benz.nl/content/media_library/netherlands/mpc/bestelwagens_ng/Brochures/nieuwe_vito_gesloten.object-Single-MEDIA.tmp/Vito_GB_-Dubbelcabine_prijslijst_jan_18.pdf</t>
  </si>
  <si>
    <t>Verschil NEDC range en EVBD real range</t>
  </si>
  <si>
    <t>NEDC</t>
  </si>
  <si>
    <t>EVDB</t>
  </si>
  <si>
    <t>Verchil in range</t>
  </si>
  <si>
    <t>BMW i3</t>
  </si>
  <si>
    <t>Tesla S D70</t>
  </si>
  <si>
    <t>Volkwagen Polo</t>
  </si>
  <si>
    <t>Meest verkocht t/m juli 2018</t>
  </si>
  <si>
    <t>1. Volkswagen Polo met 8.569 registraties en 3,4 procent marktaandeel</t>
  </si>
  <si>
    <t>2. Ford Fiesta (6.220 / 2,5 procent)</t>
  </si>
  <si>
    <t>3. Renault Clio (6.215 / 2,5 procent)</t>
  </si>
  <si>
    <t>4. Opel Karl (6.058 / 2,4 procent)</t>
  </si>
  <si>
    <t>5. KIA Picanto (5.973 / 2,4 procent)</t>
  </si>
  <si>
    <t>Meest verkocht 2017, NL</t>
  </si>
  <si>
    <t>1. Renault Clio - 11.780 stuks</t>
  </si>
  <si>
    <t>2. Volkswagen Golf - 11.146 stuks</t>
  </si>
  <si>
    <t>3. Volkswagen Up - 10.851 stuks</t>
  </si>
  <si>
    <t>4. Opel Karl - 9.907 stuks</t>
  </si>
  <si>
    <t>5. Kia Picanto - 9.625 stuks</t>
  </si>
  <si>
    <t>6. Opel Astra - 9.447 stuks</t>
  </si>
  <si>
    <t>7. Ford Fiesta - 8.760 stuks</t>
  </si>
  <si>
    <t>8. Volkswagen Polo - 8.654 stuks</t>
  </si>
  <si>
    <t>9. Renault Captur - 7.944 stuks</t>
  </si>
  <si>
    <t>10. Renault Megane - 7.723 stuks</t>
  </si>
  <si>
    <t>Meest verkocht 2016, NL</t>
  </si>
  <si>
    <t>1. Volkswagen Golf - 10.780</t>
  </si>
  <si>
    <t>2. Renault Clio - 10.730</t>
  </si>
  <si>
    <t>3. Volkswagen Polo - 9.945</t>
  </si>
  <si>
    <t>4. Opel Astra - 9.893</t>
  </si>
  <si>
    <t>5. Volkswagen Up - 8.638</t>
  </si>
  <si>
    <t>6. Ford Fiesta - 8.345</t>
  </si>
  <si>
    <t>7. Peugeot 108 - 8.246</t>
  </si>
  <si>
    <t>8. Kia Picanto - 8.216</t>
  </si>
  <si>
    <t>9. Volkswagen Passat - 8.022</t>
  </si>
  <si>
    <t>10. Renault Captur - 7.853</t>
  </si>
  <si>
    <t>Top tien personenautopark naar model, 2016</t>
  </si>
  <si>
    <t>Totaal 1.821.529</t>
  </si>
  <si>
    <t>1. Volkswagen Golf 280.175</t>
  </si>
  <si>
    <t>2. Volkswagen Polo 240.413</t>
  </si>
  <si>
    <t>3. Opel Corsa 220.196</t>
  </si>
  <si>
    <t>4. Opel Astra 190.289</t>
  </si>
  <si>
    <t>5. Ford Focus 176.888</t>
  </si>
  <si>
    <t>6. Renault Clio 156.019</t>
  </si>
  <si>
    <t>7. Ford Fiesta 150.964</t>
  </si>
  <si>
    <t>8. Peugeot 206 139.269</t>
  </si>
  <si>
    <t>9. Totota Yaris 135.372</t>
  </si>
  <si>
    <t>10. Renault Twingo 131.944</t>
  </si>
  <si>
    <t>Manufacturer</t>
  </si>
  <si>
    <t>Model</t>
  </si>
  <si>
    <t>2013 sales</t>
  </si>
  <si>
    <t>2014 sales</t>
  </si>
  <si>
    <t>2015 sales</t>
  </si>
  <si>
    <t>2016 sales</t>
  </si>
  <si>
    <t>2017 sales</t>
  </si>
  <si>
    <t>% change</t>
  </si>
  <si>
    <t>Rank A-segment</t>
  </si>
  <si>
    <t>(2016–2017)</t>
  </si>
  <si>
    <t>Fiat</t>
  </si>
  <si>
    <t> +3.4%</t>
  </si>
  <si>
    <t>Panda</t>
  </si>
  <si>
    <t> –1.8%</t>
  </si>
  <si>
    <t>Volkswagen</t>
  </si>
  <si>
    <t>up!</t>
  </si>
  <si>
    <t> +4.0%</t>
  </si>
  <si>
    <t>Hyundai</t>
  </si>
  <si>
    <t>i10</t>
  </si>
  <si>
    <t> +6.1%</t>
  </si>
  <si>
    <t>Toyota</t>
  </si>
  <si>
    <t>Aygo</t>
  </si>
  <si>
    <t> +0.3%</t>
  </si>
  <si>
    <t>Rank B-segment</t>
  </si>
  <si>
    <t>Renault</t>
  </si>
  <si>
    <t>Clio</t>
  </si>
  <si>
    <t>Polo</t>
  </si>
  <si>
    <t> –11.7%</t>
  </si>
  <si>
    <t>Ford</t>
  </si>
  <si>
    <t>Fiesta</t>
  </si>
  <si>
    <t> –14.5%</t>
  </si>
  <si>
    <t>Peugeot</t>
  </si>
  <si>
    <t> –1.9%</t>
  </si>
  <si>
    <t>Corsa</t>
  </si>
  <si>
    <t> –12.0%</t>
  </si>
  <si>
    <t>Rank C-segment</t>
  </si>
  <si>
    <t>Golf</t>
  </si>
  <si>
    <t>Škoda</t>
  </si>
  <si>
    <t>Octavia</t>
  </si>
  <si>
    <t>Astra</t>
  </si>
  <si>
    <t> –13.5%</t>
  </si>
  <si>
    <t>Focus</t>
  </si>
  <si>
    <t> +0.1%</t>
  </si>
  <si>
    <t>Mégane</t>
  </si>
  <si>
    <t> +13.2%</t>
  </si>
  <si>
    <t>Rank D-segment</t>
  </si>
  <si>
    <t>Passat</t>
  </si>
  <si>
    <t> –11.4%</t>
  </si>
  <si>
    <t>Superb</t>
  </si>
  <si>
    <t> –5.2%</t>
  </si>
  <si>
    <t>Insignia</t>
  </si>
  <si>
    <t> –1.1%</t>
  </si>
  <si>
    <t>Mondeo</t>
  </si>
  <si>
    <t> –20.8%</t>
  </si>
  <si>
    <t>Talisman</t>
  </si>
  <si>
    <t>—</t>
  </si>
  <si>
    <t> –6.4%</t>
  </si>
  <si>
    <t>Rank E-segment</t>
  </si>
  <si>
    <t>Mercedes-Benz</t>
  </si>
  <si>
    <t>E-Class</t>
  </si>
  <si>
    <t> +28.3%</t>
  </si>
  <si>
    <t>BMW</t>
  </si>
  <si>
    <t>5 Series</t>
  </si>
  <si>
    <t> +34.7%</t>
  </si>
  <si>
    <t>Audi</t>
  </si>
  <si>
    <t> –15.5%</t>
  </si>
  <si>
    <t>Volvo</t>
  </si>
  <si>
    <t> +409.4%</t>
  </si>
  <si>
    <t>Tesla</t>
  </si>
  <si>
    <t>Model S</t>
  </si>
  <si>
    <t> +38.6%</t>
  </si>
  <si>
    <t>Rank F-segment</t>
  </si>
  <si>
    <t>S-Class</t>
  </si>
  <si>
    <t> –1.4%</t>
  </si>
  <si>
    <t>7 Series</t>
  </si>
  <si>
    <t> –13.4%</t>
  </si>
  <si>
    <t>Porsche</t>
  </si>
  <si>
    <t>Panamera</t>
  </si>
  <si>
    <t> +233.7%</t>
  </si>
  <si>
    <t> +9.6%</t>
  </si>
  <si>
    <t>Jaguar</t>
  </si>
  <si>
    <t>XJ</t>
  </si>
  <si>
    <t> –19.1%</t>
  </si>
  <si>
    <t>Rank J-segment</t>
  </si>
  <si>
    <t>Captur</t>
  </si>
  <si>
    <t> +2.5%</t>
  </si>
  <si>
    <t>Mokka</t>
  </si>
  <si>
    <t>Dacia</t>
  </si>
  <si>
    <t>Duster</t>
  </si>
  <si>
    <t> +4.2%</t>
  </si>
  <si>
    <t>Nissan</t>
  </si>
  <si>
    <t>Juke</t>
  </si>
  <si>
    <t> –6.5%</t>
  </si>
  <si>
    <t>Rank L-Segment</t>
  </si>
  <si>
    <t>(2016-2017)</t>
  </si>
  <si>
    <t>Qashqai</t>
  </si>
  <si>
    <t>Tiguan</t>
  </si>
  <si>
    <t>Hyunday</t>
  </si>
  <si>
    <t>Tucson</t>
  </si>
  <si>
    <t>Kuga</t>
  </si>
  <si>
    <t>Premium large SUV segment</t>
  </si>
  <si>
    <t>X5</t>
  </si>
  <si>
    <t>XC90</t>
  </si>
  <si>
    <t>Q7</t>
  </si>
  <si>
    <t>Geen gegevens over bekend in brandstofverbruiksboekje</t>
  </si>
  <si>
    <t>GLE</t>
  </si>
  <si>
    <t>Range Rover</t>
  </si>
  <si>
    <t>Sport</t>
  </si>
  <si>
    <t>Handmatige invoer restwaardepercentage?</t>
  </si>
  <si>
    <t>Aandeel laden</t>
  </si>
  <si>
    <t>%</t>
  </si>
  <si>
    <t>Nieuw wagenpark - Milieu</t>
  </si>
  <si>
    <t>1. Keuze looptijd contract</t>
  </si>
  <si>
    <t>2. Elektriciteitsbron</t>
  </si>
  <si>
    <t>BTW [€]</t>
  </si>
  <si>
    <t>BTW[€]</t>
  </si>
  <si>
    <t>Bron: AutoRai</t>
  </si>
  <si>
    <t>Hogere middenklasse personenauto</t>
  </si>
  <si>
    <t>Middenklasse personenauto</t>
  </si>
  <si>
    <t>Grote personenauto</t>
  </si>
  <si>
    <t>Lower SUV</t>
  </si>
  <si>
    <t>Upper SUV</t>
  </si>
  <si>
    <t>Kleine personenauto</t>
  </si>
  <si>
    <t>Kleine middenklasse personenauto</t>
  </si>
  <si>
    <t>Submini personenauto</t>
  </si>
  <si>
    <t>BOVAG (2018), alles over WLTP</t>
  </si>
  <si>
    <t>https://ev-database.nl/</t>
  </si>
  <si>
    <t>https://www.anwb.nl/auto/autokosten - /merkentype</t>
  </si>
  <si>
    <t>https://www.rvo.nl/subsidies-regelingen/mia-en-vamil/milieulijst-miavamil/branches-en-themas/duurzaam-transport</t>
  </si>
  <si>
    <t>Voorbeelden voertuigen</t>
  </si>
  <si>
    <t>Bron: BOVAG; autoklassen,  Mobiliteit in Cijfers (2017-2018)</t>
  </si>
  <si>
    <t>https://bovagrai.info/auto/2017/</t>
  </si>
  <si>
    <r>
      <t xml:space="preserve">Hieronder volgen de uitgangspunten van deze TCO-tool en de bronnen die hiervoor zijn gebruikt. Voor de </t>
    </r>
    <r>
      <rPr>
        <i/>
        <sz val="14"/>
        <color theme="1"/>
        <rFont val="Corbel"/>
      </rPr>
      <t>C) verbruikscijfers en uitstootcijfers</t>
    </r>
    <r>
      <rPr>
        <sz val="14"/>
        <color theme="1"/>
        <rFont val="Corbel"/>
      </rPr>
      <t xml:space="preserve"> en </t>
    </r>
    <r>
      <rPr>
        <i/>
        <sz val="14"/>
        <color theme="1"/>
        <rFont val="Corbel"/>
      </rPr>
      <t>D) onderhoudskosten</t>
    </r>
    <r>
      <rPr>
        <sz val="14"/>
        <color theme="1"/>
        <rFont val="Corbel"/>
      </rPr>
      <t xml:space="preserve"> is per autosegment afzonderlijke data gebruikt en wordt er niet gerekend met gemiddelden. Dit om zo goed mogelijk de karakterstieken van het  voertuig in een desbetreffende autosegment mee te nemen in de berekening. Onderstaand zijn overigens wel gemiddelde waarden gepresenteerd om zo tot een overzichtelijke data-input te komen.</t>
    </r>
  </si>
  <si>
    <t xml:space="preserve">RDW, Het nieuwe Rijden (2018), Brandstofverbruiksboekje </t>
  </si>
  <si>
    <t>(8)</t>
  </si>
  <si>
    <t>MRB belasting berekenen</t>
  </si>
  <si>
    <t xml:space="preserve">Kleine taxbius - Diesel </t>
  </si>
  <si>
    <t xml:space="preserve">Diesel </t>
  </si>
  <si>
    <t>https://www.autowereld.nl/renault/kangoo/l1-comfort-tce-115-edc-eu6-25411343/details.html</t>
  </si>
  <si>
    <t>Gemiddelde kleine taxibus</t>
  </si>
  <si>
    <t>https://www.cdn.renault.com/content/dam/Renault/NL/prijslijst/kangoo.pdf</t>
  </si>
  <si>
    <t>€/maand</t>
  </si>
  <si>
    <t>De verbruikscijfers (L/100 km) staan in de bovenstaande tabel.</t>
  </si>
  <si>
    <t xml:space="preserve">G) Onderhoudskosten </t>
  </si>
  <si>
    <t>H) Verzekering &amp; schade</t>
  </si>
  <si>
    <t>I) Subsidie duurzaam transport</t>
  </si>
  <si>
    <t>J) Bijtelling (als de auto ook privé wordt ingezet)</t>
  </si>
  <si>
    <t>Nvt voor doelgroepenvervoer</t>
  </si>
  <si>
    <t>Schadekosten Omnibuzz studie</t>
  </si>
  <si>
    <t>Ingecalculeerde schadekosten:</t>
  </si>
  <si>
    <t>Rolstoelbus</t>
  </si>
  <si>
    <t>Nissan e-NV200 Evalia</t>
  </si>
  <si>
    <t>BPM belasting van toepassing</t>
  </si>
  <si>
    <t>5) Doelgroepenvervoer</t>
  </si>
  <si>
    <t>Op dit moment is taxi- en doelgroepenvervoer vrijgesteld van BPM belasting.  belasting dienen te betalen.</t>
  </si>
  <si>
    <t>Verwachting is dat in 2020 de belastingvrijstelling opgeheven wordt en voertuigen die uitstoot veroorzaken wel BPM</t>
  </si>
  <si>
    <t>* Indien geen (of weinig) auto's op de markt zijn voor het bepaalde segment en type brandstof dan zijn de cellen leeggelaten. Voor de segmenten bestelbussen en kleine, grote en rolstoelbussen is diesel dominant (modellen op de markt &amp; waar vervoerders mee rijden), daarom is benzine buiten beschouwing gelaten.</t>
  </si>
  <si>
    <t>Onderhoud auto ANWB per km_fossiel</t>
  </si>
  <si>
    <t>Onderhoud banden ANWB per km_fossiel</t>
  </si>
  <si>
    <t>Onderhoudskosten ANWB per km_fossiel</t>
  </si>
  <si>
    <t>Aangenomen is dat de voertuigen gebouwd en nieuw zijn aangeschaft op januari 2018  met 0 km op de teller, geen extra opties en 5 jaar in bezit. De meest verkochte auto per segment is gekozen, laagst mogelijk aantal deuren, automatisch indien mogelijk, provincie Noord-Holland</t>
  </si>
  <si>
    <t>Onderhoud auto ANWB per km_elektrisch</t>
  </si>
  <si>
    <t>Onderhoud banden ANWB per km_elektrisch</t>
  </si>
  <si>
    <t>Onderhoudskosten ANWB per km_elektrisch</t>
  </si>
  <si>
    <t>Taxibus klein</t>
  </si>
  <si>
    <t>Taxibus groot</t>
  </si>
  <si>
    <t>Onderhoud auto per km_fossiel</t>
  </si>
  <si>
    <t>Onderhoud banden per km_fossiel</t>
  </si>
  <si>
    <t>Onderhoudskosten per km_fossiel</t>
  </si>
  <si>
    <t>Onderhoud auto per km_elektrisch</t>
  </si>
  <si>
    <t>Onderhoud banden per km_elektrisch</t>
  </si>
  <si>
    <t>Onderhoudskosten per km_elektrisch</t>
  </si>
  <si>
    <t>Studie Omnibuzz 2018 (project 1835)</t>
  </si>
  <si>
    <t>Onderhoudskosten laag kilometrage</t>
  </si>
  <si>
    <t>Onderhoudskosten  hoog kilometrage</t>
  </si>
  <si>
    <t>Onderhoud laag en hoog</t>
  </si>
  <si>
    <t>1. Onderhoudskosten - zakelijk (20.000 km/jaar; 5 jaar afschrijving)</t>
  </si>
  <si>
    <t>Taxibus klein (4+1 personen)</t>
  </si>
  <si>
    <t>Taxibus groot (8+1 personen)</t>
  </si>
  <si>
    <t xml:space="preserve">Taxibus groot (8+1 personen) </t>
  </si>
  <si>
    <t>8+1 personen</t>
  </si>
  <si>
    <t>2-3 rolstoel / 5-7 personen</t>
  </si>
  <si>
    <t>&gt; 75.000 km</t>
  </si>
  <si>
    <t>&gt; 75.000km</t>
  </si>
  <si>
    <t>0 - 10000</t>
  </si>
  <si>
    <t>10.000 - 20000</t>
  </si>
  <si>
    <t>20.000 - 30000</t>
  </si>
  <si>
    <t>&gt;75.0000</t>
  </si>
  <si>
    <t>30.000 - 75.000</t>
  </si>
  <si>
    <t>1) Renault Kangoo Tourer TCe 115 EDC EU6</t>
  </si>
  <si>
    <t xml:space="preserve">2) Peugeot Partner Tepee 1.6HDI </t>
  </si>
  <si>
    <t xml:space="preserve">3) Volkswagen Caddy </t>
  </si>
  <si>
    <t>4) Mercedes Benz Citan Tourer</t>
  </si>
  <si>
    <t xml:space="preserve">Mercedes Benz Vito Tourer </t>
  </si>
  <si>
    <t>Volkswagen Transporter Kombi</t>
  </si>
  <si>
    <t xml:space="preserve">Rolstoelbussen - Diesel </t>
  </si>
  <si>
    <t xml:space="preserve">Ombouwkosten rolstoel </t>
  </si>
  <si>
    <t>Mercedes Benz Sprinter Rolstoel</t>
  </si>
  <si>
    <t xml:space="preserve">Volkswagen Crafter Rolstoel </t>
  </si>
  <si>
    <t>Gemiddelde grote taxibus</t>
  </si>
  <si>
    <t>Gemiddelde rolstoelbus</t>
  </si>
  <si>
    <t>https://www.autowereld.com/nieuwe-autos/prijzen-specificaties/peugeot/partner-tepee-119253/16hdi-blue-hdi-active-74kw-startstop/id/4236880</t>
  </si>
  <si>
    <t>https://www.mercedes-benz.nl/content/netherlands/mpc/mpc_netherlands_website/nl/home_mpc/van/home/new_vans/Prijslijsten_brochures_overzicht.html</t>
  </si>
  <si>
    <t>Voor de andere bronnen, zie het tabblad _personenauto's</t>
  </si>
  <si>
    <t>https://www.mercedes-benz.nl/vans/nl/vito/tourer-commercial</t>
  </si>
  <si>
    <t>Netto catalogusprijs incl. ombouwkosten
 (rolstoel + elektrisch)</t>
  </si>
  <si>
    <t>Studie Omnibuzz (1835)</t>
  </si>
  <si>
    <t>Schade</t>
  </si>
  <si>
    <t xml:space="preserve">Schadekosten [€ / maand] </t>
  </si>
  <si>
    <t xml:space="preserve">Taxibus klein </t>
  </si>
  <si>
    <t xml:space="preserve">Taxibus groot </t>
  </si>
  <si>
    <t>Rolstoelbussen: restwaarde op ombouw rolstoel, maar niet op ombouw naar EV (over ca. 1-2 jaar zijn er naar verwachting "off the shelf" elektrisch modellen beschikbaar, deze restwaarde is aangehouden.</t>
  </si>
  <si>
    <t>Aangenomen is  dat het verbruik van ombouw en "off the shelf" grote taxibussen en rolstoelbussen gelijk is.</t>
  </si>
  <si>
    <t>Elektriciteit - kantoor / remise</t>
  </si>
  <si>
    <t>€/kg</t>
  </si>
  <si>
    <t>CNG (dec 2018)</t>
  </si>
  <si>
    <t>https://tamoil.nl/tamoil-adviesprijzen</t>
  </si>
  <si>
    <t>Tamoil (2018), adviesprijzen brandstoffen</t>
  </si>
  <si>
    <t>Ombouwkosten diesel naar elektrisch</t>
  </si>
  <si>
    <t>CNG (aardgas)</t>
  </si>
  <si>
    <t>bio-CNG (groengas)</t>
  </si>
  <si>
    <t>Emissiefactor CNG gebruikt in berekening</t>
  </si>
  <si>
    <t xml:space="preserve">4. Recht op btw-verrekening </t>
  </si>
  <si>
    <t xml:space="preserve">6. BPM-belasting </t>
  </si>
  <si>
    <t>Type CNG</t>
  </si>
  <si>
    <t>bio-CNG</t>
  </si>
  <si>
    <t>CNG</t>
  </si>
  <si>
    <t xml:space="preserve">CO2 uitstoot TTW </t>
  </si>
  <si>
    <t>CBS emissiefactor elektriciteit integrale methode, 2016</t>
  </si>
  <si>
    <t xml:space="preserve">5. Recht op MIA subsidie </t>
  </si>
  <si>
    <t>Voertuigsegment</t>
  </si>
  <si>
    <t>Factor brandstofverbruik CNG voertuig vs. diesel voertuig</t>
  </si>
  <si>
    <t>Verbruik diesel</t>
  </si>
  <si>
    <t>Verbruik CNG</t>
  </si>
  <si>
    <t>L / 100 km</t>
  </si>
  <si>
    <t>kg / 100 km</t>
  </si>
  <si>
    <t>[kg / 100km]</t>
  </si>
  <si>
    <t>Extra aanschafprijs CNG</t>
  </si>
  <si>
    <t>[€ / kg]</t>
  </si>
  <si>
    <t>CNG toevoeging aan het model</t>
  </si>
  <si>
    <t>1. Brandstofverbruik CNG voertuigen</t>
  </si>
  <si>
    <t>2. Extra investeringskosten CNG t.o.v. benzine</t>
  </si>
  <si>
    <t>3. Onderhoudskosten</t>
  </si>
  <si>
    <t>Paul van Hooff, Significant</t>
  </si>
  <si>
    <t xml:space="preserve">Bron: </t>
  </si>
  <si>
    <t xml:space="preserve">Onderhoudskosten CNG voertuigen zijn vergelijkbaar met benzine voertuigen. </t>
  </si>
  <si>
    <t>Waarvan_CNG</t>
  </si>
  <si>
    <t>Aantal CNG voertuigen (km/jaar)</t>
  </si>
  <si>
    <t>Input rapport CE Delft &amp; Paul van Hooff Significant</t>
  </si>
  <si>
    <t>Ombouw naar CNG direct bij levering</t>
  </si>
  <si>
    <t>Ombouw achteraf</t>
  </si>
  <si>
    <t>Tussen verschillende voertuigtypen zijn er geen grote verschillen in (ombouw)kosten.</t>
  </si>
  <si>
    <t>Branstofverbruik is vergelijkbaar met een zuinige diesel</t>
  </si>
  <si>
    <t>Onderhoudskosten voor benzine, diesel en groengas voertuien liggen in dezelfde orde van grootte. Dezelfde onderhoudskosten zijn gehanteerd.</t>
  </si>
  <si>
    <t>CNG - aardgas &amp; groengas</t>
  </si>
  <si>
    <t>Kleine taxbius - Benzine</t>
  </si>
  <si>
    <t>Rolstoelbus - Benzine</t>
  </si>
  <si>
    <t>Bron: Autorai: https://autorai.nl/feiten-en-fabels-over-rijden-op-aardgas/</t>
  </si>
  <si>
    <t>Relatief klein segment, daarom buiten beschouwing gelaten</t>
  </si>
  <si>
    <t>Rente% financieringskosten</t>
  </si>
  <si>
    <t>Netto catalogusprijs incl. ombouwkosten
 rolstoel &amp; elektrisch (wanneer van toepassing)</t>
  </si>
  <si>
    <t>Elektriciteit - snelladen</t>
  </si>
  <si>
    <t xml:space="preserve">Mercedez Benz Sprinter </t>
  </si>
  <si>
    <t>Pompprijs (incl. BTW en accijns)</t>
  </si>
  <si>
    <t>Prijs (excl. BTW incl. accijns)</t>
  </si>
  <si>
    <t xml:space="preserve">     Indien in de cel C10 "btw-verrekening" ja, dan wordt er gerekend met de brandstofprijs excl. BTW (en incl. accijns)</t>
  </si>
  <si>
    <t>Nieuw</t>
  </si>
  <si>
    <t>Netto capex</t>
  </si>
  <si>
    <t>http://www.rijtesten.nl/gegevens/1206/mercedes-benz-vito--114-cdi-7g-tronic-dubbelcabine-lang</t>
  </si>
  <si>
    <t>http://www.rijtesten.nl/gegevens/1132/volkswagen-transporter-20-tdi-dsg-4motion-dubbele-cabine-l2-highline</t>
  </si>
  <si>
    <t>Handmatige invoer. Benzine voertuigen zijn minder zuinig dan diesel voertuigen.</t>
  </si>
  <si>
    <t>I) Ombouw kosten naar rolstoelbus</t>
  </si>
  <si>
    <t>Aannames &amp; Toelichting</t>
  </si>
  <si>
    <t>Kleine taxibus / bestelbus met laadklep?</t>
  </si>
  <si>
    <t>Grote taxi / bestelbus met laadklep?</t>
  </si>
  <si>
    <t>Fiat Ducato rolstoel</t>
  </si>
  <si>
    <t>Factor toename brandstofverbruik diesel --&gt; benzine</t>
  </si>
  <si>
    <t xml:space="preserve">Bestelbus klein </t>
  </si>
  <si>
    <t xml:space="preserve">Bestelbus middel </t>
  </si>
  <si>
    <t>MRB belasting van toepassing</t>
  </si>
  <si>
    <t>Geen MRB voor taxibusjes, daarom ook geen categorie binnen de huidige MRB berekeningstool vn de belastingdienst.</t>
  </si>
  <si>
    <t>Voor bestelbussen (ondernemer) is er geen onderscheid tussen brandstoftype en MRB belasting die betaald dient te worden.</t>
  </si>
  <si>
    <t>Provincie keuze Noord-Holland</t>
  </si>
  <si>
    <t>Ja, indien vennootschapsbelasting wordt betaald.</t>
  </si>
  <si>
    <t>ja</t>
  </si>
  <si>
    <t>nee</t>
  </si>
  <si>
    <t>Taxibus middel</t>
  </si>
  <si>
    <t>Rentekosten t.b.v. benodigde financiering</t>
  </si>
  <si>
    <t>Financierings- kosten [€/jaar], excl. BTW</t>
  </si>
  <si>
    <t xml:space="preserve">CNG = aardgas, bio-CNG = groengas. De keuze van het type CNG heeft impact op de CO2 uistoot. </t>
  </si>
  <si>
    <t>Gemiddeld verbruik segmenten personenauto's - CNG</t>
  </si>
  <si>
    <t>kg/100 km</t>
  </si>
  <si>
    <t>km/kg</t>
  </si>
  <si>
    <t>J) CO2 prijs</t>
  </si>
  <si>
    <t>CO2 prijs</t>
  </si>
  <si>
    <t>€/ton</t>
  </si>
  <si>
    <t>Uitgaande van de meeste recente CO2 prijs (zijn sterke schommelingen): 2020  €25 / ton CO2</t>
  </si>
  <si>
    <t>Energeia (sept, 2018). Waar het recht om een ton CO2 uit te stoten begin dit jaar nog ongeveer €6 kostte ligt de prijs nu op €22.</t>
  </si>
  <si>
    <t>https://energeia.nl/fd-artikel/40072313/sterke-stijging-co2-prijs-is-signaal-dat-het-systeem-werkt</t>
  </si>
  <si>
    <t>GroenLinks (jan, 2019). Wetsvoorstel CO2 beprijzing</t>
  </si>
  <si>
    <t>https://www.duurzaambedrijfsleven.nl/energie/30889/groenlinks-co2-beprijzing</t>
  </si>
  <si>
    <t>Monitarisatie CO2 uitstoot</t>
  </si>
  <si>
    <t xml:space="preserve">Kosten totale CO2 uitstoot (WTW) </t>
  </si>
  <si>
    <t xml:space="preserve">Kosten totale CO2 besparing (WTW) </t>
  </si>
  <si>
    <t>Subtotaal</t>
  </si>
  <si>
    <r>
      <t xml:space="preserve">1. Berekeningswijze jaarlijkse afschrijving: </t>
    </r>
    <r>
      <rPr>
        <i/>
        <sz val="14"/>
        <color theme="1"/>
        <rFont val="Corbel"/>
      </rPr>
      <t>(nieuwprijs voertuig(en) - restwaarde voertuig(en)) / looptijd</t>
    </r>
  </si>
  <si>
    <r>
      <t xml:space="preserve">     Het rentepercentage zoals aangegeven bij </t>
    </r>
    <r>
      <rPr>
        <i/>
        <sz val="14"/>
        <color theme="1"/>
        <rFont val="Corbel"/>
      </rPr>
      <t>invoerparameter 12</t>
    </r>
  </si>
  <si>
    <t>CO2 g/km (1)</t>
  </si>
  <si>
    <t>Br. l/100 km (1)</t>
  </si>
  <si>
    <t xml:space="preserve">Leeg gewicht (kg) (5) </t>
  </si>
  <si>
    <t>Prijs excl. BTW/BPM (€), catalogusprijs netto (4)</t>
  </si>
  <si>
    <t>BPM (€) (4)</t>
  </si>
  <si>
    <t>Catalogusprijs (bruto) (4)</t>
  </si>
  <si>
    <t>MRB (€/maand) (8)</t>
  </si>
  <si>
    <t>Zuinighuidscategorie (1)</t>
  </si>
  <si>
    <t>Actieradius [km] (1)</t>
  </si>
  <si>
    <t>Accucapaciteit [kWh](1)</t>
  </si>
  <si>
    <t>kWh/100 km (1)</t>
  </si>
  <si>
    <t>Catalogusprijs (bruto) (2)</t>
  </si>
  <si>
    <t>Actieradius [km]* (1)</t>
  </si>
  <si>
    <t>kWh/100 km* (1)</t>
  </si>
  <si>
    <t>Opel/Vauxhall</t>
  </si>
  <si>
    <t>A6 / A6 allroad / S6 / RS6</t>
  </si>
  <si>
    <t>S90 / V90</t>
  </si>
  <si>
    <t>A8 / S8</t>
  </si>
  <si>
    <t>6 à 8+1 personen</t>
  </si>
  <si>
    <t>Bestelbus klein</t>
  </si>
  <si>
    <t>Laadruimte kleiner dan 4,5 m3</t>
  </si>
  <si>
    <t>Bestelbus middel</t>
  </si>
  <si>
    <t>Laadruimte tussen 4,5 en 7 m3</t>
  </si>
  <si>
    <t>Laadruimte tussen de 7 en 15 m3</t>
  </si>
  <si>
    <t>Taxibus Groot</t>
  </si>
  <si>
    <t>K</t>
  </si>
  <si>
    <t>Upper MPV's</t>
  </si>
  <si>
    <t xml:space="preserve"> &lt; 6+1 personen</t>
  </si>
  <si>
    <t>&gt; 6 à 8+1 personen</t>
  </si>
  <si>
    <t>Benzine, Diesel en/of CNG</t>
  </si>
  <si>
    <t>Tesla Model 3</t>
  </si>
  <si>
    <t>Renault Espace, Ford S-Max</t>
  </si>
  <si>
    <t>Nog geen EV alternatief</t>
  </si>
  <si>
    <t>Renault Zoe, BMWi3, Mini Electric</t>
  </si>
  <si>
    <t>Hyundai Kona, Kia e-Niro, Soul EV</t>
  </si>
  <si>
    <t>Nissan E-NV200 Evalia, Renault Kangoo Z.E. pers. (Maxi)</t>
  </si>
  <si>
    <t>MB Citan Tourer, VW Caddy Combi</t>
  </si>
  <si>
    <t>Ford Fiesta, VW Polo, Opel Corsa</t>
  </si>
  <si>
    <t>VW e-Golf, Hyundai IONIQ electric, Nissan Leaf 2, Opel Ampera-e</t>
  </si>
  <si>
    <t>Volvo S90, BMW 5 Serie, MB E-Klasse</t>
  </si>
  <si>
    <t>Audi A8, MB S-klasse, Jaguar XJ</t>
  </si>
  <si>
    <t>Renault Scénic, VW Touran, Opel Zafira Tourer</t>
  </si>
  <si>
    <t xml:space="preserve">Jaguar I-Pace, Tesla Model X, Audi e-tron 55 quatro, MB EQC </t>
  </si>
  <si>
    <t>MB Vito Tourer, VW Transporter Kombi, FordTourneo, Opel Vivaro</t>
  </si>
  <si>
    <t>Mercedes-Benz Vito, Volkswagen Transporter, Ford Transit</t>
  </si>
  <si>
    <t>MB Sprinter, VW Crafter, Fiat Ducato , Renault Master</t>
  </si>
  <si>
    <t>MB e-Sprinter, VW e-Crafter, Renault Master Z.E., SAIC Maxus EV80</t>
  </si>
  <si>
    <t>2-3 rolstoel / 5 à 8+1 personen</t>
  </si>
  <si>
    <t xml:space="preserve">MB Sprinter, VW Crafter, Fiat Ducato (ombouw rolstoel) </t>
  </si>
  <si>
    <t>MB Sprinter Tourer, VW Crafter Kombi, Fiat Ducato  Combi</t>
  </si>
  <si>
    <t>Producer</t>
  </si>
  <si>
    <t>Availability</t>
  </si>
  <si>
    <t>Seats (#)</t>
  </si>
  <si>
    <t>Massa leeg (kg)</t>
  </si>
  <si>
    <t>Volume storage space (L)</t>
  </si>
  <si>
    <t>Volume storage space max (L)</t>
  </si>
  <si>
    <t>Power (kW)</t>
  </si>
  <si>
    <t>Power (pk)</t>
  </si>
  <si>
    <t>Torque (Nm)</t>
  </si>
  <si>
    <t>Top speed (km/h)</t>
  </si>
  <si>
    <t>Drive</t>
  </si>
  <si>
    <t>Towbar possible? (yes/no)</t>
  </si>
  <si>
    <t>Towing weight without brake</t>
  </si>
  <si>
    <t>Towing weight with brake</t>
  </si>
  <si>
    <t>Battery capacity (kWh)</t>
  </si>
  <si>
    <t>Useable battery capacity (kWh)</t>
  </si>
  <si>
    <t>Range NEDC (km)</t>
  </si>
  <si>
    <t>Range WLTP (km)</t>
  </si>
  <si>
    <t>Range EVDB (km)</t>
  </si>
  <si>
    <t>Gasoline equivalent EVDB (L/100km)</t>
  </si>
  <si>
    <t>Charging speed regular charging (kW)</t>
  </si>
  <si>
    <t>Fast charging fucitonality? (yes/no)</t>
  </si>
  <si>
    <t>Charging speed fast charging (kW)</t>
  </si>
  <si>
    <t>AC/DC</t>
  </si>
  <si>
    <t>(fast) charging connection</t>
  </si>
  <si>
    <t>Charging fast slow charging; 80% ca (min)</t>
  </si>
  <si>
    <t>Charging time slow charing; 80% cap (min)</t>
  </si>
  <si>
    <t>Catalogsprijs (excl. BTW)</t>
  </si>
  <si>
    <t xml:space="preserve">Citroen </t>
  </si>
  <si>
    <t>C-Zero</t>
  </si>
  <si>
    <t>Back</t>
  </si>
  <si>
    <t>No</t>
  </si>
  <si>
    <t>yes</t>
  </si>
  <si>
    <t>Type 1 &amp; CHAdeMO</t>
  </si>
  <si>
    <t>iOn</t>
  </si>
  <si>
    <t>e-UP!</t>
  </si>
  <si>
    <t>Front</t>
  </si>
  <si>
    <t>Type 2 &amp; CCS</t>
  </si>
  <si>
    <t>Smart</t>
  </si>
  <si>
    <t>EQ fortwo cabrio</t>
  </si>
  <si>
    <t>no</t>
  </si>
  <si>
    <t>AC</t>
  </si>
  <si>
    <t xml:space="preserve">Type 2   </t>
  </si>
  <si>
    <t>EQ fortwo coupe</t>
  </si>
  <si>
    <t xml:space="preserve">AC </t>
  </si>
  <si>
    <t>EQ forfour</t>
  </si>
  <si>
    <t>Zoe R90</t>
  </si>
  <si>
    <t>Zoe R110</t>
  </si>
  <si>
    <t>i3 120Ah</t>
  </si>
  <si>
    <t>i3s 120Ah</t>
  </si>
  <si>
    <t>Zoe Gen ZE50 R135</t>
  </si>
  <si>
    <t>Yes</t>
  </si>
  <si>
    <t>Zoe Gen ZE50 R110</t>
  </si>
  <si>
    <t>Mini</t>
  </si>
  <si>
    <t>Electric</t>
  </si>
  <si>
    <t>Peugeot*</t>
  </si>
  <si>
    <t>e-208</t>
  </si>
  <si>
    <t>Sono</t>
  </si>
  <si>
    <t>Sion</t>
  </si>
  <si>
    <t>IONIQ Electric</t>
  </si>
  <si>
    <t>e-Golf</t>
  </si>
  <si>
    <t>Opel</t>
  </si>
  <si>
    <t>Ampera-e</t>
  </si>
  <si>
    <t>Leaf</t>
  </si>
  <si>
    <t>Type 2 &amp; CHAdeMO</t>
  </si>
  <si>
    <t>Leaf e+</t>
  </si>
  <si>
    <t>IONIQ Gen 2 Electric</t>
  </si>
  <si>
    <t>Mercedes*</t>
  </si>
  <si>
    <t>EQA</t>
  </si>
  <si>
    <t>AWD</t>
  </si>
  <si>
    <t>Model 3 Long Range Dual Motor</t>
  </si>
  <si>
    <t>Model 3 Long Range Performance</t>
  </si>
  <si>
    <t>Type 2 &amp; Supercharger</t>
  </si>
  <si>
    <t>Lucid</t>
  </si>
  <si>
    <t>Air</t>
  </si>
  <si>
    <t>Audi*</t>
  </si>
  <si>
    <t>e-tron GT</t>
  </si>
  <si>
    <t>Taycan - Mission E</t>
  </si>
  <si>
    <t>Kangoo Maxi ZE 33</t>
  </si>
  <si>
    <t xml:space="preserve">e-NV200 Evalia </t>
  </si>
  <si>
    <t>Kia</t>
  </si>
  <si>
    <t>Soul EV</t>
  </si>
  <si>
    <t>Kona Electric 64 kWh</t>
  </si>
  <si>
    <t>e-Niro 64 kWh</t>
  </si>
  <si>
    <t>Soul EV 64 kWh</t>
  </si>
  <si>
    <t>Kona Electric 39 kWh</t>
  </si>
  <si>
    <t>e-Niro 39 kWh</t>
  </si>
  <si>
    <t>DS</t>
  </si>
  <si>
    <t>3 Crossback E-tense</t>
  </si>
  <si>
    <t>I-Pace</t>
  </si>
  <si>
    <t>e-tron 55 quatro</t>
  </si>
  <si>
    <t>Mercedes</t>
  </si>
  <si>
    <t>EQC 400 4Matic</t>
  </si>
  <si>
    <t>e-tron Sportback</t>
  </si>
  <si>
    <t>BMW*</t>
  </si>
  <si>
    <t>iX3</t>
  </si>
  <si>
    <t>MG</t>
  </si>
  <si>
    <t>ZS EV</t>
  </si>
  <si>
    <t>Volvo*</t>
  </si>
  <si>
    <t>XC40 Electric</t>
  </si>
  <si>
    <t>Tesla*</t>
  </si>
  <si>
    <t>model Y standard range</t>
  </si>
  <si>
    <t>e-Up! Gen 2</t>
  </si>
  <si>
    <t>Skoda</t>
  </si>
  <si>
    <t>CITIGOe IV</t>
  </si>
  <si>
    <t>Seat</t>
  </si>
  <si>
    <t>Mii Electric</t>
  </si>
  <si>
    <t>Font</t>
  </si>
  <si>
    <t>Polestar</t>
  </si>
  <si>
    <t>Seat*</t>
  </si>
  <si>
    <t>el-Born</t>
  </si>
  <si>
    <t>Lightyear*</t>
  </si>
  <si>
    <t>One</t>
  </si>
  <si>
    <t>Opel*</t>
  </si>
  <si>
    <t>e-Corsa</t>
  </si>
  <si>
    <t>e-2008 SUV</t>
  </si>
  <si>
    <t xml:space="preserve">Skoda* </t>
  </si>
  <si>
    <t>Vision IV</t>
  </si>
  <si>
    <t>Volkswagen*</t>
  </si>
  <si>
    <t>ID.3 mid range</t>
  </si>
  <si>
    <t>Q4 e-tron</t>
  </si>
  <si>
    <t>ID.3 standard range</t>
  </si>
  <si>
    <t>Porsche*</t>
  </si>
  <si>
    <t>Taycan Cross Turismo</t>
  </si>
  <si>
    <t>ID.3 long range</t>
  </si>
  <si>
    <t>model Y long range</t>
  </si>
  <si>
    <t>model Y long range dual motor</t>
  </si>
  <si>
    <t>model Y long range performance</t>
  </si>
  <si>
    <t>Roadster</t>
  </si>
  <si>
    <t>Lucid*</t>
  </si>
  <si>
    <t>https://ev-database.nl/vergelijk/nieuwste-elektrische-auto</t>
  </si>
  <si>
    <t>Vragen Dreas:</t>
  </si>
  <si>
    <t>Welke range is gebruikt?</t>
  </si>
  <si>
    <t>General characteristics</t>
  </si>
  <si>
    <t>Weight, dimensions and performances</t>
  </si>
  <si>
    <t>EV specifications</t>
  </si>
  <si>
    <t>Financial &amp; warranty specifications</t>
  </si>
  <si>
    <t xml:space="preserve">Battery capacity </t>
  </si>
  <si>
    <t>Range</t>
  </si>
  <si>
    <t>Enegy usage (kWh or L/100km)</t>
  </si>
  <si>
    <t xml:space="preserve">Charging </t>
  </si>
  <si>
    <t>Battery weight (kg)</t>
  </si>
  <si>
    <t>Battery Type</t>
  </si>
  <si>
    <t xml:space="preserve">NEDC </t>
  </si>
  <si>
    <t xml:space="preserve">WLTP </t>
  </si>
  <si>
    <t>Price (incl. BTW)</t>
  </si>
  <si>
    <t>Segment K</t>
  </si>
  <si>
    <t>Geen BEV model beschikbaar</t>
  </si>
  <si>
    <t>Gemiddelde segment A</t>
  </si>
  <si>
    <t>Gemiddelde segment B</t>
  </si>
  <si>
    <t>Gemiddelde segment C</t>
  </si>
  <si>
    <t>Gemiddelde segment D</t>
  </si>
  <si>
    <t>Gemiddelde segment E</t>
  </si>
  <si>
    <t>Gemiddelde segment J</t>
  </si>
  <si>
    <t>Gemiddelde segment L</t>
  </si>
  <si>
    <t>Gemiddelde segment M</t>
  </si>
  <si>
    <t>https://www.vwbedrijfswagens.nl/nl/over-volkswagen/actueel/nieuws2018/volkswagen-bedrijfswagens-gaat-elektrisch-met-de-abt-e-caddy-en-.html</t>
  </si>
  <si>
    <t>CCS Combo Type 2</t>
  </si>
  <si>
    <t>Small (&lt; 4.5 m3 storage space)</t>
  </si>
  <si>
    <t>Single cabine</t>
  </si>
  <si>
    <t>Concept</t>
  </si>
  <si>
    <t>ABT e-Caddy</t>
  </si>
  <si>
    <t>Volkswagen *</t>
  </si>
  <si>
    <t>https://www.toyota.nl/over-toyota/toyota-world/Toyota-PROACE-elektric-modellen.json
https://zerauto.nl/toyota-proace-electric-komt-in-meerdere-varianten/</t>
  </si>
  <si>
    <t>Proace City Electric</t>
  </si>
  <si>
    <t>Toyota *</t>
  </si>
  <si>
    <t>https://streetscooter-nederland.nl/upload/1/pdf/leaflet-work-web.pdf</t>
  </si>
  <si>
    <t xml:space="preserve">Type 2 Mennekes  </t>
  </si>
  <si>
    <t>n.a.</t>
  </si>
  <si>
    <t>Litium-ion</t>
  </si>
  <si>
    <t>In production</t>
  </si>
  <si>
    <t>Work Pure 20 kWh</t>
  </si>
  <si>
    <t>StreetScooter</t>
  </si>
  <si>
    <t>Work Pick-up 20 kWh</t>
  </si>
  <si>
    <t>Work Box 20 kWh</t>
  </si>
  <si>
    <t>Work Pure 40 kWh</t>
  </si>
  <si>
    <t>Work Pick-up 40 kWh</t>
  </si>
  <si>
    <t>Work Box 40 kWh</t>
  </si>
  <si>
    <t>1218 / 1045 / 1185</t>
  </si>
  <si>
    <t>1810 / 1836</t>
  </si>
  <si>
    <t>Kangoo Maxi Z.E. 33 gesloten bestel</t>
  </si>
  <si>
    <t>1805 / 1844</t>
  </si>
  <si>
    <t>Kangoo Z.E. 33 gesloten bestel</t>
  </si>
  <si>
    <t>https://www.nissan.nl/voertuigen/nieuw/e-nv200/technische-gegevens.html</t>
  </si>
  <si>
    <t xml:space="preserve">8 jaar/160.000 km garantie op de batterij capaciteit;
capaciteitsniveau 9 (van de 12) </t>
  </si>
  <si>
    <t>1500 / 1220</t>
  </si>
  <si>
    <t>e-NV200 Van</t>
  </si>
  <si>
    <t>Medium (4.5 -  7 m3)</t>
  </si>
  <si>
    <t>ABT e-Transporter 74,6 KWh gesloten bestel</t>
  </si>
  <si>
    <t>ABT e-Transporter 37,3 KWh gesloten bestel</t>
  </si>
  <si>
    <t>Proace Electric Compact Chassis-cabine</t>
  </si>
  <si>
    <t>Double cabine</t>
  </si>
  <si>
    <t>Proace Electric Compact Double cabine</t>
  </si>
  <si>
    <t>Proace Electric Compact Long Woker</t>
  </si>
  <si>
    <t>Proace Electric Compact Woker</t>
  </si>
  <si>
    <t>https://streetscooter-nederland.nl/upload/1/pdf/leaflet-work-l-web.pdf</t>
  </si>
  <si>
    <t>Work L Pure 40 kWh</t>
  </si>
  <si>
    <t>Work L Pick-up 40 kWh</t>
  </si>
  <si>
    <t>Work L Box 40 kWh</t>
  </si>
  <si>
    <t>https://www.bestelauto.nl/nieuws/fotos-maxus-ev30-steelt-de-show-in-birmingham/13150/</t>
  </si>
  <si>
    <t>600 - 1000</t>
  </si>
  <si>
    <t>Maxus EV30 85 kWh</t>
  </si>
  <si>
    <t>SAIC *</t>
  </si>
  <si>
    <t>Maxus EV30 35 kWh</t>
  </si>
  <si>
    <t>Mercedes-Benz*</t>
  </si>
  <si>
    <t>https://www.mercedes-benz.nl/vans/nl/vito/e-vito-panel-van</t>
  </si>
  <si>
    <t>8 years / 100.000 km + 4 years no O&amp;M costs</t>
  </si>
  <si>
    <t>e-Vito L3 (extra long) gesloten bestel</t>
  </si>
  <si>
    <t>e-Vito L2 (long) gesloten bestel</t>
  </si>
  <si>
    <t xml:space="preserve">Brochure VW e-Crafter (jan 2019) + Prijslijst VW e-Crafter (jan 2019) </t>
  </si>
  <si>
    <t xml:space="preserve">8 years / 240.000 km </t>
  </si>
  <si>
    <t xml:space="preserve">Large (&gt; 7m3 storage space) </t>
  </si>
  <si>
    <t>e-Crafter 4.25t L3H3</t>
  </si>
  <si>
    <t>e-Crafter 3.5t L3H3</t>
  </si>
  <si>
    <t>https://www.fleet.be/alcomotive-importeert-het-merk-maxus-via-nieuwe-organisatie/</t>
  </si>
  <si>
    <t>Maxus EV90 L3H3 72 kWh</t>
  </si>
  <si>
    <t>Maxus EV90 L2H3 52 kWh</t>
  </si>
  <si>
    <t>https://www.maxusev80.com/
https://www.autoweek.nl/autonieuws/artikel/gereden-maxus-ev80/</t>
  </si>
  <si>
    <t>Lithium-ion EV battery 5 years / 100,000 km – whichever comes first</t>
  </si>
  <si>
    <t>Lithium-ion Phophate</t>
  </si>
  <si>
    <t>Maxus EV80 H2 chassis-cab 3.5t</t>
  </si>
  <si>
    <t xml:space="preserve">SAIC </t>
  </si>
  <si>
    <t>Maxus EV80 H3 High Roof 3.5t</t>
  </si>
  <si>
    <t>Maxus EV80 H2 Middle Roof 3.5t</t>
  </si>
  <si>
    <t>mid 2018</t>
  </si>
  <si>
    <t>Master Z.E. 33 kWh chassis-cabine T31 L2H1</t>
  </si>
  <si>
    <t>Peugeot / Citroën (PSA)*</t>
  </si>
  <si>
    <t>Not available</t>
  </si>
  <si>
    <t>Citroën</t>
  </si>
  <si>
    <t>https://professional.peugeot.nl/partner-electric-bedrijfsauto/</t>
  </si>
  <si>
    <t>Partner Tepee Electric</t>
  </si>
  <si>
    <t>Master Z.E. 33 kWh gesloten bestel T31 L3H2</t>
  </si>
  <si>
    <t>Master Z.E. 33 kWh gesloten bestel T31 L2H2</t>
  </si>
  <si>
    <t>Master Z.E. 33 kWh gesloten bestel T31 L1H2</t>
  </si>
  <si>
    <t>Master Z.E. 33 kWh gesloten bestel T31 L1H1</t>
  </si>
  <si>
    <t>https://zerauto.nl/mercedes-benz-esprinter-test/
https://www.mountox.com/elektrische-automodellen/mercedes-benz/mercedes-benz-esprinter-55-kwh.html</t>
  </si>
  <si>
    <t>AD/DC</t>
  </si>
  <si>
    <t>Pre-production</t>
  </si>
  <si>
    <t>e-Sprinter 55 kWh 3.5t</t>
  </si>
  <si>
    <t>https://zerauto.nl/mercedes-benz-esprinter-test/
https://www.mountox.com/elektrische-automodellen/mercedes-benz/mercedes-benz-esprinter-41kwh.html</t>
  </si>
  <si>
    <t xml:space="preserve">e-Sprinter 41 kWh 3.5t </t>
  </si>
  <si>
    <t>https://www.van.man/de/media/special_etge_folder/downloads/20180925_MAN_eTGE_Bro_A4Q3_4c_ENG.pdf
https://www.mantruckandbus.com/en/press/press-overview/MAN-eTGE-_-Zero-Emissions-for-Customers-323328.html</t>
  </si>
  <si>
    <t>8 years / 160,000 km; 30% capacity reduction is max. acceptable</t>
  </si>
  <si>
    <t>MAN</t>
  </si>
  <si>
    <t>tot 5600</t>
  </si>
  <si>
    <t>IVECO</t>
  </si>
  <si>
    <t>Source</t>
  </si>
  <si>
    <t>Battery waranty</t>
  </si>
  <si>
    <t>Catalogprice (excl. BTW)</t>
  </si>
  <si>
    <t>Practical input, min. range</t>
  </si>
  <si>
    <t>Practical input, max. range</t>
  </si>
  <si>
    <t>Low temperatures</t>
  </si>
  <si>
    <t xml:space="preserve">Moderate temperatures </t>
  </si>
  <si>
    <t xml:space="preserve"> WLTP </t>
  </si>
  <si>
    <t xml:space="preserve"> NEDC </t>
  </si>
  <si>
    <t>Verhouding actieradius Average en NEDC</t>
  </si>
  <si>
    <t>Practical input, min.</t>
  </si>
  <si>
    <t>Practical input, max.</t>
  </si>
  <si>
    <t>Average Low &amp; moderate</t>
  </si>
  <si>
    <t>Low temperatures (km)</t>
  </si>
  <si>
    <t>Moderate temperatures (km)</t>
  </si>
  <si>
    <t>Battery type</t>
  </si>
  <si>
    <t>Topsnelheid (km/h)</t>
  </si>
  <si>
    <t>Hight storage (mm)</t>
  </si>
  <si>
    <t>Width storage  (mm)</t>
  </si>
  <si>
    <t>Length storage  (mm)</t>
  </si>
  <si>
    <t>Wheelbase (mm)</t>
  </si>
  <si>
    <t>Hight vehicle (mm)</t>
  </si>
  <si>
    <t>Width vehicle (mm)</t>
  </si>
  <si>
    <t>Length vehicle (mm)</t>
  </si>
  <si>
    <t>Storage space (m3)</t>
  </si>
  <si>
    <t>Payload (kg)</t>
  </si>
  <si>
    <t>Gross vehicle weight (kg)</t>
  </si>
  <si>
    <t>Empty vehicle weight (kg)</t>
  </si>
  <si>
    <t>Type</t>
  </si>
  <si>
    <t>Available until</t>
  </si>
  <si>
    <t>Available since</t>
  </si>
  <si>
    <t>Available</t>
  </si>
  <si>
    <t>Charging</t>
  </si>
  <si>
    <t>Energy consumption (kWh/100 km)</t>
  </si>
  <si>
    <t>Range (km)</t>
  </si>
  <si>
    <t xml:space="preserve">Battery </t>
  </si>
  <si>
    <t>Vehicle dimensions,weight and performance</t>
  </si>
  <si>
    <t>Average Small</t>
  </si>
  <si>
    <t>Average Medium</t>
  </si>
  <si>
    <t>Average Large</t>
  </si>
  <si>
    <t xml:space="preserve">Middel taxibussen - Diesel </t>
  </si>
  <si>
    <t>Taxibus Klein</t>
  </si>
  <si>
    <t>Taxibus Middel</t>
  </si>
  <si>
    <t xml:space="preserve">Volkswagen </t>
  </si>
  <si>
    <t>Saic</t>
  </si>
  <si>
    <t>Maxus EV80</t>
  </si>
  <si>
    <t>Average Taxibus Klein</t>
  </si>
  <si>
    <t>Average Taxbius Middel</t>
  </si>
  <si>
    <t>Average Taxibus Groot</t>
  </si>
  <si>
    <t>Average Rolstoelbus</t>
  </si>
  <si>
    <t>4 á 7+1 personen</t>
  </si>
  <si>
    <t>Lithium-ion</t>
  </si>
  <si>
    <t xml:space="preserve">Range EVDB / EVConsult (km) </t>
  </si>
  <si>
    <t>https://www.ovpro.nl/bus/2019/06/28/tribus-ontwikkelt-nieuw-model-lagevloerbus-civitas-economy/</t>
  </si>
  <si>
    <t>GVW (kg)</t>
  </si>
  <si>
    <t>e-Crafter L4 (ombouw Tribus)</t>
  </si>
  <si>
    <t>e-Crafter L4 (ombouw Tribus, Cevitas)</t>
  </si>
  <si>
    <t>https://www.destentor.nl/deventer/primeur-in-deventer-negenpersoons-elektrische-bus-voor-b-rijbewijs~a8d289dc/?referrer=https://www.google.com/</t>
  </si>
  <si>
    <t>8+1</t>
  </si>
  <si>
    <t>8+1, 2 rol</t>
  </si>
  <si>
    <t>Groot taxibus - Diesel</t>
  </si>
  <si>
    <t>Groot taxibus - Benzine</t>
  </si>
  <si>
    <t xml:space="preserve">Taxibus middel </t>
  </si>
  <si>
    <t>Categorie N1: Voor het vervoer van goederen bestemde voertuigen met een maximale massa van ten hoogste 3,5 ton.</t>
  </si>
  <si>
    <t>Categorie M1: Voor het vervoer van passagiers ontworpen en gebouwde motorvoertuigen met ten hoogste acht zitplaatsen, die van de bestuurder niet meegerkend.
Voertuigen van categorie M1 worden onderverdeeld volgens type en code van het koetswerk op volgende wijze. categorie M1 omvat de personenauto's, de auto's voor dubbel gebruik en de minibussen;</t>
  </si>
  <si>
    <t>Max. cap verlaagde bijtelling</t>
  </si>
  <si>
    <t>ANWB, 2019</t>
  </si>
  <si>
    <t>https://www.anwb.nl/auto/autobelastingen/bijtelling</t>
  </si>
  <si>
    <t>ANWB (2019)</t>
  </si>
  <si>
    <t>https://www.anwb.nl/auto/autobelastingen/bpm</t>
  </si>
  <si>
    <t>CO2 uitstoot meer dan: o.b.v. WLTP</t>
  </si>
  <si>
    <t xml:space="preserve">1) Benzine personenvoertuigen: </t>
  </si>
  <si>
    <t>t/m 2024</t>
  </si>
  <si>
    <t>Vrijstelling tot 2025, vanaf 2025 voet van €360 of rekening rijden</t>
  </si>
  <si>
    <t>Gemiddelde segment F (keuze segment E)</t>
  </si>
  <si>
    <t>Meenemen in gem.?</t>
  </si>
  <si>
    <t>Model 3 Standard Range</t>
  </si>
  <si>
    <t>Model 3 Standard Range Plus</t>
  </si>
  <si>
    <t>Model S Long range (100D)</t>
  </si>
  <si>
    <t>Model S Performance (P100D)</t>
  </si>
  <si>
    <t>Model X long range (100D)</t>
  </si>
  <si>
    <t>Model X performance (P100D)</t>
  </si>
  <si>
    <t>Gemiddelde segment K - nog geen BEV modellen</t>
  </si>
  <si>
    <t>Gemiddelde</t>
  </si>
  <si>
    <t>Verbruik (kg/100km)</t>
  </si>
  <si>
    <t>uitstoot (g/km)</t>
  </si>
  <si>
    <t>Prijs (€) incl. BTW, BPM en rijklaarkosten</t>
  </si>
  <si>
    <t>bron</t>
  </si>
  <si>
    <t>https://forms.vwbedrijfswagens.nl/site/brochure/download</t>
  </si>
  <si>
    <t>Alleen Diesel verkrijgbaar</t>
  </si>
  <si>
    <t>https://forms.vwbedrijfswagens.nl/site/brochure/download?mc=transporter</t>
  </si>
  <si>
    <t>https://www.mercedes-benz.nl/vans/nl/price-lists</t>
  </si>
  <si>
    <t>Ford Transit Courier Ambiente EcoBoost Euro 6.2</t>
  </si>
  <si>
    <t>https://www.ford.nl/handige-links/ik-wil/brochures-en-prijslijsten#overlay/content/overlays/download-a-brochure/transit-courier</t>
  </si>
  <si>
    <t>Citroën Nemo 1.4i 75</t>
  </si>
  <si>
    <t>http://www.citroen-servicevanbeers.nl/BROCHURES/Nemo%20Prijslijst.pdf</t>
  </si>
  <si>
    <t>Fiat Fiorino Easy Pro</t>
  </si>
  <si>
    <t>https://www.google.com/search?q=Fiat+Fiorino+prijzenlijst&amp;oq=Fiat+Fiorino+prijzenlijst&amp;aqs=chrome..69i57j0.5635j0j4&amp;sourceid=chrome&amp;ie=UTF-8</t>
  </si>
  <si>
    <t>n.v.t. alleen in Diesel verkrijgbaar</t>
  </si>
  <si>
    <t xml:space="preserve">Mercedes-Benz, Citan, </t>
  </si>
  <si>
    <t>Renault Kangoo Express, TCe 115 Stop &amp; Start EU6</t>
  </si>
  <si>
    <t>https://www.renault.nl/brochures-prijslijsten.html</t>
  </si>
  <si>
    <t>https://www.fiatprofessional.com/nl/brochure</t>
  </si>
  <si>
    <t>Fiat Doblò Cargo 1.4 FIRE EASY PRO</t>
  </si>
  <si>
    <t>https://forms.vwbedrijfswagens.nl/site/brochure/download?mc=caddy</t>
  </si>
  <si>
    <t>Volkswagen Caddy 1.0 TSI met BMT</t>
  </si>
  <si>
    <t xml:space="preserve">Citroën Berlingo </t>
  </si>
  <si>
    <t>https://www.citroen.nl/brochure-prijslijst.html?gclid=EAIaIQobChMI-vThuOag5AIVleR3Ch2ppgQ0EAAYASAAEgKyJfD_BwE&amp;gclsrc=aw.ds</t>
  </si>
  <si>
    <t xml:space="preserve">Peugeot Partner </t>
  </si>
  <si>
    <t>https://www.google.com/search?q=Peugeot+Partner+prijzenlijst&amp;oq=Peugeot+Partner+prijzenlijst&amp;aqs=chrome..69i57j0l2.4785j0j4&amp;sourceid=chrome&amp;ie=UTF-8</t>
  </si>
  <si>
    <t>Peugeot Bipper</t>
  </si>
  <si>
    <t>https://media.peugeot.nl/file/77/2/wk2817-peugeot-partner-prijslijst-12021-9bff7b.272772.pdf</t>
  </si>
  <si>
    <t>?</t>
  </si>
  <si>
    <t>Bron:</t>
  </si>
  <si>
    <t>Volkswagen Caddy TGI</t>
  </si>
  <si>
    <t xml:space="preserve">Ford Transit Courier </t>
  </si>
  <si>
    <t>Citroën Nemo</t>
  </si>
  <si>
    <t>Fiat Fiorino Basis Natural Power</t>
  </si>
  <si>
    <t xml:space="preserve">Renault Kangoo </t>
  </si>
  <si>
    <t>Fiat Doblò </t>
  </si>
  <si>
    <t>Gemiddelde middel bestelauto  (&lt;1,5 ton) / (&lt; 4.5 m3)</t>
  </si>
  <si>
    <t>CNG (actuele adviesprijs GGNL), 20/08)</t>
  </si>
  <si>
    <t>https://groengas.nl/rijden-op-groengas/calculator/</t>
  </si>
  <si>
    <t>Gekozen restwaarde percentage zero emissie</t>
  </si>
  <si>
    <t>Fossiel</t>
  </si>
  <si>
    <t>Zero emissie</t>
  </si>
  <si>
    <t>A) Afschrijving &amp; Financieringskosten</t>
  </si>
  <si>
    <t>Restwaarde elektrisch  [€ excl. BTW]</t>
  </si>
  <si>
    <t>Restwaarde elektrisch [€ incl. BTW]</t>
  </si>
  <si>
    <r>
      <t xml:space="preserve">     Nieuwprijs voertuig(en) incl. BPM indien van toepassing voor het brandstoftype en aangegeven bij </t>
    </r>
    <r>
      <rPr>
        <i/>
        <sz val="14"/>
        <color theme="1"/>
        <rFont val="Corbel"/>
      </rPr>
      <t>invoerparameter 6</t>
    </r>
    <r>
      <rPr>
        <sz val="14"/>
        <color theme="1"/>
        <rFont val="Corbel"/>
      </rPr>
      <t xml:space="preserve">. Dit kan in sommige gevallen zelfs resulteren in een lagere (jaarlijkse) afschrijving voor elektrische voertuigen. </t>
    </r>
  </si>
  <si>
    <t>Gekozen restwaarde percentage fossiel (diesel, benzine, CNG)</t>
  </si>
  <si>
    <t xml:space="preserve">ING (2019), Future residual values of battery electric vehicles </t>
  </si>
  <si>
    <t>https://www.ing.nl/media/ING%20-%20Future%20residual%20values%20of%20battery%20electric%20vehicles%20benefit%20from%20increased%20range_tcm162-173053.pdf</t>
  </si>
  <si>
    <t xml:space="preserve">     Dit geldt bij een looptijd van 5 jaar na totaal 100.000 - 150.000 km, ofwel gemiddeld 20.000 - 30.000 km/jaar te hebben gereden. Bij een hoger kilometrage per jaar, bijvoorbeeld 50.000 - 70.000 km/jaar, </t>
  </si>
  <si>
    <t>EVConsult (2019) Interviews en input van diverse ombouwers &amp; fabrikanten</t>
  </si>
  <si>
    <r>
      <t xml:space="preserve">4.  Berekeningwijze jaarlijkse financieringskosten: </t>
    </r>
    <r>
      <rPr>
        <i/>
        <sz val="14"/>
        <color theme="1"/>
        <rFont val="Corbel"/>
      </rPr>
      <t xml:space="preserve">(nieuwprijs voertuig(en) - restwaarde voertuig(en) )/2 * rentepercentage </t>
    </r>
  </si>
  <si>
    <r>
      <t xml:space="preserve">     Bij de invoer van veegmachines en huisvuilwagens adviseren we u bij </t>
    </r>
    <r>
      <rPr>
        <i/>
        <sz val="14"/>
        <color theme="1"/>
        <rFont val="Corbel"/>
      </rPr>
      <t xml:space="preserve">invoerparameter 10.2 en 10.3 </t>
    </r>
    <r>
      <rPr>
        <sz val="14"/>
        <color theme="1"/>
        <rFont val="Corbel"/>
      </rPr>
      <t>een restwaarde van ca. 10% op te nemen na 6 jaar.</t>
    </r>
  </si>
  <si>
    <t>8.2 Aandeel laden openbaar snelladen</t>
  </si>
  <si>
    <t>Belastingdienst (2019)</t>
  </si>
  <si>
    <t>https://www.rijksoverheid.nl/onderwerpen/belastingen-op-auto-en-motor/motorrijtuigenbelasting-auto-mrb-2019</t>
  </si>
  <si>
    <t>https://www.rijksoverheid.nl/onderwerpen/belastingplan</t>
  </si>
  <si>
    <t xml:space="preserve">1. De MRB bestaat uit een deel voor de Rijksoverheid en opcenten per provincie. De opcenten per provincie zijn verschillend. </t>
  </si>
  <si>
    <t xml:space="preserve">    De duurste provincie (ZH) is circa 15% duurder dan de goedkoopste provincie (NH). In de berekeningen hanteren we een gemiddelde.</t>
  </si>
  <si>
    <t>https://www.anwb.nl/auto/autobelastingen/mrb</t>
  </si>
  <si>
    <t>ANWB (2019), Autobelastingen - MRB</t>
  </si>
  <si>
    <t>Rijsoverheid (2019), Belastingplan 2020</t>
  </si>
  <si>
    <t>https://www.belastingdienst.nl/wps/wcm/connect/bldcontentnl/belastingdienst/prive/auto_en_vervoer/belastingen_op_auto_en_motor/motorrijtuigenbelasting/soort_motorrijtuig/bestelauto/</t>
  </si>
  <si>
    <t>7.1 MRB-belasting</t>
  </si>
  <si>
    <t>MRB bestelauto ondernemers</t>
  </si>
  <si>
    <t>MRB ondernemer (€/maand)</t>
  </si>
  <si>
    <t>MRB particulier (€/maand)</t>
  </si>
  <si>
    <t>Brandstofverbruiksboekje 2019 (bestel- en personenbussen zijn opgenomen)</t>
  </si>
  <si>
    <t>https://www.rdw.nl/particulier/voertuigen/auto/kopen/zuinig-en-milieuvriendelijk-voertuig-kopen</t>
  </si>
  <si>
    <t>Brandstofverbruiksboekje 2019, RDW</t>
  </si>
  <si>
    <t>Ford Transit Custom Tourneo</t>
  </si>
  <si>
    <t xml:space="preserve">CNG </t>
  </si>
  <si>
    <t>DIESEL</t>
  </si>
  <si>
    <t>BENZINE</t>
  </si>
  <si>
    <t>file:///Users/robinmatton/Downloads/Technische%20gegevens%20Transporter%206%20Bestelwagen%20WLTP%20MJ2019.pdf</t>
  </si>
  <si>
    <t>Volkswagen Tansporter (2019)</t>
  </si>
  <si>
    <t>WLTP</t>
  </si>
  <si>
    <t>Mercedes Benz Vito Tourer (MB V-klasse)</t>
  </si>
  <si>
    <t>Cat.</t>
  </si>
  <si>
    <t>M1</t>
  </si>
  <si>
    <t>M2</t>
  </si>
  <si>
    <t>N1</t>
  </si>
  <si>
    <t>https://www.rdw.nl/zakelijk/branches/fabrikanten-en-importeurs/typegoedkeuring-aanvragen/typegoedkeuren-voertuigen/voertuigcategorieen</t>
  </si>
  <si>
    <r>
      <t xml:space="preserve">1. Voor diesel en benzine personenvoertuigen is </t>
    </r>
    <r>
      <rPr>
        <u/>
        <sz val="14"/>
        <color rgb="FF000000"/>
        <rFont val="Corbel"/>
      </rPr>
      <t>per autosegment</t>
    </r>
    <r>
      <rPr>
        <sz val="14"/>
        <color rgb="FF000000"/>
        <rFont val="Corbel"/>
      </rPr>
      <t xml:space="preserve"> het verbruik (L/100 km) en de uitstoot (g/km) als input gebruikt. Voor ieder autosgement is het gemiddelde gebruik van de vier meestverkochte auto's gebruikt (2016-2019). </t>
    </r>
  </si>
  <si>
    <t xml:space="preserve">8. In de bovenstaande tabel zijn gemiddelde waarden van het verbruik (L/100 km) en CO2 uistoot (CO2 g/km) gepresenteerd, maar in berekeningen is per segment de afzonderlijke waarde gebruikt.  De waardes verschillen namelijk sterk per segment. </t>
  </si>
  <si>
    <t xml:space="preserve"> 5. Het 'Brandstofverbruiksboekje 2019' toont de WLTP (Worldwide harmonized Light vehicles Test Procedure) voor grotendeels personenvoertuigen en een aantal bestelbussen. Daarnaast is gebruik gemaakt van brochures van voertuigleveranciers. Hierin is in veel gevallen de WLTP waarde opgenomen, echter is dit niet altijd het geval omdat leveranciers vanaf september 2019 pas verplicht zijn gesteld om WLTP-waarden op te nemen. De WLTP is op twee manieren veeleisender dan de NEDC: (a) de testcyclus zelf (harder rijden, sneller optrekken, etc.) en (b) de testomstandigheden in het laboratorium (zoals omgevingstemperatuur, toegestane bandenspanning, situationele aerodynamica (ingeklapte buitenspiegels, afgeplakte naden, etc.)).Het resultaat van deze factoren (a) en (b) is dat de WLTP CO2-waarde van een bepaald merk, model en uitvoering gemiddeld genomen fors hoger is (grofweg tussen 10 en 35%) dan de CO2-waarde van diezelfde model-uitvoeringcombinatie onder het NEDC-regime.</t>
  </si>
  <si>
    <t>6. Op basis van de bovenstaande verbruikscijfers en emissiefactoren (kopje B, emissiefactoren) voor diesel, benzine, elektriciteit en waterstof is de jaarlijkse CO2 uitstoot berekend.</t>
  </si>
  <si>
    <t>Gemiddeld verbruik segmenten personenauto's - FCEV</t>
  </si>
  <si>
    <t>Fiat Panda - 12B 51 KW M5</t>
  </si>
  <si>
    <t>Seat Ibiza - D HANDGESCHAKELD 136 - 149</t>
  </si>
  <si>
    <t>Skoda OCTAVIA - D HANDGESCHAKELD 136 - 165</t>
  </si>
  <si>
    <t>Opel Insignia Grand Sport - 1.5 Turbo H6 103kW</t>
  </si>
  <si>
    <t>Opel Astra Sports Tourer - 1.6 Diesel A6 100kW</t>
  </si>
  <si>
    <t>BMW 3 Serie Touring F31 - 318i Aut.</t>
  </si>
  <si>
    <t>BMW 3 Serie Touring F31 - 316d</t>
  </si>
  <si>
    <t>Seat IBIZA - B HANDGESCHAKELD 128 - 144</t>
  </si>
  <si>
    <t>Volvo V60 - T5 Geartronic</t>
  </si>
  <si>
    <t>Volvo V60 D3</t>
  </si>
  <si>
    <t>Jaguar XF - 2.0 I4 RWD 184 kW</t>
  </si>
  <si>
    <t>Jaguar XF - 2.0d I4 RWD 120 kW</t>
  </si>
  <si>
    <t>Jaguar XE - 2.0 I4 RWD 147 kW</t>
  </si>
  <si>
    <t>Jaguar XJ - 3.0 V6 Td 221 kW</t>
  </si>
  <si>
    <t>Volkswagen Tiguan - D Handgeschakeld</t>
  </si>
  <si>
    <t>Dacia Sandero - Tce 90</t>
  </si>
  <si>
    <t>Renault Koleos - dCi 175</t>
  </si>
  <si>
    <t>Skoda KODIAQ - D Handgeschakeld</t>
  </si>
  <si>
    <t>Volkswagen T-Roc - B Handgeschakeld</t>
  </si>
  <si>
    <t>Suzuki Vitara - 1.0 Boosterjet</t>
  </si>
  <si>
    <t>Seat ATECA - D Handgeschakeld</t>
  </si>
  <si>
    <t>5) Citroen Berlingo</t>
  </si>
  <si>
    <t>Bron</t>
  </si>
  <si>
    <t>1) Volkswagen Caddy</t>
  </si>
  <si>
    <t>2) Fiat Doblo</t>
  </si>
  <si>
    <t>3) Citroen Berlingo</t>
  </si>
  <si>
    <t>Factor NEDC en WLTP (gemiddelde)</t>
  </si>
  <si>
    <t>https://mijn.bovag.nl/actueel/nieuws/2019/september/dit-zijn-de-nieuwe-bpm-tarieven-vanaf-juli-2020</t>
  </si>
  <si>
    <t>BOVAG (2019), BPM tarieven vanaf 2020</t>
  </si>
  <si>
    <t>Het nieuwe Rijden (2018 &amp; 2019), Brandstofverbruiksboekje (type meting, NEDC, 2018 en WLTP, 2019)</t>
  </si>
  <si>
    <t>Factor stijging NEDC --&gt; WLTP</t>
  </si>
  <si>
    <t>Middel taxbius - Benzine</t>
  </si>
  <si>
    <t>WLTP (1)</t>
  </si>
  <si>
    <t>Diverse folders van OEM'ers met de specificaties van de voertuigen.</t>
  </si>
  <si>
    <t>Voertuigcategorie is niet beschikbaar op de markt; n.v.t.</t>
  </si>
  <si>
    <t xml:space="preserve">     verwachten we een lagere restwaarde omdat de batterij dan meer laadcycli heeft gehad. Derhalve hebben we de restwaardepercentages voor fossiel en elektrisch aan elkaar gelijk gesteld.</t>
  </si>
  <si>
    <t>Fiat Doblo Cargo Natural Power</t>
  </si>
  <si>
    <t>Br. kg/100 km</t>
  </si>
  <si>
    <t>[kg CO2 / kg CNG]</t>
  </si>
  <si>
    <t>https://www.pitpointcleanfuels.com/be/showroom/</t>
  </si>
  <si>
    <t xml:space="preserve">    Geen modellen beschikbaar op de markt</t>
  </si>
  <si>
    <t>Geen bestelauto's middel die in een CNG uitvoering affabriek worden geleverd.</t>
  </si>
  <si>
    <t xml:space="preserve">Fiat Ducato Gesloten Bestel Aardgas Natural Power </t>
  </si>
  <si>
    <t>Iveco Daily CNG</t>
  </si>
  <si>
    <t xml:space="preserve">CO2 uitstoot TTW berekent </t>
  </si>
  <si>
    <t>Kleine taxbius - CNG</t>
  </si>
  <si>
    <t>Groot taxibus - CNG</t>
  </si>
  <si>
    <t>Iveco Daily personenbus CNG</t>
  </si>
  <si>
    <t>Fiat Ducato Combi CNG</t>
  </si>
  <si>
    <t>Mercedez-Benz Sprinter Tourer</t>
  </si>
  <si>
    <t>Verbruik WLTP</t>
  </si>
  <si>
    <t>Middel taxbius - CNG</t>
  </si>
  <si>
    <t>Geen taxibussen middel die in een benzine uitvoering worden geleverd door OEM'er. Inzet voor relatief veel kilometers per jaar en daarom is benzine minder interessant ten op zichte van diesel.</t>
  </si>
  <si>
    <t>Geen bestelauto's middel die in een benzine uitvoering worden geleverd door OEM'er. Inzet voor relatief veel kilometers per jaar en daarom is benzine minder interessant ten op zichte van diesel.</t>
  </si>
  <si>
    <t>Geen taxibussen groot die in een benzine uitvoering worden geleverd door OEM'er. Inzet voor relatief veel kilometers per jaar en daarom is benzine minder interessant ten op zichte van diesel.</t>
  </si>
  <si>
    <t>Prijs excl. BTW/BPM (€), catalogusprijs netto incl. ombouw (4)</t>
  </si>
  <si>
    <t>Prijs excl. BTW/BPM (€), catalogusprijs netto incl. ombouw naar rolstoel(4)</t>
  </si>
  <si>
    <t>Rolstoelbus - CNG</t>
  </si>
  <si>
    <t>De tarieven BPM voor 2020 zijn voorlopige tarieven en nog op basis van de WLTP. Vanaf juli worden de definieve tarieven verwacht op basis van WLTP.</t>
  </si>
  <si>
    <t>(&gt; 80)</t>
  </si>
  <si>
    <t>https://download.belastingdienst.nl/belastingdienst/docs/bpm_tarieven_bpm0651z6fd.pdf</t>
  </si>
  <si>
    <t>Belastingdienst (2019), BPM Belasting</t>
  </si>
  <si>
    <t>Belastingdienst (2019), Ontwikkeling BPM belasting vanaf 1993</t>
  </si>
  <si>
    <t>https://raivereniging.nl/nieuws/dossiers/fiscaliteit/bpm/bpm-tarieven-2020.html</t>
  </si>
  <si>
    <t>RAI (2019), BPM tarieven 2020 (Q1 &amp; Q2 en Q3 &amp; Q4)</t>
  </si>
  <si>
    <t>BOVAG (2019), Samenvatting Prinsjesdag-plannen 2019</t>
  </si>
  <si>
    <t>https://mijn.bovag.nl/downloads/wet-en-regelgeving/samenvatting-prinsjesdag-2019/samenvatting-prinsjesdag-2019</t>
  </si>
  <si>
    <t>7.2 Ondernemers-tarief MRB bestelauto?</t>
  </si>
  <si>
    <t>https://www.rijksoverheid.nl/onderwerpen/belastingplan/belastingwijzigingen-voor-ons-klimaat/mrb-bestelbus</t>
  </si>
  <si>
    <t>Rijksoverheid (2019), MRB omhoog bestelwagens diesel en benzine</t>
  </si>
  <si>
    <t xml:space="preserve">    hangt af van het gewicht van de bestelauto.</t>
  </si>
  <si>
    <t>of rekening rijden; nog onduidelijk. Daarom MRB voor zero emissie op nul gesteld.</t>
  </si>
  <si>
    <t>Voor bestelauto's voor ondernemingen geld een gereduceerd MRB tarief. Dit gereduceerde tarief wordt de aankomende jaren afgebouwd.</t>
  </si>
  <si>
    <t>Doelgroepen- en taxivervoer is op dit moment vrijgesteld voor MRB belasting. Ondanks dat de BPM teruggaaf is afgeschaft, blijft deze vrijstelling bestaan.</t>
  </si>
  <si>
    <t>Zie tabblad 2.Invoer parameters voor de recente bronnen.</t>
  </si>
  <si>
    <t>MRB/maand</t>
  </si>
  <si>
    <t>(geen onderscheid bij MRB berekening voor type brandstof)</t>
  </si>
  <si>
    <t>(Wel onderscheid bij MRB naar type brandstof)</t>
  </si>
  <si>
    <t>Startjaar</t>
  </si>
  <si>
    <t>0. Startjaar</t>
  </si>
  <si>
    <t>Het is enkel toegestaan een waarde tussen de 0 en 100% in te voeren.</t>
  </si>
  <si>
    <t>MRB/jaar</t>
  </si>
  <si>
    <t>2. Bestelwagens</t>
  </si>
  <si>
    <t>3. Doelgroepenvervoer / taxi's</t>
  </si>
  <si>
    <t>4. MRB elektrische auto's</t>
  </si>
  <si>
    <t>1. Personenwagens</t>
  </si>
  <si>
    <t>Zie tabel met parameters voor waarden voor 2019 (waarden voor 2020 en jaren erna blijven gelijk)</t>
  </si>
  <si>
    <t>Aanname dat onderhoudskosten voor groten bestel- en rolstoelbus in dezelfde orde van grootte vallen.</t>
  </si>
  <si>
    <t>Voor middel en grote bestelwagen zijn de onderhoudskosten van een kleine bestelwagen als basis gebruikt en hebben we op basis van een expert judgement de cijfers opgeschaald.</t>
  </si>
  <si>
    <t>Daarnaast is input van de studie voor de TCO gemeente Amsterdam gebruikt (kippers) om de onderhoudskosten per kilometer scherp te krijgen. Diesel 15.000 km/jaar 6 jaar = 6 ct/km en BEV en FCEV 4ct/km</t>
  </si>
  <si>
    <t xml:space="preserve">Aannames: </t>
  </si>
  <si>
    <t>Aanname dat onderhoudskosten voor bestel- en taxibussen hetzelfde zijn omdat de voertuigen nagenoeg hetzelfde zijn. Het voertuig beschikt enkel over een laadruime of gedeelte met stoelen.</t>
  </si>
  <si>
    <t xml:space="preserve">Argumentatie: de aandrijvingsmotor van een benzine en CNG voertuig zijn vergelijkbaar. Verwachting is dat aan het inspuitsyssteem geen significant hogere kosten verbonden zullen zijn. </t>
  </si>
  <si>
    <t>TCO gemeente Amsterdam speciale voertuigen</t>
  </si>
  <si>
    <t>19018 TCO Amsterdam</t>
  </si>
  <si>
    <t>Bestelbus groot groot</t>
  </si>
  <si>
    <t>Waarden voor personenauto's als waarde genomen, indien een particulier een taxibusje zou aanschaffen.</t>
  </si>
  <si>
    <t>FCEV</t>
  </si>
  <si>
    <t>Aantal batterij elektrische voertuigen, BEV (km/jaar)</t>
  </si>
  <si>
    <t>Batterij elekrische voertuigen (BEV)</t>
  </si>
  <si>
    <t>Waterstof elektrische voertuigen (FCEV)</t>
  </si>
  <si>
    <t>Nissan E-NV200 Van, Renault Kangoo Z.E. (Maxi) bestel</t>
  </si>
  <si>
    <t>Citroën C-Zero, Peugeot iOn, Volkswagen e-Up, Smart EQ4/2</t>
  </si>
  <si>
    <t xml:space="preserve">MB e-Vito Tourer </t>
  </si>
  <si>
    <t>Tot op heden nog geen FCEV model beschikaar</t>
  </si>
  <si>
    <t>Toyota Mirai</t>
  </si>
  <si>
    <t xml:space="preserve">VW e-Crafter, Renault Master Z.E., SAIC Maxus EV80 </t>
  </si>
  <si>
    <t>Nissan E-NV200 Evalia, Renault Kangoo ZE (Maxi) pers.</t>
  </si>
  <si>
    <t>Renault Kangoo Z.E H2</t>
  </si>
  <si>
    <t>Renault Master Z.E. H2 (vanaf Q1 2021 )</t>
  </si>
  <si>
    <t>Renault Master ZE H2 (vanaf Q1 2021 )</t>
  </si>
  <si>
    <t>Hyundai Nexo</t>
  </si>
  <si>
    <t>Indicatieve prijs: Renault ZE Master 60,000 euro + 40,000 euro voor H2 range extender</t>
  </si>
  <si>
    <t>Master Z.E. 33 kWh chassis-cabine T35 L1H2 H2 range extender</t>
  </si>
  <si>
    <t>Master Z.E. 33 kWh gesloten bestel T35 L2H2 &amp; L3H2 H2 range extender</t>
  </si>
  <si>
    <t>https://media.renault.nl/groupe-renault-introduceert-waterstof-in-lichte-bedrijfswagen-programma/</t>
  </si>
  <si>
    <t>350 / 700</t>
  </si>
  <si>
    <t>Kangoo Maxi ZE 33 H2 range extender</t>
  </si>
  <si>
    <t>Charging fast charging; 80% ca (min)</t>
  </si>
  <si>
    <t>Fuel cell power (kw)</t>
  </si>
  <si>
    <t>pressure hydrogen storage (bar)</t>
  </si>
  <si>
    <t>amount of hydrogen (kWh)</t>
  </si>
  <si>
    <t>amount of hydrogen (kg)</t>
  </si>
  <si>
    <t>Koppel</t>
  </si>
  <si>
    <t>Battery &amp; hydrogen</t>
  </si>
  <si>
    <t>Vehicle dimensions and weight</t>
  </si>
  <si>
    <t>L/M</t>
  </si>
  <si>
    <t>Nexo</t>
  </si>
  <si>
    <t>D/E</t>
  </si>
  <si>
    <t>Mirai</t>
  </si>
  <si>
    <t xml:space="preserve">Toyota </t>
  </si>
  <si>
    <t>Energy usage (kg/100km or kWh/100km)</t>
  </si>
  <si>
    <t>Hydrogen capacity</t>
  </si>
  <si>
    <t>Master Z.E. 33 kWh gesloten bestel T35 H2 range extender - ombouw Tribus naar personenbus</t>
  </si>
  <si>
    <t>Renault (+Tribus)</t>
  </si>
  <si>
    <t>8+1 / 4 rol</t>
  </si>
  <si>
    <t>Master Z.E. 33 kWh gesloten bestel T35 H2 range extender - ombouw Tribus naar rolstoelbus</t>
  </si>
  <si>
    <t>Charging fast fast charging; 80% ca (min)</t>
  </si>
  <si>
    <t>WLTP [kg/100 km]</t>
  </si>
  <si>
    <t>WLTP [kWh/100 km]</t>
  </si>
  <si>
    <t>Range EVDB / EVConsult (km)</t>
  </si>
  <si>
    <t>Energy usage (kWh or kg/100km)</t>
  </si>
  <si>
    <t>Ja</t>
  </si>
  <si>
    <t>Gemiddelde segment L/M</t>
  </si>
  <si>
    <t>WLTP - kg</t>
  </si>
  <si>
    <t>WLTP - kWh</t>
  </si>
  <si>
    <t>Groen</t>
  </si>
  <si>
    <t>Type waterstof</t>
  </si>
  <si>
    <t>3a. Type aardgas</t>
  </si>
  <si>
    <t>3b. Type waterstof</t>
  </si>
  <si>
    <t xml:space="preserve">Grijs of groene waterstof. De keuze van het type waterstof heeft impact op de CO2 uistoot. </t>
  </si>
  <si>
    <t>Waterstof (grijs)</t>
  </si>
  <si>
    <t>Waterstof (groen)</t>
  </si>
  <si>
    <t>kg CO2/kg H2</t>
  </si>
  <si>
    <t>kg CO2/kg CNG</t>
  </si>
  <si>
    <t>Emissiefactor H2 gebruikt in berekening</t>
  </si>
  <si>
    <t>Grijs</t>
  </si>
  <si>
    <t>Emissiefactor waterstof gebruikt in berekening</t>
  </si>
  <si>
    <t>D3110 - Elektrisch aangedreven voertuig</t>
  </si>
  <si>
    <t>waterstof elektrische auto's met een CO2-uitstoot van 0 g/km komen aanmerking voor:</t>
  </si>
  <si>
    <t>(M2: Voor het vervoer van passagiers ontworpen en gebouwde motorvoertuigen met meer dan acht zitplaatsen, die van de bestuurder niet meegerekend, en met een maximale massa van ten hoogste 5 ton).</t>
  </si>
  <si>
    <t>MiA subsidie bestelwagen geldt ook voor waterstof. Waterstof bestelwagens zijn nieuw en hebben daaom nog geen categorie toegewezen gekregen.</t>
  </si>
  <si>
    <t>F3109 - Waterstofpersonenauto</t>
  </si>
  <si>
    <t>F3114 - Elektrische bestelauto</t>
  </si>
  <si>
    <t>Autokosten ANWB per km_H2</t>
  </si>
  <si>
    <t>Bestelwagen groot / taxibus groot</t>
  </si>
  <si>
    <t>segment D/E</t>
  </si>
  <si>
    <t>segment M/L</t>
  </si>
  <si>
    <t>Vanwege de vele componenten van een waterstofauto liggen de onderhoudskosten hoger dan bij een elektrische personenwagen op batterijen.</t>
  </si>
  <si>
    <t>Meerkosten O&amp;M H2</t>
  </si>
  <si>
    <t>Aanname EVConsult</t>
  </si>
  <si>
    <t>Tevens is er op dit moment nog een schaarste aan BEV-monteurs. Dit is nog meer het geval voor FCEV-monteurs.</t>
  </si>
  <si>
    <t>2. Onderhoudskosten - doelgroepenvervoer (75.000 km/jaar; 5 jaar afschrijving)</t>
  </si>
  <si>
    <t>Renault NL geeft aan dat de onderhoudskosten voor BEV en FCEV vergelijkbaar zijn. Maar op basis van het bovenstaande argument kiezen we voor iets hogere onderhoudskosten.</t>
  </si>
  <si>
    <t>Taxibus groot (8+1 personen)  - H2 range extender****</t>
  </si>
  <si>
    <t>Rolstoelbus  - H2 range extender****</t>
  </si>
  <si>
    <t>Bestelbus klein &lt; 1.5 ton (&lt; 4.5 m3 laadruimte) - H2 range extender****</t>
  </si>
  <si>
    <t>Bestelbus groot &gt; 2 ton (&gt; 7m3 laadruimte) -  H2 range extender****</t>
  </si>
  <si>
    <t>**** H2 range extender: verhouding km rijden op batterij en brandstofcel worden gebruikt in de berekening om de brandstofkosten en uitstoot te berekenen.</t>
  </si>
  <si>
    <t>[kWh  / 100km]</t>
  </si>
  <si>
    <t>Speficificaties geselecteerde FCEV ***</t>
  </si>
  <si>
    <t>Actieradius H2</t>
  </si>
  <si>
    <t>Actieradius Accu</t>
  </si>
  <si>
    <t>Verhouding Accu vs. H2</t>
  </si>
  <si>
    <t>Verhouding H2 vs. Accu</t>
  </si>
  <si>
    <t xml:space="preserve">Renault Master ZE H2 </t>
  </si>
  <si>
    <t>Renault Kangoo ZE H2</t>
  </si>
  <si>
    <t xml:space="preserve">ANWB (2018); rekentool Autokosten </t>
  </si>
  <si>
    <t>Consumentenbond (2019); een elektrische auto verzekeren is niet altijd duurder</t>
  </si>
  <si>
    <t>https://www.consumentenbond.nl/autoverzekering/elektrische-auto-verzekeren-niet-altijd-duurder</t>
  </si>
  <si>
    <t>AD (2018); onderzoek premies elektrische voertuigen</t>
  </si>
  <si>
    <t>https://www.ad.nl/auto/verzekering-elektrische-auto-blijkt-35-procent-duurder-br~ab0fefe6/?referrer=https://www.google.com/</t>
  </si>
  <si>
    <t>a) Verzekeraars bieden verzekeringspremies voor elektrische voertuigen aan die vergelijkbaar zijn met fossiele brandstoffen.</t>
  </si>
  <si>
    <t>c) Verzekeraars zoals de ANWB bieden een korting aan op het verzekeren van elektrische voertuigen waardoor de verzekeringspremies lager zijn.</t>
  </si>
  <si>
    <t>b) Elektrische voertuigen hebben gemiddeld een 10 à 70% hogere premie dan fossiel aangedreven voertuigen</t>
  </si>
  <si>
    <t>Aantal waterstof elektrische voertuigen, FCEV (km/jaar)</t>
  </si>
  <si>
    <t>Totaal NIEUW</t>
  </si>
  <si>
    <t>Totaal BESTAAND</t>
  </si>
  <si>
    <t>Waarvan_FCEV</t>
  </si>
  <si>
    <t>4. De uitkomsten van diverse studies lopen uiteen:</t>
  </si>
  <si>
    <t>5. Om een conservatieve inschatting te geven, maken we ook voor elektrisch gebruik van de bovenstaande formule. In de praktijk vallen de verzekeringskosten naar verwachting lager uit.</t>
  </si>
  <si>
    <t>_Bestel_klein</t>
  </si>
  <si>
    <t>_Bestel_middel</t>
  </si>
  <si>
    <t>_Bestel_groot</t>
  </si>
  <si>
    <t>Keuze startjaar</t>
  </si>
  <si>
    <t>Jaarlijkse stijging</t>
  </si>
  <si>
    <t>_klein_D</t>
  </si>
  <si>
    <t>_groot_CNG</t>
  </si>
  <si>
    <t>_klein_B</t>
  </si>
  <si>
    <t>_klein_CNG</t>
  </si>
  <si>
    <t>_middel_D</t>
  </si>
  <si>
    <t>_middel_B</t>
  </si>
  <si>
    <t>_middel_CNG</t>
  </si>
  <si>
    <t>_groot_D</t>
  </si>
  <si>
    <t>_groot_B</t>
  </si>
  <si>
    <t>Betelwagens</t>
  </si>
  <si>
    <t>1) Ondernemers benzine, diesel en CNG</t>
  </si>
  <si>
    <t>2) Geen ondernemerstarief MRB</t>
  </si>
  <si>
    <t>4) Invoerwaarden MRB</t>
  </si>
  <si>
    <t>Jaren  looptijd</t>
  </si>
  <si>
    <t>3a) MRB per maand- keuze ondernemer ja/nee</t>
  </si>
  <si>
    <t>3a) MRB per jaar - keuze ondernemer ja/nee</t>
  </si>
  <si>
    <t>Totale MRB bestelbussen gedurende looptijd</t>
  </si>
  <si>
    <t>[€/looptijd]</t>
  </si>
  <si>
    <t>Gemiddelde MRB</t>
  </si>
  <si>
    <t>MRB [€, bij gekozen looptijd]</t>
  </si>
  <si>
    <t>Diesel (gemiddelde prijs 2019)</t>
  </si>
  <si>
    <t>https://opendata.cbs.nl/statline/#/CBS/nl/dataset/80416ned/table?ts=1574326420759</t>
  </si>
  <si>
    <t>CBS (2019), pompprijzen motorbrandstoffen</t>
  </si>
  <si>
    <t>https://opendata.cbs.nl/statline/#/CBS/nl/dataset/80416ned/table?ts=1574326671767</t>
  </si>
  <si>
    <t>Diesel (gemiddelde 01/01/19 - 18/11/19)</t>
  </si>
  <si>
    <t>https://www.laadpassen.com/tarieven/</t>
  </si>
  <si>
    <t>E-flux (2019), tarieven voor elektrisch laden</t>
  </si>
  <si>
    <t>Gemiddelde FastNed 0.59/kWh (Guest or Normal Member), Allego en MisterGreen 0.69/kWh en Nuon 0.55/kWh (MacDonalds)</t>
  </si>
  <si>
    <t>Speciale tarieven zoals in Amsterdam hebben we buiten beschouuwing gelaten</t>
  </si>
  <si>
    <t>Ook tarieven voor Teslarijders (0,25/kWh) laten we buiten beschouwing, gemeenten en gebruikers TCO tool zijn in het algemeen geen Tesla rijders.</t>
  </si>
  <si>
    <t>Waterstof (nov 2019)</t>
  </si>
  <si>
    <t>Benzine Euro95 (gemiddelde 01/01/19 - 18/11/19)</t>
  </si>
  <si>
    <t>Toelichting:</t>
  </si>
  <si>
    <t>Klimaat- en Energieverkenning 2019 (KEV)</t>
  </si>
  <si>
    <t>https://www.pbl.nl/publicaties/klimaat-en-energieverkenning-2019</t>
  </si>
  <si>
    <t>2. Voor de klimaat- en energieverkenning 2019 uitgegeven door PBL en TNO verwachten we richting 2025 een stijging van olie- (140%), gas (128%) en groothandelsprijs voor elektriciteit (120%).</t>
  </si>
  <si>
    <t xml:space="preserve">     Derhalve wordt in deze TCO-tool gebruik gemaakt van historische brandstofcijfers.</t>
  </si>
  <si>
    <t>Elektriciteitsprijs gebruikt in berekening o.b.v. gekozen laadverdeling</t>
  </si>
  <si>
    <t>Ontwikkeling dieselprijs</t>
  </si>
  <si>
    <t>Euro95 (gemiddelde prijs 2019)</t>
  </si>
  <si>
    <t xml:space="preserve">    Met deze extra opbrengsten wil het kabinet de kosen betalen van maatregelen voor een beter klimaat. Vanaf 2025 is er nog geen duidelijkheid omdat de overheid onder andere Rekeningrijden onderzoekt.</t>
  </si>
  <si>
    <t>https://groengas.nl/rijden-op-groengas/bedrijfswagens/</t>
  </si>
  <si>
    <t>Bron: Groen gas Nederland, CNG voertuigen</t>
  </si>
  <si>
    <t>Bron: EVdatabase</t>
  </si>
  <si>
    <t>Stijging (EUR/L) o.b.v. Klimaatakkord</t>
  </si>
  <si>
    <t>Gemiddelde dieselprijs over looptijd incl. accijsverhoging</t>
  </si>
  <si>
    <t>Gem_diesel</t>
  </si>
  <si>
    <t>K) Monetarisatie CO2</t>
  </si>
  <si>
    <t>L) Kosten laadinfrastructuur</t>
  </si>
  <si>
    <t>Minimum</t>
  </si>
  <si>
    <t>Maximum</t>
  </si>
  <si>
    <t>Kostencomponenten</t>
  </si>
  <si>
    <t>Gemiddelde investeringskosten per laadpunt (22 kW AC)</t>
  </si>
  <si>
    <t>Laadpunt (22 kW)</t>
  </si>
  <si>
    <t>Bekabeling &amp; (civiel)technische werkzaamheden</t>
  </si>
  <si>
    <t>Aanpassen hoofdverdeelkast</t>
  </si>
  <si>
    <t>Onderverdeelinrichting</t>
  </si>
  <si>
    <t>Aansluiten voedingskabels</t>
  </si>
  <si>
    <t>Graaf en breekwerk</t>
  </si>
  <si>
    <t>Bekabeling (HVK naar OV &amp; OVI naar laadpunten)</t>
  </si>
  <si>
    <t>Kabelgoten</t>
  </si>
  <si>
    <t>Datakabel tbv load balancing</t>
  </si>
  <si>
    <t>Gesprekken met Tribus en VDL (2018 &amp; 2019)</t>
  </si>
  <si>
    <t>2. Ombouwkosten bestelbus groot naar een rolstoelbus (zero emissie, extra lichtgewicht)</t>
  </si>
  <si>
    <t>3. Ombouwkosten bestelbus groot naar een taxibus groot (8+1 personen)</t>
  </si>
  <si>
    <t>1. Ombouwkosten bestelbus groot naar een rolstoelbus (fossiel)</t>
  </si>
  <si>
    <t>K) Ombouwkosten rolstoel en personen taxibus groot</t>
  </si>
  <si>
    <t>Kosten componenten:</t>
  </si>
  <si>
    <t>1. Laadpunt (2 x 22 kW)</t>
  </si>
  <si>
    <r>
      <t xml:space="preserve">     </t>
    </r>
    <r>
      <rPr>
        <u/>
        <sz val="14"/>
        <color theme="1"/>
        <rFont val="Corbel"/>
      </rPr>
      <t>Let op</t>
    </r>
    <r>
      <rPr>
        <sz val="14"/>
        <color theme="1"/>
        <rFont val="Corbel"/>
      </rPr>
      <t>: dit is enkel een eerste inzicht omdat de installatie van elektrische laadinfrastructuur maatwerk is en sterk afhankelijk is van de locatie.</t>
    </r>
  </si>
  <si>
    <t>Bandbreedte investeringskosten (verschillende locaties):</t>
  </si>
  <si>
    <t>Verwachte minimum investeringskosten per laadpunt - absoluut</t>
  </si>
  <si>
    <t>Verwachte minimum investeringskosten per laadpunt - percentueel</t>
  </si>
  <si>
    <t>Verwachte maximum investeringskosten per laadpunt - absoluut</t>
  </si>
  <si>
    <t>Verwachte maximum investeringskosten per laadpunt - percentueel</t>
  </si>
  <si>
    <t>Gemiddelde investeringskosten per laadpunt van 22 kW (turn-key)</t>
  </si>
  <si>
    <t>3. De investeringskosten voor bekabeling en (civiel)technische werkzaamheden bestaan uit: aanpassen hoofdverdeelkast, onderverdeelinrichting, aansluiten voedingskabels,</t>
  </si>
  <si>
    <t xml:space="preserve">     graaf- en breekwerk, bekabeling (HVK naar OVI &amp; OVI naar laadpunten), kabelgoten, load balancing hardware, datakabels t.b.v. load balancing. </t>
  </si>
  <si>
    <t xml:space="preserve">2. Bekabeling, (civiel)technische werkzaamheden en project management </t>
  </si>
  <si>
    <t>Gemiddelde kosten beheer &amp; onderhoud per laadpunt 22 kW per jaar</t>
  </si>
  <si>
    <t>Laadinfrastructuur</t>
  </si>
  <si>
    <t>#</t>
  </si>
  <si>
    <t>Full FCEV</t>
  </si>
  <si>
    <t>BEV + FCEV range extender</t>
  </si>
  <si>
    <t>Verdeling nieuw wagenpark</t>
  </si>
  <si>
    <t>€/jaar</t>
  </si>
  <si>
    <t>Deelgebruik: aantal voertuigen per laadpunt</t>
  </si>
  <si>
    <t>Energy usage (kWh or kg/100km or kg/bedrijfsuur)</t>
  </si>
  <si>
    <t>EVConsult</t>
  </si>
  <si>
    <t>Gasoline equivalent EVConsult (L/100km or L/bedrijfsuur)</t>
  </si>
  <si>
    <t>Veegvuilwagen (kipper)</t>
  </si>
  <si>
    <t>year 2021</t>
  </si>
  <si>
    <t>Vuilniswagen</t>
  </si>
  <si>
    <t>Ombouw / project</t>
  </si>
  <si>
    <t>Af fabriek (2027)</t>
  </si>
  <si>
    <t>Veegmachine</t>
  </si>
  <si>
    <t>Average</t>
  </si>
  <si>
    <t>Average veegvuilwagen (kipper)</t>
  </si>
  <si>
    <t>Average vuilniswagen</t>
  </si>
  <si>
    <t>Average veegmachine</t>
  </si>
  <si>
    <t>* Concept modellen: data kan nog veranderen.</t>
  </si>
  <si>
    <t>Charging SOC</t>
  </si>
  <si>
    <t>https://www.iveco.com/netherlands/producten/pages/daily-blue-power-electric.aspx
https://viewer.ipaper.io/iveco-hq/NL/Daily-Van/?page=28#/</t>
  </si>
  <si>
    <t>Daily Electric gesloten bestel 84 kWh</t>
  </si>
  <si>
    <t>Daily Electric chassin-cabine  56 kWh</t>
  </si>
  <si>
    <t>Daily Electric chassin-cabine  84 kWh</t>
  </si>
  <si>
    <t>e-TGE standard length 4,25t</t>
  </si>
  <si>
    <t>e-TGE standard length 3,5t</t>
  </si>
  <si>
    <t>Opel (PSA)</t>
  </si>
  <si>
    <t>Vivaro</t>
  </si>
  <si>
    <t>Regis</t>
  </si>
  <si>
    <t>Pick-up</t>
  </si>
  <si>
    <t xml:space="preserve">Kipper </t>
  </si>
  <si>
    <t>non</t>
  </si>
  <si>
    <t>Van</t>
  </si>
  <si>
    <t>Gemiddelde veegvuilwagen (kipper)</t>
  </si>
  <si>
    <t xml:space="preserve">Vuilniswagen - Diesel </t>
  </si>
  <si>
    <t>Vuilniswagen 2500mm</t>
  </si>
  <si>
    <t>Gemiddelde vuilniswagen</t>
  </si>
  <si>
    <t>Br. l/bedrijfsuur</t>
  </si>
  <si>
    <t>Veegmachine laadruimte 4m3</t>
  </si>
  <si>
    <t>Gemiddelde veegmachine</t>
  </si>
  <si>
    <t>Bepaling gemiddelde laadprijs</t>
  </si>
  <si>
    <t>Bepaling investering aantal laders</t>
  </si>
  <si>
    <t>Aantal voertuigen per laadpunt</t>
  </si>
  <si>
    <t xml:space="preserve"> </t>
  </si>
  <si>
    <t>Handmatige invoer "deelgebruik laadpunt"?</t>
  </si>
  <si>
    <t xml:space="preserve">Ja, indien ondernemerstarief MRB van toepassing is. </t>
  </si>
  <si>
    <t>9.1 Aantal voertuigen die 's nachts mee naar huis worden genomen</t>
  </si>
  <si>
    <t>9.2 Aantal voertuigen die laden op remise</t>
  </si>
  <si>
    <t>Voor a) BEV &amp; FCEV+range extender voertuigen en b) voertuigen die 's nachts op de remise staan.</t>
  </si>
  <si>
    <t>Aantal voertuigen per laadpunt gebruikt in berekening</t>
  </si>
  <si>
    <t>5. Uitgangspunten voor het aantal laders op remise:</t>
  </si>
  <si>
    <t>Kapitaalkosten</t>
  </si>
  <si>
    <t>Voertuigen</t>
  </si>
  <si>
    <t>Totale looptijd</t>
  </si>
  <si>
    <t>Wagenpark - Aantal voertuigen</t>
  </si>
  <si>
    <t xml:space="preserve">Totale looptijd - gem. per voertuig </t>
  </si>
  <si>
    <t xml:space="preserve">Toekomstig </t>
  </si>
  <si>
    <t>Investeringskosten voertuigen</t>
  </si>
  <si>
    <t>Inclusief of exclusief BPM en BTW hangt af van keuze van gebruiker</t>
  </si>
  <si>
    <t>Investeringskosten laadinfrastructuur</t>
  </si>
  <si>
    <t>Afschrijving voertuigen</t>
  </si>
  <si>
    <t>Brandstof -/ elektriciteitskosten [€/jaar]</t>
  </si>
  <si>
    <t>Periodieke kosten</t>
  </si>
  <si>
    <t>€</t>
  </si>
  <si>
    <t>Totale kosten voor looptijd excl. CO2 monetarisatie</t>
  </si>
  <si>
    <t>Totale kosten voor looptijd incl. CO2 monetarisatie</t>
  </si>
  <si>
    <t>Totale besparing / kosten excl. CO2 monetarisatie</t>
  </si>
  <si>
    <t>Totale besparing / kosten incl. CO2 monetarisatie</t>
  </si>
  <si>
    <t>&gt;75.000</t>
  </si>
  <si>
    <t>Netto prijs [€/km]</t>
  </si>
  <si>
    <t>Financierings- kosten [€/km]</t>
  </si>
  <si>
    <t>BPM [€/km]</t>
  </si>
  <si>
    <t>Afschrijving [€/km]</t>
  </si>
  <si>
    <t>MIA [€/km]</t>
  </si>
  <si>
    <t>Verzekering [€/km]</t>
  </si>
  <si>
    <t>MRB [€/km]</t>
  </si>
  <si>
    <t>Brandstof -/ elektriciteitskosten [€/km]</t>
  </si>
  <si>
    <t>Onderhoudskosten [€/km]</t>
  </si>
  <si>
    <t xml:space="preserve">Schadekosten [€ / km] </t>
  </si>
  <si>
    <t>Totale periodieke kosten voertuigen</t>
  </si>
  <si>
    <t>Nieuw - Aantal km / jaar</t>
  </si>
  <si>
    <t>Dashboard</t>
  </si>
  <si>
    <t>Dashboard wagenpark</t>
  </si>
  <si>
    <t>Aantal</t>
  </si>
  <si>
    <t>Laadprofiel</t>
  </si>
  <si>
    <t>Openbaar regulier</t>
  </si>
  <si>
    <t>Openbaar snel</t>
  </si>
  <si>
    <t>Op remise</t>
  </si>
  <si>
    <t>Aandeel</t>
  </si>
  <si>
    <t>Waterstof</t>
  </si>
  <si>
    <t>3. TCO resultaat - OPEX</t>
  </si>
  <si>
    <t>4. Milieu impact tijdens looptijd (WTW)</t>
  </si>
  <si>
    <t>5. Huidig wagenpark</t>
  </si>
  <si>
    <t>6. Context</t>
  </si>
  <si>
    <t>1. TCO resultaat - TOTAAL</t>
  </si>
  <si>
    <t>Houdt rekening met een bandbreedte van plus of min 15%</t>
  </si>
  <si>
    <t>WTW CO2 uitstoot [kg CO2/km]</t>
  </si>
  <si>
    <t>De kosten(besparing) kleurt groen of rood als er respectivelijk een besparing of extra kosten zijn</t>
  </si>
  <si>
    <t xml:space="preserve">        Load balancing zorgt ervoor dat de laadsnelheid, en dus het gevraagde vermogen, tussen de verschillende laadpunten verdeeld wordt zodat de impact op het elektriciteitsnet en investeringskosten voor de aansluiting beperkt blijven. </t>
  </si>
  <si>
    <t xml:space="preserve">     - Voor ieder voertuig dat 's nachts mee gaat naar huis met de bestuurder, is geen laadpunt benodigd op de remise.</t>
  </si>
  <si>
    <t>8.4 Aandeel laden op eigen oprit thuis</t>
  </si>
  <si>
    <t>8.5 Aandeel laden totaal</t>
  </si>
  <si>
    <t xml:space="preserve">8.1 Aandeel laden op kantoor / remise </t>
  </si>
  <si>
    <t xml:space="preserve">De som van het aandeel laden op remise / kantoor, openbaar regulier laden, openbaar snelladen, laden op eigen oprit moet 100% (COMPLEET); als dit niet het geval is geeft cel C19 "ERROR" aan. </t>
  </si>
  <si>
    <t>Elektriciteit - eigen oprit</t>
  </si>
  <si>
    <t>I) Chauffeurskosten &amp; kosten stilstand voertuigen</t>
  </si>
  <si>
    <t xml:space="preserve">2. TCO resultaat - CAPEX </t>
  </si>
  <si>
    <t>6.1 De geanalyseerde vloot bestaat uit</t>
  </si>
  <si>
    <t>6.2 De gekozen looptijd voor de TCO analyse is</t>
  </si>
  <si>
    <t>6.3 De gekozen elektriciteitsbron is</t>
  </si>
  <si>
    <t>6.4 De maatschappelijke kosten per ton CO2 zijn</t>
  </si>
  <si>
    <t>6.5 De gebruikte laadopties voor het laadprofiel zijn</t>
  </si>
  <si>
    <t>Eigen oprit</t>
  </si>
  <si>
    <t>BTW voertuigen</t>
  </si>
  <si>
    <t>Financieringskosten voertuigen</t>
  </si>
  <si>
    <t>Selectie nieuw wagenpark</t>
  </si>
  <si>
    <t>VW e-Golf, Hyundai IONIQ electric, Nissan Leaf 2, Opel Ampera-e, VW ID.3, Mercedes EQA, Seat el-Born</t>
  </si>
  <si>
    <t>Renault Zoe, BMWi3, Mini Electric, Opel e-Corsa, 
Peugeot e-208</t>
  </si>
  <si>
    <t>Citroën C-Zero, Peugeot iOn, Volkswagen e-Up, Smart EQ4/2,
Seat Mii Electric, Skoda CITIGOe IV</t>
  </si>
  <si>
    <t>Hyundai Kona, Kia e-Niro, Soul EV, Peugeot e-2008 SUV
Skoda Vision IV</t>
  </si>
  <si>
    <t>Jaguar I-Pace, Tesla Model X, Audi e-tron 55 quatro, 
MB EQC, BMW iX3</t>
  </si>
  <si>
    <t>Renault Kangoo Maxi ZE 33 </t>
  </si>
  <si>
    <t>BEV </t>
  </si>
  <si>
    <t>Ja </t>
  </si>
  <si>
    <t>2013 </t>
  </si>
  <si>
    <t>33 </t>
  </si>
  <si>
    <t>200 </t>
  </si>
  <si>
    <t>124 </t>
  </si>
  <si>
    <t>MPV-middel </t>
  </si>
  <si>
    <t>25k </t>
  </si>
  <si>
    <t>Nee </t>
  </si>
  <si>
    <t>- </t>
  </si>
  <si>
    <t>Middelgrote MPV, beperkte ruimte. </t>
  </si>
  <si>
    <t>Nissan E-NV200 Evalia </t>
  </si>
  <si>
    <t>2014 </t>
  </si>
  <si>
    <t>40 </t>
  </si>
  <si>
    <t>PB-middel </t>
  </si>
  <si>
    <t>7 </t>
  </si>
  <si>
    <t>37k </t>
  </si>
  <si>
    <t>Middelgrote personenbus. </t>
  </si>
  <si>
    <t>Maxus EV80 Full Electric </t>
  </si>
  <si>
    <t>56 </t>
  </si>
  <si>
    <t>BB-groot </t>
  </si>
  <si>
    <t>≥ 2 </t>
  </si>
  <si>
    <t>51k </t>
  </si>
  <si>
    <t>2.550 </t>
  </si>
  <si>
    <t>Groot formaat elektrische bestelbus. </t>
  </si>
  <si>
    <t>H4 elektrische bus </t>
  </si>
  <si>
    <t>N.v.t. </t>
  </si>
  <si>
    <t>30 </t>
  </si>
  <si>
    <t>180 </t>
  </si>
  <si>
    <t>112 </t>
  </si>
  <si>
    <t>Rolstoelbus-groot </t>
  </si>
  <si>
    <t>8 </t>
  </si>
  <si>
    <t>NB </t>
  </si>
  <si>
    <t>~2.550 </t>
  </si>
  <si>
    <t>Op basis van Maxus EV80. H4Mobility en H4Lease hebben twee voertuigen. </t>
  </si>
  <si>
    <t>Peugeot Traveller, </t>
  </si>
  <si>
    <t>Citroën SpaceTourer, Toyota ProAce </t>
  </si>
  <si>
    <t>2016 </t>
  </si>
  <si>
    <t>60 </t>
  </si>
  <si>
    <t>150 </t>
  </si>
  <si>
    <t>300 </t>
  </si>
  <si>
    <t>93 </t>
  </si>
  <si>
    <t>186 </t>
  </si>
  <si>
    <t>Retrofit door Freedom Auto Aanpassingen. De Peugeot, Citroën en Toyota hebben dezelfde basis. </t>
  </si>
  <si>
    <t>Citroen E-Berlingo Multispace, </t>
  </si>
  <si>
    <t>Peugeot Partner Tepee Electric </t>
  </si>
  <si>
    <t>2017 </t>
  </si>
  <si>
    <t>23 </t>
  </si>
  <si>
    <t>170 </t>
  </si>
  <si>
    <t>105 </t>
  </si>
  <si>
    <t>De Peugeot en Citroën hebben dezelfde basis. Acht jaar garantie of 100.000 km op accu. </t>
  </si>
  <si>
    <t>Symbio – Renault Kangoo ZE REH2 </t>
  </si>
  <si>
    <t>FCEV </t>
  </si>
  <si>
    <t>400 </t>
  </si>
  <si>
    <t>Retrofit BEV naar FCEV. In 2018 al 200 voertuigen. </t>
  </si>
  <si>
    <t>Symbio – Nissan HY E-NV 200 </t>
  </si>
  <si>
    <t>Retrofit BEV naar FCEV. Conceptversie. </t>
  </si>
  <si>
    <t>VDL MidBasic Electric </t>
  </si>
  <si>
    <t>2018 </t>
  </si>
  <si>
    <t>72 </t>
  </si>
  <si>
    <t>92 </t>
  </si>
  <si>
    <t>PB-groot </t>
  </si>
  <si>
    <t>Retrofit, op basis van Mercedes Sprinter. </t>
  </si>
  <si>
    <t>Tribus e-Civitas &amp; e-Ducato </t>
  </si>
  <si>
    <t>70 </t>
  </si>
  <si>
    <t>76 </t>
  </si>
  <si>
    <t>220 </t>
  </si>
  <si>
    <t>136 </t>
  </si>
  <si>
    <t>Retrofit, op basis van Fiat Ducato. </t>
  </si>
  <si>
    <t>Renault Master ZE </t>
  </si>
  <si>
    <t>120 </t>
  </si>
  <si>
    <t>74 </t>
  </si>
  <si>
    <t>63k </t>
  </si>
  <si>
    <t>2.100 </t>
  </si>
  <si>
    <t>Bestelbus, in diverse maten te koop. </t>
  </si>
  <si>
    <t>Mercedes Benz Concept Sprinter F-Cell </t>
  </si>
  <si>
    <t>Nog niet </t>
  </si>
  <si>
    <t>30/500 </t>
  </si>
  <si>
    <t>BB/PB-groot </t>
  </si>
  <si>
    <t>3/8 </t>
  </si>
  <si>
    <t>Brandstofcel, deels ktrisch. Productie klaar. Wachten op uitrol waterstofinfra. </t>
  </si>
  <si>
    <t>Volkswagen HyMotion </t>
  </si>
  <si>
    <t>&gt; 500 </t>
  </si>
  <si>
    <t>~2.100 </t>
  </si>
  <si>
    <t>Productie klaar, maar wachten op infrastructuur. GVW 4.200 kg, laadvermogen gelijk aan diesels. </t>
  </si>
  <si>
    <t>Volkswagen E-Crafter </t>
  </si>
  <si>
    <t>2019 </t>
  </si>
  <si>
    <t>36 </t>
  </si>
  <si>
    <t>173 </t>
  </si>
  <si>
    <t>107 </t>
  </si>
  <si>
    <t>69k </t>
  </si>
  <si>
    <t>2.445 </t>
  </si>
  <si>
    <t>Bestelbus van Volkswagen. </t>
  </si>
  <si>
    <t>Tribus Volkswagen E-Crafter </t>
  </si>
  <si>
    <t>89-94k </t>
  </si>
  <si>
    <t>~2.500 </t>
  </si>
  <si>
    <t>Samenwerking tussen Tribus, PON en Pitpoint voor een elektrisch rolstoelbus. </t>
  </si>
  <si>
    <t>Mercedes Vito eTourer </t>
  </si>
  <si>
    <t>41 </t>
  </si>
  <si>
    <t>160 </t>
  </si>
  <si>
    <t>99 </t>
  </si>
  <si>
    <t>44k </t>
  </si>
  <si>
    <t>MAN eTGE </t>
  </si>
  <si>
    <t>~70k </t>
  </si>
  <si>
    <t>Grote bestelbus, zelfde basis als de VW E-Crafter. </t>
  </si>
  <si>
    <t>IVECO Daily Electric </t>
  </si>
  <si>
    <t>(84) </t>
  </si>
  <si>
    <t>(280) </t>
  </si>
  <si>
    <t>(174) </t>
  </si>
  <si>
    <t>Grote bestelbus. Onduidelijk of grote accupakket beschik-baar is voor bestelwagen. </t>
  </si>
  <si>
    <t>Mercedes eSprinter </t>
  </si>
  <si>
    <t>55 </t>
  </si>
  <si>
    <t>2.600 </t>
  </si>
  <si>
    <t>Grote bestelbus. </t>
  </si>
  <si>
    <t>Volkswagen e-Caddy/e-Combi </t>
  </si>
  <si>
    <t>37 </t>
  </si>
  <si>
    <t>Door Volkswagen’s huistuner Abt. Geen retrofit. </t>
  </si>
  <si>
    <t>Volkswagen Multivan EV </t>
  </si>
  <si>
    <t>38 </t>
  </si>
  <si>
    <t>78 </t>
  </si>
  <si>
    <t>248 </t>
  </si>
  <si>
    <t>Citroen Jumper &amp; Peugeot Boxer elect. </t>
  </si>
  <si>
    <t>2020 </t>
  </si>
  <si>
    <t>PSA elektrische bus, geen retrofit. Zelfde platform als Fiat Ducato. </t>
  </si>
  <si>
    <t>Fiat Ducato </t>
  </si>
  <si>
    <t>360 </t>
  </si>
  <si>
    <t>223 </t>
  </si>
  <si>
    <t>Deelt basis met Citroen en Peugeot. </t>
  </si>
  <si>
    <t>Volkswagen ID Buzz </t>
  </si>
  <si>
    <t>2022 </t>
  </si>
  <si>
    <t>&gt; 5 </t>
  </si>
  <si>
    <t>Aangekondigd op Volkswagen website. </t>
  </si>
  <si>
    <t>Mercedes EQV </t>
  </si>
  <si>
    <t>100 </t>
  </si>
  <si>
    <t>75k </t>
  </si>
  <si>
    <t>Gepresenteerd op IAA 2019. </t>
  </si>
  <si>
    <t>Merk/model </t>
  </si>
  <si>
    <t>Techniek </t>
  </si>
  <si>
    <t>Vanaf </t>
  </si>
  <si>
    <t>Accu (kWh) </t>
  </si>
  <si>
    <t>Theoretische actieradius (km) </t>
  </si>
  <si>
    <t>Actieradius in praktijk </t>
  </si>
  <si>
    <t>Uitvoering </t>
  </si>
  <si>
    <t>Zit-plaatsen </t>
  </si>
  <si>
    <t>Potentieel rolstoel-plaatsen </t>
  </si>
  <si>
    <t>Prijs excl. BTW, excl. BPM (€) </t>
  </si>
  <si>
    <t>Snel-laden </t>
  </si>
  <si>
    <t>Leeg- </t>
  </si>
  <si>
    <t>Details </t>
  </si>
  <si>
    <t>Nog opnemen</t>
  </si>
  <si>
    <t>Leverbaar</t>
  </si>
  <si>
    <t>Traveller</t>
  </si>
  <si>
    <t>E-Berlingo Multispace</t>
  </si>
  <si>
    <t>VDL</t>
  </si>
  <si>
    <t>Uitvoering</t>
  </si>
  <si>
    <t>Factor WLTP / NEDC</t>
  </si>
  <si>
    <t>Voorbeelden voertuigen*</t>
  </si>
  <si>
    <t>*</t>
  </si>
  <si>
    <t>Voertuigen die op dit moment of in 2020 beschikbaar komen vormen input voor de TCO.</t>
  </si>
  <si>
    <t>Aanname dat gebruikers van het F-segment, ook een Tesla model S aanschaffen.</t>
  </si>
  <si>
    <t>Segment (used for selection average)</t>
  </si>
  <si>
    <t>https://www.toyota.nl/over-toyota/toyota-world/Toyota-PROACE-elektric-modellen.json</t>
  </si>
  <si>
    <t>Daily Electric gesloten bestel 56 kWh</t>
  </si>
  <si>
    <t>Boxer / Jumper electric L1, L2</t>
  </si>
  <si>
    <t>Boxer / Jumpe relectric  L3, L4</t>
  </si>
  <si>
    <t>https://www.electrive.com/2019/04/30/peugeot-boxer-and-citroen-jumper-with-electric-drive/
https://www.electrive.com/2019/10/17/peugeot-confirms-electric-expert-and-jumpy/
https://insideevs.com/news/347847/peugeot-boxer-electric-commercial-vehicle-show/</t>
  </si>
  <si>
    <t>Maxus EV90 L3H3 52 kWh</t>
  </si>
  <si>
    <t>Maxus EV90 L2H3 72 kWh</t>
  </si>
  <si>
    <t>https://www.vwbedrijfswagens.nl/nl/over-volkswagen/actueel/nieuws2018/volkswagen-bedrijfswagens-gaat-elektrisch-met-de-abt-e-caddy-en-.html
https://www.autoweek.nl/autonieuws/artikel/abt-lanceert-elektrische-volkswagen-caddy/</t>
  </si>
  <si>
    <t xml:space="preserve">VDL </t>
  </si>
  <si>
    <t>Taxibus Groot / Rolstoelbus</t>
  </si>
  <si>
    <t>MidBasic Electric (Retrofit, op basis van Mercedes Sprinter)</t>
  </si>
  <si>
    <t xml:space="preserve">Tribus </t>
  </si>
  <si>
    <t>8+1, 1 rol</t>
  </si>
  <si>
    <t>e-Civitas 10 &amp; e-Ducato (Retrofit, op basis van Fiat Ducato)</t>
  </si>
  <si>
    <t>Studie CE Delft (zie tab _CE_Delft)</t>
  </si>
  <si>
    <t>NB</t>
  </si>
  <si>
    <t>nee (onduidelijk leverbaarheid)</t>
  </si>
  <si>
    <t>Mercedes Benz</t>
  </si>
  <si>
    <t>https://autobahn.eu/artikel/19438/mercedes-benz-eqv-het-eerste-elektrische-premium-busje
https://www.mercedes-benz.com/en/eq/eqv/eqv/</t>
  </si>
  <si>
    <t>Gemiddelde FCEV + range extender</t>
  </si>
  <si>
    <r>
      <rPr>
        <u/>
        <sz val="14"/>
        <color theme="1"/>
        <rFont val="Calibri (Hoofdtekst)_x0000_"/>
      </rPr>
      <t>Let op:</t>
    </r>
    <r>
      <rPr>
        <sz val="14"/>
        <color theme="1"/>
        <rFont val="Calibri"/>
        <family val="2"/>
        <scheme val="minor"/>
      </rPr>
      <t xml:space="preserve"> Vul hier het aantal BEV en FCEV-range extender voertuigen in. Dit zijn namelijk de voertuigen die aan de "stekker laden". Dit is exclusief het aantal FCEV personenauto's; deze rijden volledig op waterstof.</t>
    </r>
  </si>
  <si>
    <t>Netto prijs voertuigen</t>
  </si>
  <si>
    <t>Tot op heden nog geen FCEV model beschikbaar</t>
  </si>
  <si>
    <t>2020-2021</t>
  </si>
  <si>
    <t>Mecedes Benz</t>
  </si>
  <si>
    <t>11.1 Handmatige invoer restwaardepercentage?</t>
  </si>
  <si>
    <t>11.2 Handmatige invoer restwaardepercentage fossiel</t>
  </si>
  <si>
    <t>11.3 Handmatige invoer restwaardepercentage zero emissie</t>
  </si>
  <si>
    <t>12. Rentepercentage financieringskosten</t>
  </si>
  <si>
    <t>10.1 Wat is de verwachte laadtijd overdag tijdens dienst?</t>
  </si>
  <si>
    <t>uur / dag</t>
  </si>
  <si>
    <t>10.2 Wat zijn de kosten per uur voor een chauffeur?</t>
  </si>
  <si>
    <t>€ / uur</t>
  </si>
  <si>
    <t>dagen</t>
  </si>
  <si>
    <t>Uur/dag</t>
  </si>
  <si>
    <t>Dagen/jaar</t>
  </si>
  <si>
    <t>Bepaling mogelijke extra chauffeurskosten bij overstap BEV</t>
  </si>
  <si>
    <t>10.0 Wilt u extra chauffeurskosten meenemen in TCO?</t>
  </si>
  <si>
    <t>Chauffeurskosten meenemen</t>
  </si>
  <si>
    <t>Dit tarief dient u zelf in te vullen.</t>
  </si>
  <si>
    <t>10.3 Wat is het aantal actieve dagen per jaar?</t>
  </si>
  <si>
    <t>e-Vito 2e gen. (long range)</t>
  </si>
  <si>
    <t>Volkswagen Transporter Kombi L2H1</t>
  </si>
  <si>
    <t>RENAULT CLIO 1.5DCI 66KW ZEN</t>
  </si>
  <si>
    <t>20.000 km/jaar</t>
  </si>
  <si>
    <t>Fiscale waarde; incl. BTW en BPM</t>
  </si>
  <si>
    <t>VW Crafter L3H2 bestel GVW 3.5 ton (ombouw naar personen door Tribus)</t>
  </si>
  <si>
    <t>Vito eTourer L3 ExtraLang</t>
  </si>
  <si>
    <t>Renault Master ZE</t>
  </si>
  <si>
    <t>MB EQV</t>
  </si>
  <si>
    <t>Master Z.E. 33 kWh (ombouw Tribus) L3H2 T35</t>
  </si>
  <si>
    <t>Restwaarde voertuigen</t>
  </si>
  <si>
    <t>kW</t>
  </si>
  <si>
    <t>kWh/km</t>
  </si>
  <si>
    <t>kW AC</t>
  </si>
  <si>
    <t>km/u</t>
  </si>
  <si>
    <t>K) Laadinfrastructuur &amp; netaansluiting</t>
  </si>
  <si>
    <t>Netaansluiting en netbeheerderskosten</t>
  </si>
  <si>
    <t>Eenmalige aansluitvergoeding, gem. per laadpunt - min. vermogen (7.2 kW per laadpunt)</t>
  </si>
  <si>
    <t>Eenmalige aansluitvergoeding, gem. per laadpunt - max vermogen (22 kW per laadpunt)</t>
  </si>
  <si>
    <t>9.4 Handmatige invoer "deelgebruik laadpunt"?</t>
  </si>
  <si>
    <t>9.5 Handmatige invoer "deelgebruik" (aantal voertuigen per laadpunt)</t>
  </si>
  <si>
    <t>Maximaal laden of smart charging toepasen?</t>
  </si>
  <si>
    <t>Laadinfrastructuur &amp; netaansluiting</t>
  </si>
  <si>
    <t>BTW laadinfra &amp; net</t>
  </si>
  <si>
    <t>Financieringskosten laadinfra &amp; net</t>
  </si>
  <si>
    <t>Periodieke kosten netbeheer, gem. per laadpunt - max vermogen (22 kW per laadpunt)</t>
  </si>
  <si>
    <t>Periodieke kosten netbeheer, gem. per laadpunt - min. vermogen (7.2 kW per laadpunt)</t>
  </si>
  <si>
    <t>9.3 Wilt u Load Balancing toepassen?</t>
  </si>
  <si>
    <t>Restwaardepercentage laadinfrastructuur en netaansluiting</t>
  </si>
  <si>
    <t>B&amp;O en periodieke kosten laadinfra &amp; net</t>
  </si>
  <si>
    <t>Afschrijving laadinfra &amp; netaansluiting</t>
  </si>
  <si>
    <t xml:space="preserve">Gemiddelde verbruikscijfers </t>
  </si>
  <si>
    <t xml:space="preserve">Gemiddeld verbruik segmenten bestel- en taxibussen - diesel </t>
  </si>
  <si>
    <t>Gemiddeld verbruik segmenten bestel- en taxibussen - CNG</t>
  </si>
  <si>
    <t>Gemiddeld verbruik segmenten bestel- en taxibussen - BEV</t>
  </si>
  <si>
    <t>Gemiddeld verbruik segmenten bestel- en taxibussen - FCEV</t>
  </si>
  <si>
    <t>Gemiddeld verbruik segment kippers - diesel</t>
  </si>
  <si>
    <t>Gemiddeld verbruik segment kippers  -  FCEV</t>
  </si>
  <si>
    <t>Personenauto's</t>
  </si>
  <si>
    <t>Gemiddeld verbruik segment veegmachines - diesel</t>
  </si>
  <si>
    <t>Gemiddeld verbruik segment veegmachines -  FCEV</t>
  </si>
  <si>
    <t>Gemiddeld verbruik segment veegmachines  -  BEV</t>
  </si>
  <si>
    <t>Gemiddeld verbruik segment huisvuilwagens - BEV</t>
  </si>
  <si>
    <t>Gemiddeld verbruik segment huisvuilwagens - FCEV</t>
  </si>
  <si>
    <t>Gemiddeld verbruik segment  huisvuilwagens - diesel</t>
  </si>
  <si>
    <t xml:space="preserve">km/L </t>
  </si>
  <si>
    <t xml:space="preserve">km/kg </t>
  </si>
  <si>
    <t>Uitstootcijfers (WTW)</t>
  </si>
  <si>
    <t>Taxi- en bestelbussen</t>
  </si>
  <si>
    <t>Gemiddeld verbruik segmenten bestel- en taxibussen - benzine*</t>
  </si>
  <si>
    <t>Gemiddelde onderhoudskosten segmenten personenauto's - FCEV</t>
  </si>
  <si>
    <t>Gemiddelde onderhoudskosten segmenten bestelauto's - FCEV</t>
  </si>
  <si>
    <t>Taxi- en bestwagens</t>
  </si>
  <si>
    <t>Gemiddeld verbruik segment kippers  -  BEV</t>
  </si>
  <si>
    <t>Gemiddelde onderhoudskosten segmenten personenauto's - fossiel aangedreven</t>
  </si>
  <si>
    <t>Gemiddelde onderhoudskosten segmenten taxi- en bestelauto's - fossiel aangedreven</t>
  </si>
  <si>
    <t>Gemiddelde onderhoudskosten segmenten kippers - fossiel aangedreven</t>
  </si>
  <si>
    <t>Gemiddelde onderhoudskosten segmenten kippers - BEV</t>
  </si>
  <si>
    <t>Gemiddelde onderhoudskosten segmenten kippers - FCEV</t>
  </si>
  <si>
    <t>Gemiddelde onderhoudskosten segmenten veegmachines - fossiel aangedreven</t>
  </si>
  <si>
    <t>Gemiddelde onderhoudskosten segmenten veegmachines - BEV</t>
  </si>
  <si>
    <t>Gemiddelde onderhoudskosten segmenten veegmachines - FCEV</t>
  </si>
  <si>
    <t>Gemiddelde onderhoudskosten segmenten huisvuilwagens - fossiel aangedreven</t>
  </si>
  <si>
    <t>Gemiddelde onderhoudskosten segmenten huisvuilwagens - BEV</t>
  </si>
  <si>
    <t>Gemiddelde onderhoudskosten segmenten huisvuilwagens - FCEV</t>
  </si>
  <si>
    <t>Gemeentelijke voertuigen (speciale voertuigen)</t>
  </si>
  <si>
    <t>Laders op eigen terrein?</t>
  </si>
  <si>
    <t>km BEV  &amp; FCEV</t>
  </si>
  <si>
    <t>Gemiddelde kosten per kilometer per voertuig</t>
  </si>
  <si>
    <t>Handig voor interne check; bij oplevering kolom verbergen.</t>
  </si>
  <si>
    <t>Meerkosten chauffeur</t>
  </si>
  <si>
    <t>Laadinfra en netaansluiting excl. BTW</t>
  </si>
  <si>
    <t>Gemiddelde spreiding</t>
  </si>
  <si>
    <t>Gemiddelde turn-key cost per laadpunt o.b.v. diverse offertes van verschillende aanbieers voor &gt;20 laadpunten</t>
  </si>
  <si>
    <t>Maximale  turn-key cost per laadpunt o.b.v. diverse offertes van verschillende aanbieers voor &gt;20 laadpunten</t>
  </si>
  <si>
    <t>Minimale  turn-key cost per laadpunt o.b.v. diverse offertes van verschillende aanbieers voor &gt;20 laadpunten</t>
  </si>
  <si>
    <t xml:space="preserve">     - Het is een balans ofwel optimalisatie tussen investeringskosten hardware en bedrijfsvoering (laadtijd). De turnkey investeringskosten van een 50 kW CCS snellader zijn namelijk een stuk hoger (€30,000 - €35,000);</t>
  </si>
  <si>
    <t xml:space="preserve">     - Eenvoudige uitbreiding met minimale impact op het elektriciteitsnet;</t>
  </si>
  <si>
    <t xml:space="preserve">     - Met een 22kW lader kan er 80 à 100 kilometer per uur worden bijgeladen.</t>
  </si>
  <si>
    <t xml:space="preserve">        We veronderstellen het als onwenselijk om voertuigen ’s nachts te moeten verplaatsen. Wel is het concept “Load Balancing” opgenomen en meegenomen in kostenberekening voor zowel de laadinfra als netaansluiting.</t>
  </si>
  <si>
    <t xml:space="preserve">     - Overdag verwachten we een laadmix van openbaar snelladen, laden in de wijk bij de bestuurder of op de remise. </t>
  </si>
  <si>
    <t xml:space="preserve">        Hierbij nemen we aan dat het vastgestelde aantal laders op remise voor 's nachts laden, tevens voor overdag toereikend is voor het aantal voertuigen dat wil laden. </t>
  </si>
  <si>
    <t>6. Kosten netaansluiting en netbeheer:</t>
  </si>
  <si>
    <t xml:space="preserve">   - De kosten voor de netaansluiting is een ruwe inschatting die gemaakt is o.b.v. de realisatie van 20 laadpalen (40 laadpunten) in Stedin gebied voor een grootzakelijke netaansluiting (tarieven 2020).</t>
  </si>
  <si>
    <t>AIM (2017). Kerncijfers zorgvervoer.</t>
  </si>
  <si>
    <t>https://ai-mobiliteit.nl/ai-mobiliteit/download/common/aim-rapport-kerncijfers-zorgvervoer-2017.pdf</t>
  </si>
  <si>
    <r>
      <t xml:space="preserve">   Dit is mogelijk door in tabblad '</t>
    </r>
    <r>
      <rPr>
        <i/>
        <sz val="14"/>
        <color rgb="FF1D1C1D"/>
        <rFont val="Corbel"/>
      </rPr>
      <t>1a. Invoer parameters'</t>
    </r>
    <r>
      <rPr>
        <sz val="14"/>
        <color rgb="FF1D1C1D"/>
        <rFont val="Corbel"/>
      </rPr>
      <t xml:space="preserve">  het aantal voertuigen te verhogen (standaard: 1-op-1 vervanging).</t>
    </r>
  </si>
  <si>
    <t>1) Impact overstap EV</t>
  </si>
  <si>
    <t>- Stilstandtijd: hieronder valt voornamelijk (extra) laadtijd ten opzichte van (fossiel) tanken</t>
  </si>
  <si>
    <t>2) Opname impact van deze onderdelen in analyse in TCO-tool</t>
  </si>
  <si>
    <t>Overweging voor het opnemen analyse chauffeurs- en stilstandkosten in TCO tool</t>
  </si>
  <si>
    <t>- Meerkosten chauffeurs: extra loonkosten omdat de chauffeur niet ingezet kan worden.</t>
  </si>
  <si>
    <t>- Chauffeurskosten: kwantitatief door middel van een inschatting van meerkosten o.b.v de wachttijd en het uurloon van de chauffeur. Deze variabelen dient u als gebruiker in te vullen.</t>
  </si>
  <si>
    <t>Veegvuilwagen</t>
  </si>
  <si>
    <t>Speciaal</t>
  </si>
  <si>
    <t>Veegwagen</t>
  </si>
  <si>
    <t>Names</t>
  </si>
  <si>
    <t>Cell ranges</t>
  </si>
  <si>
    <t>_aantal_voertuig_per_laadpunt</t>
  </si>
  <si>
    <t>='2. Invoer parameters'!#REF!</t>
  </si>
  <si>
    <t>_aantal_voertuig_per_laadpunt_berek</t>
  </si>
  <si>
    <t>=Parameters!$B$604</t>
  </si>
  <si>
    <t>_actieve_dagen_per_jaar</t>
  </si>
  <si>
    <t>='2. Invoer parameters'!$C$33</t>
  </si>
  <si>
    <t>_actieve_uren_per_dag</t>
  </si>
  <si>
    <t>_CAPEX_laadpunt_22kW</t>
  </si>
  <si>
    <t>=Parameters!$B$591</t>
  </si>
  <si>
    <t>_CAPEX_laadpunt_22kW_turn_key</t>
  </si>
  <si>
    <t>=Parameters!$B$586</t>
  </si>
  <si>
    <t>_CAPEX_laadpunt_22kW_turn_key_max</t>
  </si>
  <si>
    <t>=Parameters!$B$588</t>
  </si>
  <si>
    <t>_CAPEX_laadpunt_22kW_turn_key_min</t>
  </si>
  <si>
    <t>=Parameters!$B$587</t>
  </si>
  <si>
    <t>_capex_net</t>
  </si>
  <si>
    <t>='2. Invoer parameters'!$C$326</t>
  </si>
  <si>
    <t>_CAPEX_overig_22kW</t>
  </si>
  <si>
    <t>=Parameters!$B$593</t>
  </si>
  <si>
    <t>_CO2_prijs</t>
  </si>
  <si>
    <t>='/Users/robinmatton/Dropbox (EVConsult)/EVConsult bv/4. Producten/18/1881 RVO Zuid Oost Brabant/Concepten/TCO scan/[190128 - Concept TCO-tool doelgroepenvervoer_wagenpark Alptax.xlsx]2. Invoer parameters'!$C$174</t>
  </si>
  <si>
    <t>_extra_capex_CNG_tov_benzine</t>
  </si>
  <si>
    <t>=_CNG!$C$33</t>
  </si>
  <si>
    <t>_input_aantal_voertuig_per_laadpunt</t>
  </si>
  <si>
    <t>='2. Invoer parameters'!$C$318</t>
  </si>
  <si>
    <t>_laadtijd_buiten_pauze</t>
  </si>
  <si>
    <t>='2. Invoer parameters'!$C$31</t>
  </si>
  <si>
    <t>_MIA_max_bestel</t>
  </si>
  <si>
    <t>=Parameters!$B$543</t>
  </si>
  <si>
    <t>_MIA_max_pers</t>
  </si>
  <si>
    <t>=Parameters!$B$542</t>
  </si>
  <si>
    <t>_MIA_max_personen_H2</t>
  </si>
  <si>
    <t>=Parameters!$B$544</t>
  </si>
  <si>
    <t>_MIA_perc</t>
  </si>
  <si>
    <t>=Parameters!$D$539</t>
  </si>
  <si>
    <t>_Ombouwkosten_bestel_personen</t>
  </si>
  <si>
    <t>=Parameters!$C$611</t>
  </si>
  <si>
    <t>_Ombouwkosten_rolstoel_groot</t>
  </si>
  <si>
    <t>=Parameters!$C$609</t>
  </si>
  <si>
    <t>_Ombouwkosten_rolstoel_groot_ZE</t>
  </si>
  <si>
    <t>=Parameters!$C$610</t>
  </si>
  <si>
    <t>_OPEX_laadpunt_22kW_jaar</t>
  </si>
  <si>
    <t>=Parameters!$B$602</t>
  </si>
  <si>
    <t>_OPEX_stallingskosten_per_maand</t>
  </si>
  <si>
    <t>=Parameters!#REF!</t>
  </si>
  <si>
    <t>_periodiek_net</t>
  </si>
  <si>
    <t>='2. Invoer parameters'!$C$327</t>
  </si>
  <si>
    <t>_restwaarde_perc_laadpunten</t>
  </si>
  <si>
    <t>='2. Invoer parameters'!$C$329</t>
  </si>
  <si>
    <t>_schadekosten_per_km</t>
  </si>
  <si>
    <t>=Parameters!$B$527</t>
  </si>
  <si>
    <t>_uurloon_chauffeur</t>
  </si>
  <si>
    <t>='2. Invoer parameters'!$C$32</t>
  </si>
  <si>
    <t>_venootbelasting_perc</t>
  </si>
  <si>
    <t>=Parameters!$D$541</t>
  </si>
  <si>
    <t>_verh_H2_accu_A</t>
  </si>
  <si>
    <t>=Parameters!$AD$103</t>
  </si>
  <si>
    <t>_verh_H2_accu_B</t>
  </si>
  <si>
    <t>=Parameters!$AD$104</t>
  </si>
  <si>
    <t>_verh_H2_accu_bestel_groot</t>
  </si>
  <si>
    <t>=Parameters!$AD$121</t>
  </si>
  <si>
    <t>_verh_H2_accu_bestel_klein</t>
  </si>
  <si>
    <t>=Parameters!$AD$119</t>
  </si>
  <si>
    <t>_verh_H2_accu_bestel_middel</t>
  </si>
  <si>
    <t>=Parameters!$AD$120</t>
  </si>
  <si>
    <t>_verh_H2_accu_C</t>
  </si>
  <si>
    <t>=Parameters!$AD$105</t>
  </si>
  <si>
    <t>_verh_H2_accu_D</t>
  </si>
  <si>
    <t>=Parameters!$AD$106</t>
  </si>
  <si>
    <t>_verh_H2_accu_E</t>
  </si>
  <si>
    <t>=Parameters!$AD$107</t>
  </si>
  <si>
    <t>_verh_H2_accu_F</t>
  </si>
  <si>
    <t>=Parameters!$AD$108</t>
  </si>
  <si>
    <t>_verh_H2_accu_J</t>
  </si>
  <si>
    <t>=Parameters!$AD$109</t>
  </si>
  <si>
    <t>_verh_H2_accu_K</t>
  </si>
  <si>
    <t>=Parameters!$AD$110</t>
  </si>
  <si>
    <t>_verh_H2_accu_L</t>
  </si>
  <si>
    <t>=Parameters!$AD$111</t>
  </si>
  <si>
    <t>_verh_H2_accu_M</t>
  </si>
  <si>
    <t>=Parameters!$AD$112</t>
  </si>
  <si>
    <t>_verh_H2_accu_taxi_groot</t>
  </si>
  <si>
    <t>=Parameters!$AD$116</t>
  </si>
  <si>
    <t>_verh_H2_accu_taxi_klein</t>
  </si>
  <si>
    <t>=Parameters!$AD$114</t>
  </si>
  <si>
    <t>_verh_H2_accu_taxi_middel</t>
  </si>
  <si>
    <t>=Parameters!$AD$115</t>
  </si>
  <si>
    <t>_verh_H2_accu_taxi_rolstoelbus</t>
  </si>
  <si>
    <t>=Parameters!$AD$117</t>
  </si>
  <si>
    <t>BPM_belasting</t>
  </si>
  <si>
    <t>='2. Invoer parameters'!$C$10</t>
  </si>
  <si>
    <t>BPM_benz_A</t>
  </si>
  <si>
    <t>=Parameters!$L$31</t>
  </si>
  <si>
    <t>BPM_benz_B</t>
  </si>
  <si>
    <t>=Parameters!$L$32</t>
  </si>
  <si>
    <t>BPM_benz_bestel_groot</t>
  </si>
  <si>
    <t>=Parameters!$L$49</t>
  </si>
  <si>
    <t>BPM_benz_bestel_klein</t>
  </si>
  <si>
    <t>=Parameters!$L$47</t>
  </si>
  <si>
    <t>BPM_benz_bestel_middel</t>
  </si>
  <si>
    <t>=Parameters!$L$48</t>
  </si>
  <si>
    <t>BPM_benz_C</t>
  </si>
  <si>
    <t>=Parameters!$L$33</t>
  </si>
  <si>
    <t>BPM_benz_D</t>
  </si>
  <si>
    <t>=Parameters!$L$34</t>
  </si>
  <si>
    <t>BPM_benz_E</t>
  </si>
  <si>
    <t>=Parameters!$L$35</t>
  </si>
  <si>
    <t>BPM_benz_F</t>
  </si>
  <si>
    <t>=Parameters!$L$36</t>
  </si>
  <si>
    <t>BPM_benz_J</t>
  </si>
  <si>
    <t>=Parameters!$L$37</t>
  </si>
  <si>
    <t>BPM_benz_K</t>
  </si>
  <si>
    <t>=Parameters!$L$38</t>
  </si>
  <si>
    <t>BPM_benz_L</t>
  </si>
  <si>
    <t>=Parameters!$L$39</t>
  </si>
  <si>
    <t>BPM_benz_M</t>
  </si>
  <si>
    <t>=Parameters!$L$40</t>
  </si>
  <si>
    <t>BPM_benz_rolstoelbus</t>
  </si>
  <si>
    <t>=Parameters!$L$45</t>
  </si>
  <si>
    <t>BPM_benz_taxibus_groot</t>
  </si>
  <si>
    <t>=Parameters!$L$44</t>
  </si>
  <si>
    <t>BPM_benz_taxibus_klein</t>
  </si>
  <si>
    <t>=Parameters!$L$42</t>
  </si>
  <si>
    <t>BPM_benz_taxibus_middel</t>
  </si>
  <si>
    <t>=Parameters!$L$43</t>
  </si>
  <si>
    <t>BPM_BEV</t>
  </si>
  <si>
    <t>=Parameters!$D$304</t>
  </si>
  <si>
    <t>BPM_BEV_A</t>
  </si>
  <si>
    <t>=Parameters!$L$79</t>
  </si>
  <si>
    <t>BPM_BEV_B</t>
  </si>
  <si>
    <t>=Parameters!$L$80</t>
  </si>
  <si>
    <t>BPM_BEV_bestel_groot</t>
  </si>
  <si>
    <t>=Parameters!$L$97</t>
  </si>
  <si>
    <t>BPM_BEV_bestel_klein</t>
  </si>
  <si>
    <t>=Parameters!$L$95</t>
  </si>
  <si>
    <t>BPM_BEV_bestel_middel</t>
  </si>
  <si>
    <t>=Parameters!$L$96</t>
  </si>
  <si>
    <t>BPM_BEV_C</t>
  </si>
  <si>
    <t>=Parameters!$L$81</t>
  </si>
  <si>
    <t>BPM_BEV_D</t>
  </si>
  <si>
    <t>=Parameters!$L$82</t>
  </si>
  <si>
    <t>BPM_BEV_E</t>
  </si>
  <si>
    <t>=Parameters!$L$83</t>
  </si>
  <si>
    <t>BPM_BEV_F</t>
  </si>
  <si>
    <t>=Parameters!$L$84</t>
  </si>
  <si>
    <t>BPM_BEV_J</t>
  </si>
  <si>
    <t>=Parameters!$L$85</t>
  </si>
  <si>
    <t>BPM_BEV_K</t>
  </si>
  <si>
    <t>=Parameters!$L$86</t>
  </si>
  <si>
    <t>BPM_BEV_L</t>
  </si>
  <si>
    <t>=Parameters!$L$87</t>
  </si>
  <si>
    <t>BPM_BEV_M</t>
  </si>
  <si>
    <t>=Parameters!$L$88</t>
  </si>
  <si>
    <t>BPM_BEV_taxibus_Groot</t>
  </si>
  <si>
    <t>=Parameters!$L$92</t>
  </si>
  <si>
    <t>BPM_BEV_taxibus_Groot_Ombouw</t>
  </si>
  <si>
    <t>BPM_BEV_taxibus_klein</t>
  </si>
  <si>
    <t>=Parameters!$L$90</t>
  </si>
  <si>
    <t>BPM_BEV_taxibus_middel</t>
  </si>
  <si>
    <t>=Parameters!$L$91</t>
  </si>
  <si>
    <t>BPM_BEV_taxibus_Rolstoelbus</t>
  </si>
  <si>
    <t>=Parameters!$L$93</t>
  </si>
  <si>
    <t>BPM_BEV_taxibus_Rolstoelbus_Ombouw</t>
  </si>
  <si>
    <t>BPM_CNG_A</t>
  </si>
  <si>
    <t>=Parameters!$L$55</t>
  </si>
  <si>
    <t>BPM_CNG_B</t>
  </si>
  <si>
    <t>=Parameters!$L$56</t>
  </si>
  <si>
    <t>BPM_CNG_bestel_groot</t>
  </si>
  <si>
    <t>=Parameters!$L$73</t>
  </si>
  <si>
    <t>BPM_CNG_bestel_klein</t>
  </si>
  <si>
    <t>=Parameters!$L$71</t>
  </si>
  <si>
    <t>BPM_CNG_bestel_middel</t>
  </si>
  <si>
    <t>=Parameters!$L$72</t>
  </si>
  <si>
    <t>BPM_CNG_C</t>
  </si>
  <si>
    <t>=Parameters!$L$57</t>
  </si>
  <si>
    <t>BPM_CNG_D</t>
  </si>
  <si>
    <t>=Parameters!$L$58</t>
  </si>
  <si>
    <t>BPM_CNG_E</t>
  </si>
  <si>
    <t>=Parameters!$L$59</t>
  </si>
  <si>
    <t>BPM_CNG_F</t>
  </si>
  <si>
    <t>=Parameters!$L$60</t>
  </si>
  <si>
    <t>BPM_CNG_J</t>
  </si>
  <si>
    <t>=Parameters!$L$61</t>
  </si>
  <si>
    <t>BPM_CNG_K</t>
  </si>
  <si>
    <t>=Parameters!$L$62</t>
  </si>
  <si>
    <t>BPM_CNG_L</t>
  </si>
  <si>
    <t>=Parameters!$L$63</t>
  </si>
  <si>
    <t>BPM_CNG_M</t>
  </si>
  <si>
    <t>=Parameters!$L$64</t>
  </si>
  <si>
    <t>BPM_CNG_rolstoelbus</t>
  </si>
  <si>
    <t>=Parameters!$L$69</t>
  </si>
  <si>
    <t>BPM_CNG_taxibus_groot</t>
  </si>
  <si>
    <t>=Parameters!$L$68</t>
  </si>
  <si>
    <t>BPM_CNG_taxibus_klein</t>
  </si>
  <si>
    <t>=Parameters!$L$66</t>
  </si>
  <si>
    <t>BPM_CNG_taxibus_middel</t>
  </si>
  <si>
    <t>=Parameters!$L$67</t>
  </si>
  <si>
    <t>BPM_die_A</t>
  </si>
  <si>
    <t>=Parameters!$L$7</t>
  </si>
  <si>
    <t>BPM_die_B</t>
  </si>
  <si>
    <t>=Parameters!$L$8</t>
  </si>
  <si>
    <t>BPM_die_bestel_groot</t>
  </si>
  <si>
    <t>=Parameters!$L$25</t>
  </si>
  <si>
    <t>BPM_die_bestel_klein</t>
  </si>
  <si>
    <t>=Parameters!$L$23</t>
  </si>
  <si>
    <t>BPM_die_bestel_middel</t>
  </si>
  <si>
    <t>=Parameters!$L$24</t>
  </si>
  <si>
    <t>BPM_die_C</t>
  </si>
  <si>
    <t>=Parameters!$L$9</t>
  </si>
  <si>
    <t>BPM_die_D</t>
  </si>
  <si>
    <t>=Parameters!$L$10</t>
  </si>
  <si>
    <t>BPM_die_E</t>
  </si>
  <si>
    <t>=Parameters!$L$11</t>
  </si>
  <si>
    <t>BPM_die_F</t>
  </si>
  <si>
    <t>=Parameters!$L$12</t>
  </si>
  <si>
    <t>BPM_die_G</t>
  </si>
  <si>
    <t>BPM_die_H</t>
  </si>
  <si>
    <t>BPM_die_I</t>
  </si>
  <si>
    <t>BPM_die_J</t>
  </si>
  <si>
    <t>=Parameters!$L$13</t>
  </si>
  <si>
    <t>BPM_die_K</t>
  </si>
  <si>
    <t>=Parameters!$L$14</t>
  </si>
  <si>
    <t>BPM_die_L</t>
  </si>
  <si>
    <t>=Parameters!$L$15</t>
  </si>
  <si>
    <t>BPM_die_M</t>
  </si>
  <si>
    <t>=Parameters!$L$16</t>
  </si>
  <si>
    <t>BPM_die_rolstoelbus</t>
  </si>
  <si>
    <t>=Parameters!$L$21</t>
  </si>
  <si>
    <t>BPM_die_specials_G</t>
  </si>
  <si>
    <t>='/Users/pjotrsillekens/Dropbox (EVConsult)/EVConsult BV nieuw/1. Projects/2. Active Projects/19076 PIANOo update TCO tools/Concepten/TCO-tool/[191126 TCO-tool doelgroepen en dienst vervoer_PS.xlsx]Parameters'!#REF!</t>
  </si>
  <si>
    <t>BPM_die_specials_H</t>
  </si>
  <si>
    <t>BPM_die_specials_I</t>
  </si>
  <si>
    <t>BPM_die_taxibus_groot</t>
  </si>
  <si>
    <t>=Parameters!$L$20</t>
  </si>
  <si>
    <t>BPM_die_taxibus_klein</t>
  </si>
  <si>
    <t>=Parameters!$L$18</t>
  </si>
  <si>
    <t>BPM_die_taxibus_middel</t>
  </si>
  <si>
    <t>=Parameters!$L$19</t>
  </si>
  <si>
    <t>BPM_FCEV</t>
  </si>
  <si>
    <t>=Parameters!$E$304</t>
  </si>
  <si>
    <t>BPM_FCEV_A</t>
  </si>
  <si>
    <t>=Parameters!$L$103</t>
  </si>
  <si>
    <t>BPM_FCEV_B</t>
  </si>
  <si>
    <t>=Parameters!$L$104</t>
  </si>
  <si>
    <t>BPM_FCEV_bestel_groot</t>
  </si>
  <si>
    <t>=Parameters!$L$121</t>
  </si>
  <si>
    <t>BPM_FCEV_bestel_klein</t>
  </si>
  <si>
    <t>=Parameters!$L$119</t>
  </si>
  <si>
    <t>BPM_FCEV_bestel_middel</t>
  </si>
  <si>
    <t>=Parameters!$L$120</t>
  </si>
  <si>
    <t>BPM_FCEV_C</t>
  </si>
  <si>
    <t>=Parameters!$L$105</t>
  </si>
  <si>
    <t>BPM_FCEV_D</t>
  </si>
  <si>
    <t>=Parameters!$L$106</t>
  </si>
  <si>
    <t>BPM_FCEV_E</t>
  </si>
  <si>
    <t>=Parameters!$L$107</t>
  </si>
  <si>
    <t>BPM_FCEV_F</t>
  </si>
  <si>
    <t>=Parameters!$L$108</t>
  </si>
  <si>
    <t>BPM_FCEV_J</t>
  </si>
  <si>
    <t>=Parameters!$L$109</t>
  </si>
  <si>
    <t>BPM_FCEV_K</t>
  </si>
  <si>
    <t>=Parameters!$L$110</t>
  </si>
  <si>
    <t>BPM_FCEV_L</t>
  </si>
  <si>
    <t>=Parameters!$L$111</t>
  </si>
  <si>
    <t>BPM_FCEV_M</t>
  </si>
  <si>
    <t>=Parameters!$L$112</t>
  </si>
  <si>
    <t>BPM_FCEV_rolstoel</t>
  </si>
  <si>
    <t>=Parameters!$L$117</t>
  </si>
  <si>
    <t>BPM_FCEV_specials</t>
  </si>
  <si>
    <t>BPM_FCEV_specials_Rolstoelbus_Ombouw</t>
  </si>
  <si>
    <t>BPM_FCEV_taxi_groot</t>
  </si>
  <si>
    <t>=Parameters!$L$116</t>
  </si>
  <si>
    <t>BPM_FCEV_taxi_klein</t>
  </si>
  <si>
    <t>=Parameters!$L$114</t>
  </si>
  <si>
    <t>BPM_FCEV_taxi_middel</t>
  </si>
  <si>
    <t>=Parameters!$L$115</t>
  </si>
  <si>
    <t>Bruto_cat_BEV_A</t>
  </si>
  <si>
    <t>=Parameters!$N$79</t>
  </si>
  <si>
    <t>Bruto_cat_BEV_B</t>
  </si>
  <si>
    <t>=Parameters!$N$80</t>
  </si>
  <si>
    <t>Bruto_cat_BEV_bestel_groot</t>
  </si>
  <si>
    <t>=Parameters!$N$97</t>
  </si>
  <si>
    <t>Bruto_cat_BEV_bestel_klein</t>
  </si>
  <si>
    <t>=Parameters!$N$95</t>
  </si>
  <si>
    <t>Bruto_cat_BEV_bestel_middel</t>
  </si>
  <si>
    <t>=Parameters!$N$96</t>
  </si>
  <si>
    <t>Bruto_cat_BEV_C</t>
  </si>
  <si>
    <t>=Parameters!$N$81</t>
  </si>
  <si>
    <t>Bruto_cat_BEV_D</t>
  </si>
  <si>
    <t>=Parameters!$N$82</t>
  </si>
  <si>
    <t>Bruto_cat_BEV_E</t>
  </si>
  <si>
    <t>=Parameters!$N$83</t>
  </si>
  <si>
    <t>Bruto_cat_BEV_F</t>
  </si>
  <si>
    <t>=Parameters!$N$84</t>
  </si>
  <si>
    <t>Bruto_cat_BEV_J</t>
  </si>
  <si>
    <t>=Parameters!$N$85</t>
  </si>
  <si>
    <t>Bruto_cat_BEV_L</t>
  </si>
  <si>
    <t>=Parameters!$N$87</t>
  </si>
  <si>
    <t>Bruto_cat_BEV_M</t>
  </si>
  <si>
    <t>=Parameters!$N$88</t>
  </si>
  <si>
    <t>=Parameters!$B$190</t>
  </si>
  <si>
    <t>BTW_BEV_Pers</t>
  </si>
  <si>
    <t>='/Users/michielaldenkamp/Dropbox (EVConsult)/EVConsult BV nieuw/1. Projects/2. Active Projects/19054 NS Roadmap EV(NDA)/Achtergrondinformatie/[190228 - Newest EV models and specs_v2.xlsx]Aannames'!$B$4</t>
  </si>
  <si>
    <t>BTW_Pers_BEV</t>
  </si>
  <si>
    <t>='/Users/michielaldenkamp/Dropbox (EVConsult)/EVConsult BV nieuw/1. Projects/2. Active Projects/19054 NS Roadmap EV(NDA)/Achtergrondinformatie/[190807 - Newest EV models and specs_v2_MA.xlsx]Aannames'!$B$4</t>
  </si>
  <si>
    <t>BTW_verrekening</t>
  </si>
  <si>
    <t>='2. Invoer parameters'!$C$8</t>
  </si>
  <si>
    <t>cat_prijs_net_benz_A</t>
  </si>
  <si>
    <t>=_fossiel_pers!$J$25</t>
  </si>
  <si>
    <t>cat_prijs_net_benz_B</t>
  </si>
  <si>
    <t>=_fossiel_pers!$J$44</t>
  </si>
  <si>
    <t>cat_prijs_net_benz_bestel_klein</t>
  </si>
  <si>
    <t>=_fossiel_LCV!$N$116</t>
  </si>
  <si>
    <t>cat_prijs_net_benz_C</t>
  </si>
  <si>
    <t>=_fossiel_pers!$J$64</t>
  </si>
  <si>
    <t>cat_prijs_net_benz_D</t>
  </si>
  <si>
    <t>=_fossiel_pers!$J$84</t>
  </si>
  <si>
    <t>cat_prijs_net_benz_E</t>
  </si>
  <si>
    <t>=_fossiel_pers!$J$104</t>
  </si>
  <si>
    <t>cat_prijs_net_benz_F</t>
  </si>
  <si>
    <t>=_fossiel_pers!$J$124</t>
  </si>
  <si>
    <t>cat_prijs_net_benz_groot_taxibus</t>
  </si>
  <si>
    <t>=_fossiel_minibus!$I$98</t>
  </si>
  <si>
    <t>cat_prijs_net_benz_J</t>
  </si>
  <si>
    <t>=_fossiel_pers!$J$144</t>
  </si>
  <si>
    <t>cat_prijs_net_benz_kleine_taxibus</t>
  </si>
  <si>
    <t>=_fossiel_minibus!$I$29</t>
  </si>
  <si>
    <t>cat_prijs_net_benz_L</t>
  </si>
  <si>
    <t>=_fossiel_pers!$J$164</t>
  </si>
  <si>
    <t>cat_prijs_net_benz_M</t>
  </si>
  <si>
    <t>=_fossiel_pers!$J$184</t>
  </si>
  <si>
    <t>cat_prijs_net_benz_middel_taxibus</t>
  </si>
  <si>
    <t>=_fossiel_minibus!$I$63</t>
  </si>
  <si>
    <t>cat_prijs_net_benz_rolstoelbus</t>
  </si>
  <si>
    <t>=_fossiel_minibus!$I$130</t>
  </si>
  <si>
    <t>cat_prijs_net_BEV_rolstoelbus</t>
  </si>
  <si>
    <t>=_BEV_minibus!$K$28</t>
  </si>
  <si>
    <t>cat_prijs_net_CNG_bestel_groot</t>
  </si>
  <si>
    <t>=_fossiel_LCV!$N$181</t>
  </si>
  <si>
    <t>cat_prijs_net_CNG_groot_taxibus</t>
  </si>
  <si>
    <t>=_fossiel_minibus!$I$109</t>
  </si>
  <si>
    <t>cat_prijs_net_die_bestel_groot</t>
  </si>
  <si>
    <t>=_fossiel_LCV!$N$82</t>
  </si>
  <si>
    <t>cat_prijs_net_die_bestel_klein</t>
  </si>
  <si>
    <t>=_fossiel_LCV!$N$34</t>
  </si>
  <si>
    <t>cat_prijs_net_die_bestel_middel</t>
  </si>
  <si>
    <t>=_fossiel_LCV!$N$58</t>
  </si>
  <si>
    <t>cat_prijs_net_die_groot_taxibus</t>
  </si>
  <si>
    <t>=_fossiel_minibus!$I$88</t>
  </si>
  <si>
    <t>cat_prijs_net_die_middel_taxibus</t>
  </si>
  <si>
    <t>=_fossiel_minibus!$I$53</t>
  </si>
  <si>
    <t>cat_prijs_net_dies_A</t>
  </si>
  <si>
    <t>=_fossiel_pers!$J$33</t>
  </si>
  <si>
    <t>cat_prijs_net_dies_B</t>
  </si>
  <si>
    <t>=_fossiel_pers!$J$53</t>
  </si>
  <si>
    <t>cat_prijs_net_dies_C</t>
  </si>
  <si>
    <t>=_fossiel_pers!$J$73</t>
  </si>
  <si>
    <t>cat_prijs_net_dies_D</t>
  </si>
  <si>
    <t>=_fossiel_pers!$J$93</t>
  </si>
  <si>
    <t>cat_prijs_net_dies_E</t>
  </si>
  <si>
    <t>=_fossiel_pers!$J$113</t>
  </si>
  <si>
    <t>cat_prijs_net_dies_F</t>
  </si>
  <si>
    <t>=_fossiel_pers!$J$133</t>
  </si>
  <si>
    <t>cat_prijs_net_dies_J</t>
  </si>
  <si>
    <t>=_fossiel_pers!$J$153</t>
  </si>
  <si>
    <t>cat_prijs_net_dies_kleine_taxibus</t>
  </si>
  <si>
    <t>=_fossiel_minibus!$I$17</t>
  </si>
  <si>
    <t>cat_prijs_net_dies_L</t>
  </si>
  <si>
    <t>=_fossiel_pers!$J$173</t>
  </si>
  <si>
    <t>cat_prijs_net_dies_M</t>
  </si>
  <si>
    <t>=_fossiel_pers!$J$193</t>
  </si>
  <si>
    <t>cat_prijs_net_dies_rolstoelbus</t>
  </si>
  <si>
    <t>=_fossiel_minibus!$I$121</t>
  </si>
  <si>
    <t>Efac_benz_TTW</t>
  </si>
  <si>
    <t>=Parameters!$D$156</t>
  </si>
  <si>
    <t>Efac_benz_WTT</t>
  </si>
  <si>
    <t>=Parameters!$E$156</t>
  </si>
  <si>
    <t>Efac_benz_WTW</t>
  </si>
  <si>
    <t>=Parameters!$B$156</t>
  </si>
  <si>
    <t>Efac_bio_CNG_TTW</t>
  </si>
  <si>
    <t>=Parameters!$D$166</t>
  </si>
  <si>
    <t>Efac_bio_CNG_WTT</t>
  </si>
  <si>
    <t>=Parameters!$E$166</t>
  </si>
  <si>
    <t>Efac_bio_CNG_WTW</t>
  </si>
  <si>
    <t>=Parameters!$B$166</t>
  </si>
  <si>
    <t>Efac_CNG_berekening_TTW</t>
  </si>
  <si>
    <t>=Parameters!$D$167</t>
  </si>
  <si>
    <t>Efac_CNG_berekening_WTT</t>
  </si>
  <si>
    <t>=Parameters!$E$167</t>
  </si>
  <si>
    <t>Efac_CNG_berekening_WTW</t>
  </si>
  <si>
    <t>=Parameters!$B$167</t>
  </si>
  <si>
    <t>Efac_CNG_TTW</t>
  </si>
  <si>
    <t>=Parameters!$D$165</t>
  </si>
  <si>
    <t>Efac_CNG_WTT</t>
  </si>
  <si>
    <t>=Parameters!$E$165</t>
  </si>
  <si>
    <t>Efac_CNG_WTW</t>
  </si>
  <si>
    <t>=Parameters!$B$165</t>
  </si>
  <si>
    <t>Efac_die_TTW</t>
  </si>
  <si>
    <t>=Parameters!$D$157</t>
  </si>
  <si>
    <t>Efac_die_WTT</t>
  </si>
  <si>
    <t>=Parameters!$E$157</t>
  </si>
  <si>
    <t>Efac_die_WTW</t>
  </si>
  <si>
    <t>=Parameters!$B$157</t>
  </si>
  <si>
    <t>Efac_elek_berekening_TTW</t>
  </si>
  <si>
    <t>=Parameters!$D$161</t>
  </si>
  <si>
    <t>Efac_elek_berekening_WTW</t>
  </si>
  <si>
    <t>=Parameters!$B$161</t>
  </si>
  <si>
    <t>Efac_elek_grijs_TTW</t>
  </si>
  <si>
    <t>=Parameters!$D$159</t>
  </si>
  <si>
    <t>Efac_elek_grijs_WTT</t>
  </si>
  <si>
    <t>=Parameters!$E$159</t>
  </si>
  <si>
    <t>Efac_elek_grijs_WTW</t>
  </si>
  <si>
    <t>=Parameters!$B$159</t>
  </si>
  <si>
    <t>Efac_elek_groen_TTW</t>
  </si>
  <si>
    <t>=Parameters!$D$160</t>
  </si>
  <si>
    <t>Efac_elek_groen_WTT</t>
  </si>
  <si>
    <t>=Parameters!$E$160</t>
  </si>
  <si>
    <t>Efac_elek_groen_WTW</t>
  </si>
  <si>
    <t>=Parameters!$B$160</t>
  </si>
  <si>
    <t>Efac_elek_mix_TTW</t>
  </si>
  <si>
    <t>=Parameters!$D$158</t>
  </si>
  <si>
    <t>Efac_elek_mix_WTT</t>
  </si>
  <si>
    <t>=Parameters!$E$158</t>
  </si>
  <si>
    <t>Efac_elek_mix_WTW</t>
  </si>
  <si>
    <t>=Parameters!$B$158</t>
  </si>
  <si>
    <t>Efac_H2_berekening_TTW</t>
  </si>
  <si>
    <t>=Parameters!$D$164</t>
  </si>
  <si>
    <t>Efac_H2_berekening_WTW</t>
  </si>
  <si>
    <t>=Parameters!$B$164</t>
  </si>
  <si>
    <t>Efac_H2_TTW_grijs</t>
  </si>
  <si>
    <t>=Parameters!$D$162</t>
  </si>
  <si>
    <t>Efac_H2_TTW_groen</t>
  </si>
  <si>
    <t>=Parameters!$D$163</t>
  </si>
  <si>
    <t>Efac_H2_WTW_grijs</t>
  </si>
  <si>
    <t>=Parameters!$B$162</t>
  </si>
  <si>
    <t>Efac_H2_WTW_groen</t>
  </si>
  <si>
    <t>=Parameters!$B$163</t>
  </si>
  <si>
    <t>Euro_ton_CO2</t>
  </si>
  <si>
    <t>=Parameters!$B$572</t>
  </si>
  <si>
    <t>Factor_verbruik_benzine_diesel</t>
  </si>
  <si>
    <t>=Parameters!$Z$31</t>
  </si>
  <si>
    <t>Factor_verbruik_CNG_diesel</t>
  </si>
  <si>
    <t>=_CNG!$F$6</t>
  </si>
  <si>
    <t>Factor_WLTP_NEDC</t>
  </si>
  <si>
    <t>=_BEV_Pers!$D$96</t>
  </si>
  <si>
    <t>gCO2_km_benz_A</t>
  </si>
  <si>
    <t>=_fossiel_pers!$E$25</t>
  </si>
  <si>
    <t>gCO2_km_benz_B</t>
  </si>
  <si>
    <t>=_fossiel_pers!$E$44</t>
  </si>
  <si>
    <t>gCO2_km_benz_C</t>
  </si>
  <si>
    <t>=_fossiel_pers!$E$64</t>
  </si>
  <si>
    <t>gCO2_km_benz_D</t>
  </si>
  <si>
    <t>=_fossiel_pers!$E$84</t>
  </si>
  <si>
    <t>gCO2_km_benz_E</t>
  </si>
  <si>
    <t>=_fossiel_pers!$E$104</t>
  </si>
  <si>
    <t>gCO2_km_benz_F</t>
  </si>
  <si>
    <t>=_fossiel_pers!$E$124</t>
  </si>
  <si>
    <t>gCO2_km_benz_groot_taxibus</t>
  </si>
  <si>
    <t>=_fossiel_minibus!$D$98</t>
  </si>
  <si>
    <t>gCO2_km_benz_J</t>
  </si>
  <si>
    <t>=_fossiel_pers!$E$144</t>
  </si>
  <si>
    <t>gCO2_km_benz_kleine_taxibus</t>
  </si>
  <si>
    <t>=_fossiel_minibus!$D$29</t>
  </si>
  <si>
    <t>gCO2_km_benz_L</t>
  </si>
  <si>
    <t>=_fossiel_pers!$E$164</t>
  </si>
  <si>
    <t>gCO2_km_benz_M</t>
  </si>
  <si>
    <t>=_fossiel_pers!$E$184</t>
  </si>
  <si>
    <t>gCO2_km_benz_middel_taxibus</t>
  </si>
  <si>
    <t>=_fossiel_minibus!$D$63</t>
  </si>
  <si>
    <t>gCO2_km_benz_rolstoelbus</t>
  </si>
  <si>
    <t>=_fossiel_minibus!$D$130</t>
  </si>
  <si>
    <t>gCO2_km_bestel_benz_klein</t>
  </si>
  <si>
    <t>=_fossiel_LCV!$F$116</t>
  </si>
  <si>
    <t>gCO2_km_bestel_CNG_groot</t>
  </si>
  <si>
    <t>=_fossiel_LCV!$F$181</t>
  </si>
  <si>
    <t>gCO2_km_bestel_CNG_klein</t>
  </si>
  <si>
    <t>=_fossiel_LCV!$F$159</t>
  </si>
  <si>
    <t>gCO2_km_bestel_dies_groot</t>
  </si>
  <si>
    <t>=_fossiel_LCV!$F$82</t>
  </si>
  <si>
    <t>gCO2_km_bestel_dies_klein</t>
  </si>
  <si>
    <t>=_fossiel_LCV!$F$34</t>
  </si>
  <si>
    <t>gCO2_km_bestel_dies_middel</t>
  </si>
  <si>
    <t>=_fossiel_LCV!$F$58</t>
  </si>
  <si>
    <t>gCO2_km_die_A</t>
  </si>
  <si>
    <t>=_fossiel_pers!$E$33</t>
  </si>
  <si>
    <t>gCO2_km_die_B</t>
  </si>
  <si>
    <t>=_fossiel_pers!$E$53</t>
  </si>
  <si>
    <t>gCO2_km_die_C</t>
  </si>
  <si>
    <t>=_fossiel_pers!$E$73</t>
  </si>
  <si>
    <t>gCO2_km_die_D</t>
  </si>
  <si>
    <t>=_fossiel_pers!$E$93</t>
  </si>
  <si>
    <t>gCO2_km_die_E</t>
  </si>
  <si>
    <t>=_fossiel_pers!$E$113</t>
  </si>
  <si>
    <t>gCO2_km_die_F</t>
  </si>
  <si>
    <t>=_fossiel_pers!$E$133</t>
  </si>
  <si>
    <t>gCO2_km_die_groot_taxibus</t>
  </si>
  <si>
    <t>=_fossiel_minibus!$D$88</t>
  </si>
  <si>
    <t>gCO2_km_die_J</t>
  </si>
  <si>
    <t>=_fossiel_pers!$E$153</t>
  </si>
  <si>
    <t>gCO2_km_die_kleine_taxibus</t>
  </si>
  <si>
    <t>=_fossiel_minibus!$D$17</t>
  </si>
  <si>
    <t>gCO2_km_die_L</t>
  </si>
  <si>
    <t>=_fossiel_pers!$E$173</t>
  </si>
  <si>
    <t>gCO2_km_die_M</t>
  </si>
  <si>
    <t>=_fossiel_pers!$E$193</t>
  </si>
  <si>
    <t>gCO2_km_die_middel_taxibus</t>
  </si>
  <si>
    <t>=_fossiel_minibus!$D$53</t>
  </si>
  <si>
    <t>gCO2_km_die_rolstoelbus</t>
  </si>
  <si>
    <t>=_fossiel_minibus!$D$121</t>
  </si>
  <si>
    <t>gem_verbr_benz_A</t>
  </si>
  <si>
    <t>=Parameters!$F$31</t>
  </si>
  <si>
    <t>gem_verbr_benz_B</t>
  </si>
  <si>
    <t>=Parameters!$F$32</t>
  </si>
  <si>
    <t>gem_verbr_benz_bestel_groot</t>
  </si>
  <si>
    <t>=Parameters!$F$49</t>
  </si>
  <si>
    <t>gem_verbr_benz_bestel_klein</t>
  </si>
  <si>
    <t>=Parameters!$F$47</t>
  </si>
  <si>
    <t>gem_verbr_benz_bestel_middel</t>
  </si>
  <si>
    <t>=Parameters!$F$48</t>
  </si>
  <si>
    <t>gem_verbr_benz_C</t>
  </si>
  <si>
    <t>=Parameters!$F$33</t>
  </si>
  <si>
    <t>gem_verbr_benz_D</t>
  </si>
  <si>
    <t>=Parameters!$F$34</t>
  </si>
  <si>
    <t>gem_verbr_benz_E</t>
  </si>
  <si>
    <t>=Parameters!$F$35</t>
  </si>
  <si>
    <t>gem_verbr_benz_F</t>
  </si>
  <si>
    <t>=Parameters!$F$36</t>
  </si>
  <si>
    <t>gem_verbr_benz_J</t>
  </si>
  <si>
    <t>=Parameters!$F$37</t>
  </si>
  <si>
    <t>gem_verbr_benz_K</t>
  </si>
  <si>
    <t>=Parameters!$F$38</t>
  </si>
  <si>
    <t>gem_verbr_benz_L</t>
  </si>
  <si>
    <t>=Parameters!$F$39</t>
  </si>
  <si>
    <t>gem_verbr_benz_M</t>
  </si>
  <si>
    <t>=Parameters!$F$40</t>
  </si>
  <si>
    <t>gem_verbr_benz_taxi_groot</t>
  </si>
  <si>
    <t>=Parameters!$F$44</t>
  </si>
  <si>
    <t>gem_verbr_benz_taxi_klein</t>
  </si>
  <si>
    <t>=Parameters!$F$42</t>
  </si>
  <si>
    <t>gem_verbr_benz_taxi_middel</t>
  </si>
  <si>
    <t>=Parameters!$F$43</t>
  </si>
  <si>
    <t>gem_verbr_benz_taxi_rolstoel</t>
  </si>
  <si>
    <t>=Parameters!$F$45</t>
  </si>
  <si>
    <t>gem_verbr_BEV_A</t>
  </si>
  <si>
    <t>=Parameters!$F$79</t>
  </si>
  <si>
    <t>gem_verbr_BEV_B</t>
  </si>
  <si>
    <t>=Parameters!$F$80</t>
  </si>
  <si>
    <t>gem_verbr_BEV_bestel_groot</t>
  </si>
  <si>
    <t>=Parameters!$F$97</t>
  </si>
  <si>
    <t>gem_verbr_BEV_bestel_klein</t>
  </si>
  <si>
    <t>=Parameters!$F$95</t>
  </si>
  <si>
    <t>gem_verbr_BEV_bestel_middel</t>
  </si>
  <si>
    <t>=Parameters!$F$96</t>
  </si>
  <si>
    <t>gem_verbr_BEV_C</t>
  </si>
  <si>
    <t>=Parameters!$F$81</t>
  </si>
  <si>
    <t>gem_verbr_BEV_D</t>
  </si>
  <si>
    <t>=Parameters!$F$82</t>
  </si>
  <si>
    <t>gem_verbr_BEV_E</t>
  </si>
  <si>
    <t>=Parameters!$F$83</t>
  </si>
  <si>
    <t>gem_verbr_BEV_F</t>
  </si>
  <si>
    <t>=Parameters!$F$84</t>
  </si>
  <si>
    <t>gem_verbr_BEV_J</t>
  </si>
  <si>
    <t>=Parameters!$F$85</t>
  </si>
  <si>
    <t>gem_verbr_BEV_K</t>
  </si>
  <si>
    <t>=Parameters!$F$86</t>
  </si>
  <si>
    <t>gem_verbr_BEV_L</t>
  </si>
  <si>
    <t>=Parameters!$F$87</t>
  </si>
  <si>
    <t>gem_verbr_BEV_M</t>
  </si>
  <si>
    <t>=Parameters!$F$88</t>
  </si>
  <si>
    <t>gem_verbr_BEV_rolstoel</t>
  </si>
  <si>
    <t>=Parameters!$F$93</t>
  </si>
  <si>
    <t>gem_verbr_BEV_taxi_groot</t>
  </si>
  <si>
    <t>=Parameters!$F$92</t>
  </si>
  <si>
    <t>gem_verbr_BEV_taxi_klein</t>
  </si>
  <si>
    <t>=Parameters!$F$90</t>
  </si>
  <si>
    <t>gem_verbr_BEV_taxi_middel</t>
  </si>
  <si>
    <t>=Parameters!$F$91</t>
  </si>
  <si>
    <t>gem_verbr_CNG_A</t>
  </si>
  <si>
    <t>=Parameters!$F$55</t>
  </si>
  <si>
    <t>gem_verbr_CNG_B</t>
  </si>
  <si>
    <t>=Parameters!$F$56</t>
  </si>
  <si>
    <t>gem_verbr_CNG_bestel_groot</t>
  </si>
  <si>
    <t>=Parameters!$F$73</t>
  </si>
  <si>
    <t>gem_verbr_CNG_bestel_klein</t>
  </si>
  <si>
    <t>=Parameters!$F$71</t>
  </si>
  <si>
    <t>gem_verbr_CNG_bestel_middel</t>
  </si>
  <si>
    <t>=Parameters!$F$72</t>
  </si>
  <si>
    <t>gem_verbr_CNG_C</t>
  </si>
  <si>
    <t>=Parameters!$F$57</t>
  </si>
  <si>
    <t>gem_verbr_CNG_D</t>
  </si>
  <si>
    <t>=Parameters!$F$58</t>
  </si>
  <si>
    <t>gem_verbr_CNG_E</t>
  </si>
  <si>
    <t>=Parameters!$F$59</t>
  </si>
  <si>
    <t>gem_verbr_CNG_F</t>
  </si>
  <si>
    <t>=Parameters!$F$60</t>
  </si>
  <si>
    <t>gem_verbr_CNG_J</t>
  </si>
  <si>
    <t>=Parameters!$F$61</t>
  </si>
  <si>
    <t>gem_verbr_CNG_K</t>
  </si>
  <si>
    <t>=Parameters!$F$62</t>
  </si>
  <si>
    <t>gem_verbr_CNG_L</t>
  </si>
  <si>
    <t>=Parameters!$F$63</t>
  </si>
  <si>
    <t>gem_verbr_CNG_M</t>
  </si>
  <si>
    <t>=Parameters!$F$64</t>
  </si>
  <si>
    <t>gem_verbr_CNG_taxi_groot</t>
  </si>
  <si>
    <t>=Parameters!$F$68</t>
  </si>
  <si>
    <t>gem_verbr_CNG_taxi_klein</t>
  </si>
  <si>
    <t>=Parameters!$F$66</t>
  </si>
  <si>
    <t>gem_verbr_CNG_taxi_middel</t>
  </si>
  <si>
    <t>=Parameters!$F$67</t>
  </si>
  <si>
    <t>gem_verbr_CNG_taxi_rolstoel</t>
  </si>
  <si>
    <t>=Parameters!$F$69</t>
  </si>
  <si>
    <t>gem_verbr_die_A</t>
  </si>
  <si>
    <t>=Parameters!$F$7</t>
  </si>
  <si>
    <t>gem_verbr_die_B</t>
  </si>
  <si>
    <t>=Parameters!$F$8</t>
  </si>
  <si>
    <t>gem_verbr_die_bestel_groot</t>
  </si>
  <si>
    <t>=Parameters!$F$25</t>
  </si>
  <si>
    <t>gem_verbr_die_bestel_klein</t>
  </si>
  <si>
    <t>=Parameters!$F$23</t>
  </si>
  <si>
    <t>gem_verbr_die_bestel_middel</t>
  </si>
  <si>
    <t>=Parameters!$F$24</t>
  </si>
  <si>
    <t>gem_verbr_die_C</t>
  </si>
  <si>
    <t>=Parameters!$F$9</t>
  </si>
  <si>
    <t>gem_verbr_die_D</t>
  </si>
  <si>
    <t>=Parameters!$F$10</t>
  </si>
  <si>
    <t>gem_verbr_die_E</t>
  </si>
  <si>
    <t>=Parameters!$F$11</t>
  </si>
  <si>
    <t>gem_verbr_die_F</t>
  </si>
  <si>
    <t>=Parameters!$F$12</t>
  </si>
  <si>
    <t>gem_verbr_die_G</t>
  </si>
  <si>
    <t>gem_verbr_die_H</t>
  </si>
  <si>
    <t>gem_verbr_die_I</t>
  </si>
  <si>
    <t>gem_verbr_die_J</t>
  </si>
  <si>
    <t>=Parameters!$F$13</t>
  </si>
  <si>
    <t>gem_verbr_die_K</t>
  </si>
  <si>
    <t>=Parameters!$F$14</t>
  </si>
  <si>
    <t>gem_verbr_die_L</t>
  </si>
  <si>
    <t>=Parameters!$F$15</t>
  </si>
  <si>
    <t>gem_verbr_die_M</t>
  </si>
  <si>
    <t>=Parameters!$F$16</t>
  </si>
  <si>
    <t>gem_verbr_die_taxi_groot</t>
  </si>
  <si>
    <t>=Parameters!$F$20</t>
  </si>
  <si>
    <t>gem_verbr_die_taxi_klein</t>
  </si>
  <si>
    <t>=Parameters!$F$18</t>
  </si>
  <si>
    <t>gem_verbr_die_taxi_middel</t>
  </si>
  <si>
    <t>=Parameters!$F$19</t>
  </si>
  <si>
    <t>gem_verbr_die_taxi_rolstoel</t>
  </si>
  <si>
    <t>=Parameters!$F$21</t>
  </si>
  <si>
    <t>gem_verbr_die_veegmachine</t>
  </si>
  <si>
    <t>gem_verbr_die_veegvuilwagen</t>
  </si>
  <si>
    <t>gem_verbr_die_vuilniswagen</t>
  </si>
  <si>
    <t>gem_verbr_FCEV_A_Elek</t>
  </si>
  <si>
    <t>=Parameters!$G$103</t>
  </si>
  <si>
    <t>gem_verbr_FCEV_A_H2</t>
  </si>
  <si>
    <t>=Parameters!$F$103</t>
  </si>
  <si>
    <t>gem_verbr_FCEV_B_Elek</t>
  </si>
  <si>
    <t>=Parameters!$G$104</t>
  </si>
  <si>
    <t>gem_verbr_FCEV_B_H2</t>
  </si>
  <si>
    <t>=Parameters!$F$104</t>
  </si>
  <si>
    <t>gem_verbr_FCEV_bestel_groot_Elek</t>
  </si>
  <si>
    <t>=Parameters!$G$121</t>
  </si>
  <si>
    <t>gem_verbr_FCEV_bestel_groot_H2</t>
  </si>
  <si>
    <t>=Parameters!$F$121</t>
  </si>
  <si>
    <t>gem_verbr_FCEV_bestel_klein_Elek</t>
  </si>
  <si>
    <t>=Parameters!$G$119</t>
  </si>
  <si>
    <t>gem_verbr_FCEV_bestel_klein_H2</t>
  </si>
  <si>
    <t>=Parameters!$F$119</t>
  </si>
  <si>
    <t>gem_verbr_FCEV_bestel_middel_Elek</t>
  </si>
  <si>
    <t>=Parameters!$G$120</t>
  </si>
  <si>
    <t>gem_verbr_FCEV_bestel_middel_H2</t>
  </si>
  <si>
    <t>=Parameters!$F$120</t>
  </si>
  <si>
    <t>gem_verbr_FCEV_C_Elek</t>
  </si>
  <si>
    <t>=Parameters!$G$105</t>
  </si>
  <si>
    <t>gem_verbr_FCEV_C_H2</t>
  </si>
  <si>
    <t>=Parameters!$F$105</t>
  </si>
  <si>
    <t>gem_verbr_FCEV_D_Elek</t>
  </si>
  <si>
    <t>=Parameters!$G$106</t>
  </si>
  <si>
    <t>gem_verbr_FCEV_D_H2</t>
  </si>
  <si>
    <t>=Parameters!$F$106</t>
  </si>
  <si>
    <t>gem_verbr_FCEV_E_Elek</t>
  </si>
  <si>
    <t>=Parameters!$G$107</t>
  </si>
  <si>
    <t>gem_verbr_FCEV_E_H2</t>
  </si>
  <si>
    <t>=Parameters!$F$107</t>
  </si>
  <si>
    <t>gem_verbr_FCEV_F_Elek</t>
  </si>
  <si>
    <t>=Parameters!$G$108</t>
  </si>
  <si>
    <t>gem_verbr_FCEV_F_H2</t>
  </si>
  <si>
    <t>=Parameters!$F$108</t>
  </si>
  <si>
    <t>gem_verbr_FCEV_J_Elek</t>
  </si>
  <si>
    <t>=Parameters!$G$109</t>
  </si>
  <si>
    <t>gem_verbr_FCEV_J_H2</t>
  </si>
  <si>
    <t>=Parameters!$F$109</t>
  </si>
  <si>
    <t>gem_verbr_FCEV_K_Elek</t>
  </si>
  <si>
    <t>=Parameters!$G$110</t>
  </si>
  <si>
    <t>gem_verbr_FCEV_K_H2</t>
  </si>
  <si>
    <t>=Parameters!$F$110</t>
  </si>
  <si>
    <t>gem_verbr_FCEV_L_Elek</t>
  </si>
  <si>
    <t>=Parameters!$G$111</t>
  </si>
  <si>
    <t>gem_verbr_FCEV_L_H2</t>
  </si>
  <si>
    <t>=Parameters!$F$111</t>
  </si>
  <si>
    <t>gem_verbr_FCEV_M_Elek</t>
  </si>
  <si>
    <t>=Parameters!$G$112</t>
  </si>
  <si>
    <t>gem_verbr_FCEV_M_H2</t>
  </si>
  <si>
    <t>=Parameters!$F$112</t>
  </si>
  <si>
    <t>gem_verbr_FCEV_rolstoel_Elek</t>
  </si>
  <si>
    <t>=Parameters!$G$117</t>
  </si>
  <si>
    <t>gem_verbr_FCEV_rolstoel_H2</t>
  </si>
  <si>
    <t>=Parameters!$F$117</t>
  </si>
  <si>
    <t>gem_verbr_FCEV_taxi_groot_Elek</t>
  </si>
  <si>
    <t>=Parameters!$G$116</t>
  </si>
  <si>
    <t>gem_verbr_FCEV_taxi_groot_H2</t>
  </si>
  <si>
    <t>=Parameters!$F$116</t>
  </si>
  <si>
    <t>gem_verbr_FCEV_taxi_klein_Elek</t>
  </si>
  <si>
    <t>=Parameters!$G$114</t>
  </si>
  <si>
    <t>gem_verbr_FCEV_taxi_klein_H2</t>
  </si>
  <si>
    <t>=Parameters!$F$114</t>
  </si>
  <si>
    <t>gem_verbr_FCEV_taxi_middel_Elek</t>
  </si>
  <si>
    <t>=Parameters!$G$115</t>
  </si>
  <si>
    <t>gem_verbr_FCEV_taxi_middel_H2</t>
  </si>
  <si>
    <t>=Parameters!$F$115</t>
  </si>
  <si>
    <t>gem_verh_accu_H2</t>
  </si>
  <si>
    <t>=Parameters!$AC$123</t>
  </si>
  <si>
    <t>input_MRB_benz_A</t>
  </si>
  <si>
    <t>=Parameters!$R$31</t>
  </si>
  <si>
    <t>input_MRB_benz_B</t>
  </si>
  <si>
    <t>=Parameters!$R$32</t>
  </si>
  <si>
    <t>input_MRB_benz_bestel_groot</t>
  </si>
  <si>
    <t>=Parameters!$R$49</t>
  </si>
  <si>
    <t>input_MRB_benz_bestel_groot_berek</t>
  </si>
  <si>
    <t>=Parameters!$K$417</t>
  </si>
  <si>
    <t>input_MRB_benz_bestel_klein</t>
  </si>
  <si>
    <t>=Parameters!$R$47</t>
  </si>
  <si>
    <t>input_MRB_benz_bestel_klein_berek</t>
  </si>
  <si>
    <t>=Parameters!$E$417</t>
  </si>
  <si>
    <t>input_MRB_benz_bestel_middel</t>
  </si>
  <si>
    <t>=Parameters!$R$48</t>
  </si>
  <si>
    <t>input_MRB_benz_bestel_middel_berek</t>
  </si>
  <si>
    <t>=Parameters!$H$417</t>
  </si>
  <si>
    <t>input_MRB_benz_C</t>
  </si>
  <si>
    <t>=Parameters!$R$33</t>
  </si>
  <si>
    <t>input_MRB_benz_D</t>
  </si>
  <si>
    <t>=Parameters!$R$34</t>
  </si>
  <si>
    <t>input_MRB_benz_E</t>
  </si>
  <si>
    <t>=Parameters!$R$35</t>
  </si>
  <si>
    <t>input_MRB_benz_F</t>
  </si>
  <si>
    <t>=Parameters!$R$36</t>
  </si>
  <si>
    <t>input_MRB_benz_J</t>
  </si>
  <si>
    <t>=Parameters!$R$37</t>
  </si>
  <si>
    <t>input_MRB_benz_K</t>
  </si>
  <si>
    <t>=Parameters!$R$38</t>
  </si>
  <si>
    <t>input_MRB_benz_L</t>
  </si>
  <si>
    <t>=Parameters!$R$39</t>
  </si>
  <si>
    <t>input_MRB_benz_M</t>
  </si>
  <si>
    <t>=Parameters!$R$40</t>
  </si>
  <si>
    <t>input_MRB_benz_taxibus_groot</t>
  </si>
  <si>
    <t>=Parameters!$R$44</t>
  </si>
  <si>
    <t>input_MRB_benz_taxibus_klein</t>
  </si>
  <si>
    <t>=Parameters!$R$42</t>
  </si>
  <si>
    <t>input_MRB_benz_taxibus_middel</t>
  </si>
  <si>
    <t>=Parameters!$R$43</t>
  </si>
  <si>
    <t>input_MRB_benz_taxibus_rolstoelbus</t>
  </si>
  <si>
    <t>=Parameters!$R$45</t>
  </si>
  <si>
    <t>input_MRB_BEV_A</t>
  </si>
  <si>
    <t>=Parameters!$R$79</t>
  </si>
  <si>
    <t>input_MRB_BEV_B</t>
  </si>
  <si>
    <t>=Parameters!$R$80</t>
  </si>
  <si>
    <t>input_MRB_BEV_bestel_groot</t>
  </si>
  <si>
    <t>=Parameters!$R$97</t>
  </si>
  <si>
    <t>input_MRB_BEV_bestel_klein</t>
  </si>
  <si>
    <t>=Parameters!$R$95</t>
  </si>
  <si>
    <t>input_MRB_BEV_bestel_middel</t>
  </si>
  <si>
    <t>=Parameters!$R$96</t>
  </si>
  <si>
    <t>input_MRB_BEV_C</t>
  </si>
  <si>
    <t>=Parameters!$R$81</t>
  </si>
  <si>
    <t>input_MRB_BEV_D</t>
  </si>
  <si>
    <t>=Parameters!$R$82</t>
  </si>
  <si>
    <t>input_MRB_BEV_E</t>
  </si>
  <si>
    <t>=Parameters!$R$83</t>
  </si>
  <si>
    <t>input_MRB_BEV_F</t>
  </si>
  <si>
    <t>=Parameters!$R$84</t>
  </si>
  <si>
    <t>input_MRB_BEV_J</t>
  </si>
  <si>
    <t>=Parameters!$R$85</t>
  </si>
  <si>
    <t>input_MRB_BEV_K</t>
  </si>
  <si>
    <t>=Parameters!$R$86</t>
  </si>
  <si>
    <t>input_MRB_BEV_L</t>
  </si>
  <si>
    <t>=Parameters!$R$87</t>
  </si>
  <si>
    <t>input_MRB_BEV_M</t>
  </si>
  <si>
    <t>=Parameters!$R$88</t>
  </si>
  <si>
    <t>input_MRB_BEV_taxibus_groot</t>
  </si>
  <si>
    <t>=Parameters!$R$92</t>
  </si>
  <si>
    <t>input_MRB_BEV_taxibus_groot_Ombou</t>
  </si>
  <si>
    <t>input_MRB_BEV_taxibus_groot_Ombouw</t>
  </si>
  <si>
    <t>input_MRB_BEV_taxibus_klein</t>
  </si>
  <si>
    <t>=Parameters!$R$90</t>
  </si>
  <si>
    <t>input_MRB_BEV_taxibus_middel</t>
  </si>
  <si>
    <t>=Parameters!$R$91</t>
  </si>
  <si>
    <t>input_MRB_BEV_taxibus_middel_Ombouw</t>
  </si>
  <si>
    <t>input_MRB_BEV_taxibus_Rolstoel</t>
  </si>
  <si>
    <t>=Parameters!$R$93</t>
  </si>
  <si>
    <t>input_MRB_BEV_taxibus_Rolstoel_Ombouw</t>
  </si>
  <si>
    <t>input_MRB_CNG_A</t>
  </si>
  <si>
    <t>=Parameters!$R$55</t>
  </si>
  <si>
    <t>input_MRB_CNG_B</t>
  </si>
  <si>
    <t>=Parameters!$R$56</t>
  </si>
  <si>
    <t>input_MRB_CNG_bestel_groot</t>
  </si>
  <si>
    <t>=Parameters!$R$73</t>
  </si>
  <si>
    <t>input_MRB_CNG_bestel_groot_berek</t>
  </si>
  <si>
    <t>=Parameters!$L$417</t>
  </si>
  <si>
    <t>input_MRB_CNG_bestel_klein</t>
  </si>
  <si>
    <t>=Parameters!$R$71</t>
  </si>
  <si>
    <t>input_MRB_CNG_bestel_klein_berek</t>
  </si>
  <si>
    <t>=Parameters!$F$417</t>
  </si>
  <si>
    <t>input_MRB_CNG_bestel_middel</t>
  </si>
  <si>
    <t>=Parameters!$R$72</t>
  </si>
  <si>
    <t>input_MRB_CNG_bestel_middel_berek</t>
  </si>
  <si>
    <t>=Parameters!$I$417</t>
  </si>
  <si>
    <t>input_MRB_CNG_C</t>
  </si>
  <si>
    <t>=Parameters!$R$57</t>
  </si>
  <si>
    <t>input_MRB_CNG_D</t>
  </si>
  <si>
    <t>=Parameters!$R$58</t>
  </si>
  <si>
    <t>input_MRB_CNG_E</t>
  </si>
  <si>
    <t>=Parameters!$R$59</t>
  </si>
  <si>
    <t>input_MRB_CNG_F</t>
  </si>
  <si>
    <t>=Parameters!$R$60</t>
  </si>
  <si>
    <t>input_MRB_CNG_J</t>
  </si>
  <si>
    <t>=Parameters!$R$61</t>
  </si>
  <si>
    <t>input_MRB_CNG_K</t>
  </si>
  <si>
    <t>=Parameters!$R$62</t>
  </si>
  <si>
    <t>input_MRB_CNG_L</t>
  </si>
  <si>
    <t>=Parameters!$R$63</t>
  </si>
  <si>
    <t>input_MRB_CNG_M</t>
  </si>
  <si>
    <t>=Parameters!$R$64</t>
  </si>
  <si>
    <t>input_MRB_CNG_rolstoelbus</t>
  </si>
  <si>
    <t>=Parameters!$R$69</t>
  </si>
  <si>
    <t>input_MRB_CNG_taxibus_groot</t>
  </si>
  <si>
    <t>=Parameters!$R$68</t>
  </si>
  <si>
    <t>input_MRB_CNG_taxibus_klein</t>
  </si>
  <si>
    <t>=Parameters!$R$66</t>
  </si>
  <si>
    <t>input_MRB_CNG_taxibus_middel</t>
  </si>
  <si>
    <t>=Parameters!$R$67</t>
  </si>
  <si>
    <t>input_MRB_die_A</t>
  </si>
  <si>
    <t>=Parameters!$R$7</t>
  </si>
  <si>
    <t>input_MRB_die_B</t>
  </si>
  <si>
    <t>=Parameters!$R$8</t>
  </si>
  <si>
    <t>input_MRB_die_bestel_groot</t>
  </si>
  <si>
    <t>=Parameters!$R$25</t>
  </si>
  <si>
    <t>input_MRB_die_bestel_groot_berek</t>
  </si>
  <si>
    <t>=Parameters!$J$417</t>
  </si>
  <si>
    <t>input_MRB_die_bestel_klein</t>
  </si>
  <si>
    <t>=Parameters!$R$23</t>
  </si>
  <si>
    <t>input_MRB_die_bestel_klein_berek</t>
  </si>
  <si>
    <t>=Parameters!$D$417</t>
  </si>
  <si>
    <t>input_MRB_die_bestel_middel</t>
  </si>
  <si>
    <t>=Parameters!$R$24</t>
  </si>
  <si>
    <t>input_MRB_die_bestel_middel_berek</t>
  </si>
  <si>
    <t>=Parameters!$G$417</t>
  </si>
  <si>
    <t>input_MRB_die_C</t>
  </si>
  <si>
    <t>=Parameters!$R$9</t>
  </si>
  <si>
    <t>input_MRB_die_D</t>
  </si>
  <si>
    <t>=Parameters!$R$10</t>
  </si>
  <si>
    <t>input_MRB_die_E</t>
  </si>
  <si>
    <t>=Parameters!$R$11</t>
  </si>
  <si>
    <t>input_MRB_die_F</t>
  </si>
  <si>
    <t>=Parameters!$R$12</t>
  </si>
  <si>
    <t>input_MRB_die_G</t>
  </si>
  <si>
    <t>input_MRB_die_H</t>
  </si>
  <si>
    <t>input_MRB_die_I</t>
  </si>
  <si>
    <t>input_MRB_die_J</t>
  </si>
  <si>
    <t>=Parameters!$R$13</t>
  </si>
  <si>
    <t>input_MRB_die_K</t>
  </si>
  <si>
    <t>=Parameters!$R$14</t>
  </si>
  <si>
    <t>input_MRB_die_L</t>
  </si>
  <si>
    <t>=Parameters!$R$15</t>
  </si>
  <si>
    <t>input_MRB_die_M</t>
  </si>
  <si>
    <t>=Parameters!$R$16</t>
  </si>
  <si>
    <t>input_MRB_die_rolstoelbus</t>
  </si>
  <si>
    <t>=Parameters!$R$21</t>
  </si>
  <si>
    <t>input_MRB_die_taxibus_groot</t>
  </si>
  <si>
    <t>=Parameters!$R$20</t>
  </si>
  <si>
    <t>input_MRB_die_taxibus_klein</t>
  </si>
  <si>
    <t>=Parameters!$R$18</t>
  </si>
  <si>
    <t>input_MRB_die_taxibus_middel</t>
  </si>
  <si>
    <t>=Parameters!$R$19</t>
  </si>
  <si>
    <t>input_MRB_die_veegmachine</t>
  </si>
  <si>
    <t>input_MRB_die_veegvuilwagen</t>
  </si>
  <si>
    <t>input_MRB_die_vuilniswagen</t>
  </si>
  <si>
    <t>input_MRB_FCEV_A</t>
  </si>
  <si>
    <t>=Parameters!$R$103</t>
  </si>
  <si>
    <t>input_MRB_FCEV_B</t>
  </si>
  <si>
    <t>=Parameters!$R$104</t>
  </si>
  <si>
    <t>input_MRB_FCEV_bestel_groot</t>
  </si>
  <si>
    <t>=Parameters!$R$121</t>
  </si>
  <si>
    <t>input_MRB_FCEV_bestel_klein</t>
  </si>
  <si>
    <t>=Parameters!$R$119</t>
  </si>
  <si>
    <t>input_MRB_FCEV_bestel_middel</t>
  </si>
  <si>
    <t>=Parameters!$R$120</t>
  </si>
  <si>
    <t>input_MRB_FCEV_C</t>
  </si>
  <si>
    <t>=Parameters!$R$105</t>
  </si>
  <si>
    <t>input_MRB_FCEV_D</t>
  </si>
  <si>
    <t>=Parameters!$R$106</t>
  </si>
  <si>
    <t>input_MRB_FCEV_E</t>
  </si>
  <si>
    <t>=Parameters!$R$107</t>
  </si>
  <si>
    <t>input_MRB_FCEV_F</t>
  </si>
  <si>
    <t>=Parameters!$R$108</t>
  </si>
  <si>
    <t>input_MRB_FCEV_J</t>
  </si>
  <si>
    <t>=Parameters!$R$109</t>
  </si>
  <si>
    <t>input_MRB_FCEV_K</t>
  </si>
  <si>
    <t>=Parameters!$R$110</t>
  </si>
  <si>
    <t>input_MRB_FCEV_L</t>
  </si>
  <si>
    <t>=Parameters!$R$111</t>
  </si>
  <si>
    <t>input_MRB_FCEV_M</t>
  </si>
  <si>
    <t>=Parameters!$R$112</t>
  </si>
  <si>
    <t>input_MRB_FCEV_rolstoel</t>
  </si>
  <si>
    <t>=Parameters!$R$117</t>
  </si>
  <si>
    <t>input_MRB_FCEV_taxi_groot</t>
  </si>
  <si>
    <t>=Parameters!$R$116</t>
  </si>
  <si>
    <t>input_MRB_FCEV_taxi_klein</t>
  </si>
  <si>
    <t>=Parameters!$R$114</t>
  </si>
  <si>
    <t>input_MRB_FCEV_taxi_middel</t>
  </si>
  <si>
    <t>=Parameters!$R$115</t>
  </si>
  <si>
    <t>input_MRB_FCEV_veegmachine</t>
  </si>
  <si>
    <t>input_MRB_FCEV_veegvuilwagen</t>
  </si>
  <si>
    <t>input_MRB_FCEV_veegvuilwagen_kipper</t>
  </si>
  <si>
    <t>input_MRB_FCEV_vuilniswagen</t>
  </si>
  <si>
    <t>looptijd</t>
  </si>
  <si>
    <t>='2. Invoer parameters'!$C$4</t>
  </si>
  <si>
    <t>MIA_BEV_A</t>
  </si>
  <si>
    <t>=Parameters!$O$79</t>
  </si>
  <si>
    <t>MIA_BEV_B</t>
  </si>
  <si>
    <t>=Parameters!$O$80</t>
  </si>
  <si>
    <t>MIA_BEV_bestel_groot</t>
  </si>
  <si>
    <t>=Parameters!$O$97</t>
  </si>
  <si>
    <t>MIA_BEV_bestel_klein</t>
  </si>
  <si>
    <t>=Parameters!$O$95</t>
  </si>
  <si>
    <t>MIA_BEV_bestel_middel</t>
  </si>
  <si>
    <t>=Parameters!$O$96</t>
  </si>
  <si>
    <t>MIA_BEV_C</t>
  </si>
  <si>
    <t>=Parameters!$O$81</t>
  </si>
  <si>
    <t>MIA_BEV_D</t>
  </si>
  <si>
    <t>=Parameters!$O$82</t>
  </si>
  <si>
    <t>MIA_BEV_E</t>
  </si>
  <si>
    <t>=Parameters!$O$83</t>
  </si>
  <si>
    <t>MIA_BEV_F</t>
  </si>
  <si>
    <t>=Parameters!$O$84</t>
  </si>
  <si>
    <t>MIA_BEV_J</t>
  </si>
  <si>
    <t>=Parameters!$O$85</t>
  </si>
  <si>
    <t>MIA_BEV_K</t>
  </si>
  <si>
    <t>=Parameters!$O$86</t>
  </si>
  <si>
    <t>MIA_BEV_L</t>
  </si>
  <si>
    <t>=Parameters!$O$87</t>
  </si>
  <si>
    <t>MIA_BEV_M</t>
  </si>
  <si>
    <t>=Parameters!$O$88</t>
  </si>
  <si>
    <t>MIA_BEV_rolstoelbus</t>
  </si>
  <si>
    <t>=Parameters!$O$93</t>
  </si>
  <si>
    <t>MIA_BEV_rolstoelbus_ombouw</t>
  </si>
  <si>
    <t>MIA_BEV_taxibus_groot</t>
  </si>
  <si>
    <t>=Parameters!$O$92</t>
  </si>
  <si>
    <t>MIA_BEV_taxibus_groot_ombouw</t>
  </si>
  <si>
    <t>MIA_BEV_taxibus_klein</t>
  </si>
  <si>
    <t>=Parameters!$O$90</t>
  </si>
  <si>
    <t>MIA_BEV_taxibus_middel</t>
  </si>
  <si>
    <t>=Parameters!$O$91</t>
  </si>
  <si>
    <t>MIA_FCEV_A</t>
  </si>
  <si>
    <t>=Parameters!$O$103</t>
  </si>
  <si>
    <t>MIA_FCEV_B</t>
  </si>
  <si>
    <t>=Parameters!$O$104</t>
  </si>
  <si>
    <t>MIA_FCEV_bestel_groot</t>
  </si>
  <si>
    <t>=Parameters!$O$121</t>
  </si>
  <si>
    <t>MIA_FCEV_bestel_klein</t>
  </si>
  <si>
    <t>=Parameters!$O$119</t>
  </si>
  <si>
    <t>MIA_FCEV_bestel_middel</t>
  </si>
  <si>
    <t>=Parameters!$O$120</t>
  </si>
  <si>
    <t>MIA_FCEV_C</t>
  </si>
  <si>
    <t>=Parameters!$O$105</t>
  </si>
  <si>
    <t>MIA_FCEV_D</t>
  </si>
  <si>
    <t>=Parameters!$O$106</t>
  </si>
  <si>
    <t>MIA_FCEV_E</t>
  </si>
  <si>
    <t>=Parameters!$O$107</t>
  </si>
  <si>
    <t>MIA_FCEV_F</t>
  </si>
  <si>
    <t>=Parameters!$O$108</t>
  </si>
  <si>
    <t>MIA_FCEV_J</t>
  </si>
  <si>
    <t>=Parameters!$O$109</t>
  </si>
  <si>
    <t>MIA_FCEV_K</t>
  </si>
  <si>
    <t>=Parameters!$O$110</t>
  </si>
  <si>
    <t>MIA_FCEV_L</t>
  </si>
  <si>
    <t>=Parameters!$O$111</t>
  </si>
  <si>
    <t>MIA_FCEV_M</t>
  </si>
  <si>
    <t>=Parameters!$O$112</t>
  </si>
  <si>
    <t>MIA_FCEV_rolstoel</t>
  </si>
  <si>
    <t>=Parameters!$O$117</t>
  </si>
  <si>
    <t>MIA_FCEV_taxi_groot</t>
  </si>
  <si>
    <t>=Parameters!$O$116</t>
  </si>
  <si>
    <t>MIA_FCEV_taxi_klein</t>
  </si>
  <si>
    <t>=Parameters!$O$114</t>
  </si>
  <si>
    <t>MIA_FCEV_taxi_middel</t>
  </si>
  <si>
    <t>=Parameters!$O$115</t>
  </si>
  <si>
    <t>MIA_FCEV_veegvuilwagen</t>
  </si>
  <si>
    <t>MIA_FCEV_vuilniswagen</t>
  </si>
  <si>
    <t>MRB_belasting</t>
  </si>
  <si>
    <t>='2. Invoer parameters'!$C$11</t>
  </si>
  <si>
    <t>MRB_benz_A</t>
  </si>
  <si>
    <t>=_fossiel_pers!$K$25</t>
  </si>
  <si>
    <t>MRB_benz_B</t>
  </si>
  <si>
    <t>=_fossiel_pers!$K$44</t>
  </si>
  <si>
    <t>MRB_benz_bestel_klein_part</t>
  </si>
  <si>
    <t>=_fossiel_LCV!$P$116</t>
  </si>
  <si>
    <t>MRB_benz_C</t>
  </si>
  <si>
    <t>=_fossiel_pers!$K$64</t>
  </si>
  <si>
    <t>MRB_benz_D</t>
  </si>
  <si>
    <t>=_fossiel_pers!$K$84</t>
  </si>
  <si>
    <t>MRB_benz_E</t>
  </si>
  <si>
    <t>=_fossiel_pers!$K$104</t>
  </si>
  <si>
    <t>MRB_benz_F</t>
  </si>
  <si>
    <t>=_fossiel_pers!$K$124</t>
  </si>
  <si>
    <t>MRB_benz_groot_taxibus</t>
  </si>
  <si>
    <t>=_fossiel_minibus!$M$98</t>
  </si>
  <si>
    <t>MRB_benz_J</t>
  </si>
  <si>
    <t>=_fossiel_pers!$K$144</t>
  </si>
  <si>
    <t>MRB_benz_kleine_taxibus</t>
  </si>
  <si>
    <t>=_fossiel_minibus!$M$29</t>
  </si>
  <si>
    <t>MRB_benz_L</t>
  </si>
  <si>
    <t>=_fossiel_pers!$K$164</t>
  </si>
  <si>
    <t>MRB_benz_M</t>
  </si>
  <si>
    <t>=_fossiel_pers!$K$184</t>
  </si>
  <si>
    <t>MRB_benz_middel_taxibus</t>
  </si>
  <si>
    <t>=_fossiel_minibus!$M$63</t>
  </si>
  <si>
    <t>MRB_benz_rolstoelbus</t>
  </si>
  <si>
    <t>=_fossiel_minibus!$M$130</t>
  </si>
  <si>
    <t>MRB_BEV</t>
  </si>
  <si>
    <t>=Parameters!$B$423</t>
  </si>
  <si>
    <t>MRB_CNG_A</t>
  </si>
  <si>
    <t>=_CNG!$F$12</t>
  </si>
  <si>
    <t>MRB_CNG_B</t>
  </si>
  <si>
    <t>=_CNG!$F$13</t>
  </si>
  <si>
    <t>MRB_CNG_bestel_groot_part</t>
  </si>
  <si>
    <t>=_fossiel_LCV!$P$181</t>
  </si>
  <si>
    <t>MRB_CNG_bestel_klein_part</t>
  </si>
  <si>
    <t>=_fossiel_LCV!$P$159</t>
  </si>
  <si>
    <t>MRB_CNG_C</t>
  </si>
  <si>
    <t>=_CNG!$F$14</t>
  </si>
  <si>
    <t>MRB_CNG_D</t>
  </si>
  <si>
    <t>=_CNG!$F$15</t>
  </si>
  <si>
    <t>MRB_CNG_E</t>
  </si>
  <si>
    <t>=_CNG!$F$16</t>
  </si>
  <si>
    <t>MRB_CNG_F</t>
  </si>
  <si>
    <t>=_CNG!$F$17</t>
  </si>
  <si>
    <t>MRB_CNG_groot_taxibus</t>
  </si>
  <si>
    <t>=_fossiel_minibus!$M$109</t>
  </si>
  <si>
    <t>MRB_CNG_J</t>
  </si>
  <si>
    <t>=_CNG!$F$18</t>
  </si>
  <si>
    <t>MRB_CNG_kleine_taxibus</t>
  </si>
  <si>
    <t>=_fossiel_minibus!$M$41</t>
  </si>
  <si>
    <t>MRB_CNG_L</t>
  </si>
  <si>
    <t>=_CNG!$F$19</t>
  </si>
  <si>
    <t>MRB_CNG_M</t>
  </si>
  <si>
    <t>=_CNG!$F$20</t>
  </si>
  <si>
    <t>MRB_CNG_middel_taxibus</t>
  </si>
  <si>
    <t>=_fossiel_minibus!$M$76</t>
  </si>
  <si>
    <t>MRB_CNG_rolstoelbus</t>
  </si>
  <si>
    <t>=_fossiel_minibus!$M$140</t>
  </si>
  <si>
    <t>MRB_die_B</t>
  </si>
  <si>
    <t>=_fossiel_pers!$K$53</t>
  </si>
  <si>
    <t>MRB_die_bestel_groot</t>
  </si>
  <si>
    <t>=_fossiel_LCV!$O$82</t>
  </si>
  <si>
    <t>MRB_die_bestel_groot_part</t>
  </si>
  <si>
    <t>=_fossiel_LCV!$P$82</t>
  </si>
  <si>
    <t>MRB_die_bestel_klein</t>
  </si>
  <si>
    <t>=_fossiel_LCV!$O$34</t>
  </si>
  <si>
    <t>MRB_die_bestel_klein_part</t>
  </si>
  <si>
    <t>=_fossiel_LCV!$P$34</t>
  </si>
  <si>
    <t>MRB_die_bestel_middel</t>
  </si>
  <si>
    <t>=_fossiel_LCV!$O$58</t>
  </si>
  <si>
    <t>MRB_die_bestel_middel_part</t>
  </si>
  <si>
    <t>=_fossiel_LCV!$P$58</t>
  </si>
  <si>
    <t>MRB_die_C</t>
  </si>
  <si>
    <t>=_fossiel_pers!$K$73</t>
  </si>
  <si>
    <t>MRB_die_D</t>
  </si>
  <si>
    <t>=_fossiel_pers!$K$93</t>
  </si>
  <si>
    <t>MRB_die_E</t>
  </si>
  <si>
    <t>=_fossiel_pers!$K$113</t>
  </si>
  <si>
    <t>MRB_die_F</t>
  </si>
  <si>
    <t>=_fossiel_pers!$K$133</t>
  </si>
  <si>
    <t>MRB_die_groot_taxibus</t>
  </si>
  <si>
    <t>=_fossiel_minibus!$M$88</t>
  </si>
  <si>
    <t>MRB_die_J</t>
  </si>
  <si>
    <t>=_fossiel_pers!$K$153</t>
  </si>
  <si>
    <t>MRB_die_kleine_taxibus</t>
  </si>
  <si>
    <t>=_fossiel_minibus!$M$17</t>
  </si>
  <si>
    <t>MRB_die_L</t>
  </si>
  <si>
    <t>=_fossiel_pers!$K$173</t>
  </si>
  <si>
    <t>MRB_die_M</t>
  </si>
  <si>
    <t>=_fossiel_pers!$K$193</t>
  </si>
  <si>
    <t>MRB_die_middel_taxibus</t>
  </si>
  <si>
    <t>=_fossiel_minibus!$M$53</t>
  </si>
  <si>
    <t>MRB_die_rolstoelbus</t>
  </si>
  <si>
    <t>=_fossiel_minibus!$M$121</t>
  </si>
  <si>
    <t>Netto_cat_benz_A</t>
  </si>
  <si>
    <t>=Parameters!$K$31</t>
  </si>
  <si>
    <t>Netto_cat_benz_B</t>
  </si>
  <si>
    <t>=Parameters!$K$32</t>
  </si>
  <si>
    <t>Netto_cat_benz_bestel_groot</t>
  </si>
  <si>
    <t>=Parameters!$K$49</t>
  </si>
  <si>
    <t>Netto_cat_benz_bestel_klein</t>
  </si>
  <si>
    <t>=Parameters!$K$47</t>
  </si>
  <si>
    <t>Netto_cat_benz_bestel_middel</t>
  </si>
  <si>
    <t>=Parameters!$K$48</t>
  </si>
  <si>
    <t>Netto_cat_benz_C</t>
  </si>
  <si>
    <t>=Parameters!$K$33</t>
  </si>
  <si>
    <t>Netto_cat_benz_D</t>
  </si>
  <si>
    <t>=Parameters!$K$34</t>
  </si>
  <si>
    <t>Netto_cat_benz_E</t>
  </si>
  <si>
    <t>=Parameters!$K$35</t>
  </si>
  <si>
    <t>Netto_cat_benz_F</t>
  </si>
  <si>
    <t>=Parameters!$K$36</t>
  </si>
  <si>
    <t>Netto_cat_benz_J</t>
  </si>
  <si>
    <t>=Parameters!$K$37</t>
  </si>
  <si>
    <t>Netto_cat_benz_K</t>
  </si>
  <si>
    <t>=Parameters!$K$38</t>
  </si>
  <si>
    <t>Netto_cat_benz_L</t>
  </si>
  <si>
    <t>=Parameters!$K$39</t>
  </si>
  <si>
    <t>Netto_cat_benz_M</t>
  </si>
  <si>
    <t>=Parameters!$K$40</t>
  </si>
  <si>
    <t>Netto_cat_benz_rolstoelbus</t>
  </si>
  <si>
    <t>=Parameters!$K$45</t>
  </si>
  <si>
    <t>Netto_cat_benz_taxibus_groot</t>
  </si>
  <si>
    <t>=Parameters!$K$44</t>
  </si>
  <si>
    <t>Netto_cat_benz_taxibus_klein</t>
  </si>
  <si>
    <t>=Parameters!$K$42</t>
  </si>
  <si>
    <t>Netto_cat_benz_taxibus_middel</t>
  </si>
  <si>
    <t>=Parameters!$K$43</t>
  </si>
  <si>
    <t>Netto_cat_bestel_groot</t>
  </si>
  <si>
    <t>Netto_cat_bestel_klein</t>
  </si>
  <si>
    <t>Netto_cat_bestel_middel</t>
  </si>
  <si>
    <t>Netto_cat_BEV_A</t>
  </si>
  <si>
    <t>=Parameters!$K$79</t>
  </si>
  <si>
    <t>Netto_cat_BEV_B</t>
  </si>
  <si>
    <t>=Parameters!$K$80</t>
  </si>
  <si>
    <t>Netto_cat_BEV_bestel_groot</t>
  </si>
  <si>
    <t>=Parameters!$K$97</t>
  </si>
  <si>
    <t>Netto_cat_BEV_bestel_klein</t>
  </si>
  <si>
    <t>=Parameters!$K$95</t>
  </si>
  <si>
    <t>Netto_cat_BEV_bestel_middel</t>
  </si>
  <si>
    <t>=Parameters!$K$96</t>
  </si>
  <si>
    <t>Netto_cat_BEV_C</t>
  </si>
  <si>
    <t>=Parameters!$K$81</t>
  </si>
  <si>
    <t>Netto_cat_BEV_D</t>
  </si>
  <si>
    <t>=Parameters!$K$82</t>
  </si>
  <si>
    <t>Netto_cat_BEV_E</t>
  </si>
  <si>
    <t>=Parameters!$K$83</t>
  </si>
  <si>
    <t>Netto_cat_BEV_F</t>
  </si>
  <si>
    <t>=Parameters!$K$84</t>
  </si>
  <si>
    <t>Netto_cat_BEV_J</t>
  </si>
  <si>
    <t>=Parameters!$K$85</t>
  </si>
  <si>
    <t>Netto_cat_BEV_K</t>
  </si>
  <si>
    <t>=Parameters!$K$86</t>
  </si>
  <si>
    <t>Netto_cat_BEV_L</t>
  </si>
  <si>
    <t>=Parameters!$K$87</t>
  </si>
  <si>
    <t>Netto_cat_BEV_M</t>
  </si>
  <si>
    <t>=Parameters!$K$88</t>
  </si>
  <si>
    <t>Netto_cat_BEV_rolstoelbus</t>
  </si>
  <si>
    <t>=Parameters!$K$93</t>
  </si>
  <si>
    <t>Netto_cat_BEV_rolstoelbus_ombouw</t>
  </si>
  <si>
    <t>Netto_cat_BEV_taxibus_groot</t>
  </si>
  <si>
    <t>=Parameters!$K$92</t>
  </si>
  <si>
    <t>Netto_cat_BEV_taxibus_groot_ombouw</t>
  </si>
  <si>
    <t>Netto_cat_BEV_taxibus_klein</t>
  </si>
  <si>
    <t>=Parameters!$K$90</t>
  </si>
  <si>
    <t>Netto_cat_BEV_taxibus_middel</t>
  </si>
  <si>
    <t>=Parameters!$K$91</t>
  </si>
  <si>
    <t>Netto_cat_CNG_A</t>
  </si>
  <si>
    <t>=Parameters!$K$55</t>
  </si>
  <si>
    <t>Netto_cat_CNG_B</t>
  </si>
  <si>
    <t>=Parameters!$K$56</t>
  </si>
  <si>
    <t>Netto_cat_CNG_bestel_groot</t>
  </si>
  <si>
    <t>=Parameters!$K$73</t>
  </si>
  <si>
    <t>Netto_cat_CNG_bestel_klein</t>
  </si>
  <si>
    <t>=Parameters!$K$71</t>
  </si>
  <si>
    <t>Netto_cat_CNG_bestel_middel</t>
  </si>
  <si>
    <t>=Parameters!$K$72</t>
  </si>
  <si>
    <t>Netto_cat_CNG_C</t>
  </si>
  <si>
    <t>=Parameters!$K$57</t>
  </si>
  <si>
    <t>Netto_cat_CNG_D</t>
  </si>
  <si>
    <t>=Parameters!$K$58</t>
  </si>
  <si>
    <t>Netto_cat_CNG_E</t>
  </si>
  <si>
    <t>=Parameters!$K$59</t>
  </si>
  <si>
    <t>Netto_cat_CNG_F</t>
  </si>
  <si>
    <t>=Parameters!$K$60</t>
  </si>
  <si>
    <t>Netto_cat_CNG_J</t>
  </si>
  <si>
    <t>=Parameters!$K$61</t>
  </si>
  <si>
    <t>Netto_cat_CNG_K</t>
  </si>
  <si>
    <t>=Parameters!$K$62</t>
  </si>
  <si>
    <t>Netto_cat_CNG_L</t>
  </si>
  <si>
    <t>=Parameters!$K$63</t>
  </si>
  <si>
    <t>Netto_cat_CNG_M</t>
  </si>
  <si>
    <t>=Parameters!$K$64</t>
  </si>
  <si>
    <t>Netto_cat_CNG_rolstoelbus</t>
  </si>
  <si>
    <t>=Parameters!$K$69</t>
  </si>
  <si>
    <t>Netto_cat_CNG_taxibus_groot</t>
  </si>
  <si>
    <t>=Parameters!$K$68</t>
  </si>
  <si>
    <t>Netto_cat_CNG_taxibus_klein</t>
  </si>
  <si>
    <t>=Parameters!$K$66</t>
  </si>
  <si>
    <t>Netto_cat_CNG_taxibus_middel</t>
  </si>
  <si>
    <t>=Parameters!$K$67</t>
  </si>
  <si>
    <t>Netto_cat_die_A</t>
  </si>
  <si>
    <t>=Parameters!$K$7</t>
  </si>
  <si>
    <t>Netto_cat_die_B</t>
  </si>
  <si>
    <t>=Parameters!$K$8</t>
  </si>
  <si>
    <t>Netto_cat_die_bestel_groot</t>
  </si>
  <si>
    <t>=Parameters!$K$25</t>
  </si>
  <si>
    <t>Netto_cat_die_bestel_klein</t>
  </si>
  <si>
    <t>=Parameters!$K$23</t>
  </si>
  <si>
    <t>Netto_cat_die_bestel_middel</t>
  </si>
  <si>
    <t>=Parameters!$K$24</t>
  </si>
  <si>
    <t>Netto_cat_die_C</t>
  </si>
  <si>
    <t>=Parameters!$K$9</t>
  </si>
  <si>
    <t>Netto_cat_die_D</t>
  </si>
  <si>
    <t>=Parameters!$K$10</t>
  </si>
  <si>
    <t>Netto_cat_die_E</t>
  </si>
  <si>
    <t>=Parameters!$K$11</t>
  </si>
  <si>
    <t>Netto_cat_die_F</t>
  </si>
  <si>
    <t>=Parameters!$K$12</t>
  </si>
  <si>
    <t>Netto_cat_die_G</t>
  </si>
  <si>
    <t>Netto_cat_die_H</t>
  </si>
  <si>
    <t>Netto_cat_die_I</t>
  </si>
  <si>
    <t>Netto_cat_die_J</t>
  </si>
  <si>
    <t>=Parameters!$K$13</t>
  </si>
  <si>
    <t>Netto_cat_die_K</t>
  </si>
  <si>
    <t>=Parameters!$K$14</t>
  </si>
  <si>
    <t>Netto_cat_die_L</t>
  </si>
  <si>
    <t>=Parameters!$K$15</t>
  </si>
  <si>
    <t>Netto_cat_die_M</t>
  </si>
  <si>
    <t>=Parameters!$K$16</t>
  </si>
  <si>
    <t>Netto_cat_die_rolstoelbus</t>
  </si>
  <si>
    <t>=Parameters!$K$21</t>
  </si>
  <si>
    <t>Netto_cat_die_taxibus_groot</t>
  </si>
  <si>
    <t>=Parameters!$K$20</t>
  </si>
  <si>
    <t>Netto_cat_die_taxibus_klein</t>
  </si>
  <si>
    <t>=Parameters!$K$18</t>
  </si>
  <si>
    <t>Netto_cat_die_taxibus_middel</t>
  </si>
  <si>
    <t>=Parameters!$K$19</t>
  </si>
  <si>
    <t>Netto_cat_die_veegmachine</t>
  </si>
  <si>
    <t>Netto_cat_die_veegvuilwagen</t>
  </si>
  <si>
    <t>Netto_cat_die_vuilniswagen</t>
  </si>
  <si>
    <t>Netto_cat_FCEV_A</t>
  </si>
  <si>
    <t>=Parameters!$K$103</t>
  </si>
  <si>
    <t>Netto_cat_FCEV_B</t>
  </si>
  <si>
    <t>=Parameters!$K$104</t>
  </si>
  <si>
    <t>Netto_cat_FCEV_bestel_groot</t>
  </si>
  <si>
    <t>=Parameters!$K$121</t>
  </si>
  <si>
    <t>Netto_cat_FCEV_bestel_klein</t>
  </si>
  <si>
    <t>=Parameters!$K$119</t>
  </si>
  <si>
    <t>Netto_cat_FCEV_bestel_middel</t>
  </si>
  <si>
    <t>=Parameters!$K$120</t>
  </si>
  <si>
    <t>Netto_cat_FCEV_C</t>
  </si>
  <si>
    <t>=Parameters!$K$105</t>
  </si>
  <si>
    <t>Netto_cat_FCEV_D</t>
  </si>
  <si>
    <t>=Parameters!$K$106</t>
  </si>
  <si>
    <t>Netto_cat_FCEV_E</t>
  </si>
  <si>
    <t>=Parameters!$K$107</t>
  </si>
  <si>
    <t>Netto_cat_FCEV_F</t>
  </si>
  <si>
    <t>=Parameters!$K$108</t>
  </si>
  <si>
    <t>Netto_cat_FCEV_J</t>
  </si>
  <si>
    <t>=Parameters!$K$109</t>
  </si>
  <si>
    <t>Netto_cat_FCEV_K</t>
  </si>
  <si>
    <t>=Parameters!$K$110</t>
  </si>
  <si>
    <t>Netto_cat_FCEV_L</t>
  </si>
  <si>
    <t>=Parameters!$K$111</t>
  </si>
  <si>
    <t>Netto_cat_FCEV_M</t>
  </si>
  <si>
    <t>=Parameters!$K$112</t>
  </si>
  <si>
    <t>Netto_cat_FCEV_rolstoel</t>
  </si>
  <si>
    <t>=Parameters!$K$117</t>
  </si>
  <si>
    <t>Netto_cat_FCEV_taxi_groot</t>
  </si>
  <si>
    <t>=Parameters!$K$116</t>
  </si>
  <si>
    <t>Netto_cat_FCEV_taxi_klein</t>
  </si>
  <si>
    <t>=Parameters!$K$114</t>
  </si>
  <si>
    <t>Netto_cat_FCEV_taxi_middel</t>
  </si>
  <si>
    <t>=Parameters!$K$115</t>
  </si>
  <si>
    <t>Netto_cat_FCEV_veegvuilwagen</t>
  </si>
  <si>
    <t>Netto_cat_FCEV_vuilniswagen</t>
  </si>
  <si>
    <t>Onderh_benz_A</t>
  </si>
  <si>
    <t>=Parameters!$U$31</t>
  </si>
  <si>
    <t>Onderh_benz_A_hoog_km</t>
  </si>
  <si>
    <t>=Parameters!$V$31</t>
  </si>
  <si>
    <t>Onderh_benz_B</t>
  </si>
  <si>
    <t>=Parameters!$U$32</t>
  </si>
  <si>
    <t>Onderh_benz_B_hoog_km</t>
  </si>
  <si>
    <t>=Parameters!$V$32</t>
  </si>
  <si>
    <t>Onderh_benz_bestel_groot</t>
  </si>
  <si>
    <t>=Parameters!$U$49</t>
  </si>
  <si>
    <t>Onderh_benz_bestel_groot_hoog_km</t>
  </si>
  <si>
    <t>=Parameters!$V$49</t>
  </si>
  <si>
    <t>Onderh_benz_bestel_klein</t>
  </si>
  <si>
    <t>=Parameters!$U$47</t>
  </si>
  <si>
    <t>Onderh_benz_bestel_klein_hoog_km</t>
  </si>
  <si>
    <t>=Parameters!$V$47</t>
  </si>
  <si>
    <t>Onderh_benz_bestel_middel</t>
  </si>
  <si>
    <t>=Parameters!$U$48</t>
  </si>
  <si>
    <t>Onderh_benz_bestel_middel_hoog_km</t>
  </si>
  <si>
    <t>=Parameters!$V$48</t>
  </si>
  <si>
    <t>Onderh_benz_C</t>
  </si>
  <si>
    <t>=Parameters!$U$33</t>
  </si>
  <si>
    <t>Onderh_benz_C_hoog_km</t>
  </si>
  <si>
    <t>=Parameters!$V$33</t>
  </si>
  <si>
    <t>Onderh_benz_D</t>
  </si>
  <si>
    <t>=Parameters!$U$34</t>
  </si>
  <si>
    <t>Onderh_benz_D_hoog_km</t>
  </si>
  <si>
    <t>=Parameters!$V$34</t>
  </si>
  <si>
    <t>Onderh_benz_E</t>
  </si>
  <si>
    <t>=Parameters!$U$35</t>
  </si>
  <si>
    <t>Onderh_benz_E_hoog_km</t>
  </si>
  <si>
    <t>=Parameters!$V$35</t>
  </si>
  <si>
    <t>Onderh_benz_F</t>
  </si>
  <si>
    <t>=Parameters!$U$36</t>
  </si>
  <si>
    <t>Onderh_benz_F_hoog_km</t>
  </si>
  <si>
    <t>=Parameters!$V$36</t>
  </si>
  <si>
    <t>Onderh_benz_J</t>
  </si>
  <si>
    <t>=Parameters!$U$37</t>
  </si>
  <si>
    <t>Onderh_benz_J_hoog_km</t>
  </si>
  <si>
    <t>=Parameters!$V$37</t>
  </si>
  <si>
    <t>Onderh_benz_K</t>
  </si>
  <si>
    <t>=Parameters!$U$38</t>
  </si>
  <si>
    <t>Onderh_benz_K_hoog_km</t>
  </si>
  <si>
    <t>=Parameters!$V$38</t>
  </si>
  <si>
    <t>Onderh_benz_L</t>
  </si>
  <si>
    <t>=Parameters!$U$39</t>
  </si>
  <si>
    <t>Onderh_benz_L_hoog_km</t>
  </si>
  <si>
    <t>=Parameters!$V$39</t>
  </si>
  <si>
    <t>Onderh_benz_M</t>
  </si>
  <si>
    <t>=Parameters!$U$40</t>
  </si>
  <si>
    <t>Onderh_benz_M_hoog_km</t>
  </si>
  <si>
    <t>=Parameters!$V$40</t>
  </si>
  <si>
    <t>Onderh_benz_rolstoelbus</t>
  </si>
  <si>
    <t>=Parameters!$U$45</t>
  </si>
  <si>
    <t>Onderh_benz_rolstoelbus_hoog_km</t>
  </si>
  <si>
    <t>=Parameters!$V$45</t>
  </si>
  <si>
    <t>Onderh_benz_taxibus_groot</t>
  </si>
  <si>
    <t>=Parameters!$U$44</t>
  </si>
  <si>
    <t>Onderh_benz_taxibus_groot_hoog_km</t>
  </si>
  <si>
    <t>=Parameters!$V$44</t>
  </si>
  <si>
    <t>Onderh_benz_taxibus_klein</t>
  </si>
  <si>
    <t>=Parameters!$U$42</t>
  </si>
  <si>
    <t>Onderh_benz_taxibus_klein_hoog_km</t>
  </si>
  <si>
    <t>=Parameters!$V$42</t>
  </si>
  <si>
    <t>Onderh_benz_taxibus_middel</t>
  </si>
  <si>
    <t>=Parameters!$U$43</t>
  </si>
  <si>
    <t>Onderh_benz_taxibus_middel_hoog_km</t>
  </si>
  <si>
    <t>=Parameters!$V$43</t>
  </si>
  <si>
    <t>Onderh_BEV_A</t>
  </si>
  <si>
    <t>=Parameters!$U$79</t>
  </si>
  <si>
    <t>Onderh_BEV_A_hoog_km</t>
  </si>
  <si>
    <t>=Parameters!$V$79</t>
  </si>
  <si>
    <t>Onderh_BEV_B</t>
  </si>
  <si>
    <t>=Parameters!$U$80</t>
  </si>
  <si>
    <t>Onderh_BEV_B_hoog_km</t>
  </si>
  <si>
    <t>=Parameters!$V$80</t>
  </si>
  <si>
    <t>Onderh_BEV_bestel_groot</t>
  </si>
  <si>
    <t>=Parameters!$U$97</t>
  </si>
  <si>
    <t>Onderh_BEV_bestel_groot_hoog_km</t>
  </si>
  <si>
    <t>=Parameters!$V$97</t>
  </si>
  <si>
    <t>Onderh_BEV_bestel_klein</t>
  </si>
  <si>
    <t>=Parameters!$U$95</t>
  </si>
  <si>
    <t>Onderh_BEV_bestel_klein_hoog_km</t>
  </si>
  <si>
    <t>=Parameters!$V$95</t>
  </si>
  <si>
    <t>Onderh_BEV_bestel_middel</t>
  </si>
  <si>
    <t>=Parameters!$U$96</t>
  </si>
  <si>
    <t>Onderh_BEV_bestel_middel_hoog_km</t>
  </si>
  <si>
    <t>=Parameters!$V$96</t>
  </si>
  <si>
    <t>Onderh_BEV_C</t>
  </si>
  <si>
    <t>=Parameters!$U$81</t>
  </si>
  <si>
    <t>Onderh_BEV_C_hoog_km</t>
  </si>
  <si>
    <t>=Parameters!$V$81</t>
  </si>
  <si>
    <t>Onderh_BEV_D</t>
  </si>
  <si>
    <t>=Parameters!$U$82</t>
  </si>
  <si>
    <t>Onderh_BEV_D_hoog_km</t>
  </si>
  <si>
    <t>=Parameters!$V$82</t>
  </si>
  <si>
    <t>Onderh_BEV_E</t>
  </si>
  <si>
    <t>=Parameters!$U$83</t>
  </si>
  <si>
    <t>Onderh_BEV_E_hoog_km</t>
  </si>
  <si>
    <t>=Parameters!$V$83</t>
  </si>
  <si>
    <t>Onderh_BEV_F</t>
  </si>
  <si>
    <t>=Parameters!$U$84</t>
  </si>
  <si>
    <t>Onderh_BEV_F_hoog_km</t>
  </si>
  <si>
    <t>=Parameters!$V$84</t>
  </si>
  <si>
    <t>Onderh_BEV_J</t>
  </si>
  <si>
    <t>=Parameters!$U$85</t>
  </si>
  <si>
    <t>Onderh_BEV_J_hoog_km</t>
  </si>
  <si>
    <t>=Parameters!$V$85</t>
  </si>
  <si>
    <t>Onderh_BEV_K</t>
  </si>
  <si>
    <t>=Parameters!$U$86</t>
  </si>
  <si>
    <t>Onderh_BEV_K_hoog_km</t>
  </si>
  <si>
    <t>=Parameters!$V$86</t>
  </si>
  <si>
    <t>Onderh_BEV_L</t>
  </si>
  <si>
    <t>=Parameters!$U$87</t>
  </si>
  <si>
    <t>Onderh_BEV_L_hoog_km</t>
  </si>
  <si>
    <t>=Parameters!$V$87</t>
  </si>
  <si>
    <t>Onderh_BEV_M</t>
  </si>
  <si>
    <t>=Parameters!$U$88</t>
  </si>
  <si>
    <t>Onderh_BEV_M_hoog_km</t>
  </si>
  <si>
    <t>=Parameters!$V$88</t>
  </si>
  <si>
    <t>Onderh_BEV_rolstoelbus</t>
  </si>
  <si>
    <t>=Parameters!$U$93</t>
  </si>
  <si>
    <t>Onderh_BEV_rolstoelbus_hoog_km</t>
  </si>
  <si>
    <t>=Parameters!$V$93</t>
  </si>
  <si>
    <t>Onderh_BEV_rolstoelbus_ombouw</t>
  </si>
  <si>
    <t>Onderh_BEV_rolstoelbus_ombouw_hoog_km</t>
  </si>
  <si>
    <t>Onderh_BEV_taxibus_groot</t>
  </si>
  <si>
    <t>=Parameters!$U$92</t>
  </si>
  <si>
    <t>Onderh_BEV_taxibus_groot_hoog_km</t>
  </si>
  <si>
    <t>=Parameters!$V$92</t>
  </si>
  <si>
    <t>Onderh_BEV_taxibus_klein</t>
  </si>
  <si>
    <t>=Parameters!$U$90</t>
  </si>
  <si>
    <t>Onderh_BEV_taxibus_klein_hoog_km</t>
  </si>
  <si>
    <t>=Parameters!$V$90</t>
  </si>
  <si>
    <t>Onderh_BEV_taxibus_middel</t>
  </si>
  <si>
    <t>=Parameters!$U$91</t>
  </si>
  <si>
    <t>Onderh_BEV_taxibus_middel_hoog_km</t>
  </si>
  <si>
    <t>=Parameters!$V$91</t>
  </si>
  <si>
    <t>Onderh_CNG_A</t>
  </si>
  <si>
    <t>=Parameters!$U$55</t>
  </si>
  <si>
    <t>Onderh_CNG_A_hoog_km</t>
  </si>
  <si>
    <t>=Parameters!$V$55</t>
  </si>
  <si>
    <t>Onderh_CNG_B</t>
  </si>
  <si>
    <t>=Parameters!$U$56</t>
  </si>
  <si>
    <t>Onderh_CNG_B_hoog_km</t>
  </si>
  <si>
    <t>=Parameters!$V$56</t>
  </si>
  <si>
    <t>Onderh_CNG_bestel_groot</t>
  </si>
  <si>
    <t>=Parameters!$U$73</t>
  </si>
  <si>
    <t>Onderh_CNG_bestel_groot_hoog_km</t>
  </si>
  <si>
    <t>=Parameters!$V$73</t>
  </si>
  <si>
    <t>Onderh_CNG_bestel_klein</t>
  </si>
  <si>
    <t>=Parameters!$U$71</t>
  </si>
  <si>
    <t>Onderh_CNG_bestel_klein_hoog_km</t>
  </si>
  <si>
    <t>=Parameters!$V$71</t>
  </si>
  <si>
    <t>Onderh_CNG_bestel_middel</t>
  </si>
  <si>
    <t>=Parameters!$U$72</t>
  </si>
  <si>
    <t>Onderh_CNG_bestel_middel_hoog_km</t>
  </si>
  <si>
    <t>=Parameters!$V$72</t>
  </si>
  <si>
    <t>Onderh_CNG_C</t>
  </si>
  <si>
    <t>=Parameters!$U$57</t>
  </si>
  <si>
    <t>Onderh_CNG_C_hoog_km</t>
  </si>
  <si>
    <t>=Parameters!$V$57</t>
  </si>
  <si>
    <t>Onderh_CNG_D</t>
  </si>
  <si>
    <t>=Parameters!$U$58</t>
  </si>
  <si>
    <t>Onderh_CNG_D_hoog_km</t>
  </si>
  <si>
    <t>=Parameters!$V$58</t>
  </si>
  <si>
    <t>Onderh_CNG_E</t>
  </si>
  <si>
    <t>=Parameters!$U$59</t>
  </si>
  <si>
    <t>Onderh_CNG_E_hoog_km</t>
  </si>
  <si>
    <t>=Parameters!$V$59</t>
  </si>
  <si>
    <t>Onderh_CNG_F</t>
  </si>
  <si>
    <t>=Parameters!$U$60</t>
  </si>
  <si>
    <t>Onderh_CNG_F_hoog_km</t>
  </si>
  <si>
    <t>=Parameters!$V$60</t>
  </si>
  <si>
    <t>Onderh_CNG_J</t>
  </si>
  <si>
    <t>=Parameters!$U$61</t>
  </si>
  <si>
    <t>Onderh_CNG_J_hoog_km</t>
  </si>
  <si>
    <t>=Parameters!$V$61</t>
  </si>
  <si>
    <t>Onderh_CNG_K</t>
  </si>
  <si>
    <t>=Parameters!$U$62</t>
  </si>
  <si>
    <t>Onderh_CNG_K_hoog_km</t>
  </si>
  <si>
    <t>=Parameters!$V$62</t>
  </si>
  <si>
    <t>Onderh_CNG_L</t>
  </si>
  <si>
    <t>=Parameters!$U$63</t>
  </si>
  <si>
    <t>Onderh_CNG_L_hoog_km</t>
  </si>
  <si>
    <t>=Parameters!$V$63</t>
  </si>
  <si>
    <t>Onderh_CNG_M</t>
  </si>
  <si>
    <t>=Parameters!$U$64</t>
  </si>
  <si>
    <t>Onderh_CNG_M_hoog_km</t>
  </si>
  <si>
    <t>=Parameters!$V$64</t>
  </si>
  <si>
    <t>Onderh_CNG_rolstoelbus</t>
  </si>
  <si>
    <t>=Parameters!$U$69</t>
  </si>
  <si>
    <t>Onderh_CNG_rolstoelbus_hoog_km</t>
  </si>
  <si>
    <t>=Parameters!$V$69</t>
  </si>
  <si>
    <t>Onderh_CNG_taxibus_groot</t>
  </si>
  <si>
    <t>=Parameters!$U$68</t>
  </si>
  <si>
    <t>Onderh_CNG_taxibus_groot_hoog_km</t>
  </si>
  <si>
    <t>=Parameters!$V$68</t>
  </si>
  <si>
    <t>Onderh_CNG_taxibus_klein</t>
  </si>
  <si>
    <t>=Parameters!$U$66</t>
  </si>
  <si>
    <t>Onderh_CNG_taxibus_klein_hoog_km</t>
  </si>
  <si>
    <t>=Parameters!$V$66</t>
  </si>
  <si>
    <t>Onderh_CNG_taxibus_middel</t>
  </si>
  <si>
    <t>=Parameters!$U$67</t>
  </si>
  <si>
    <t>Onderh_CNG_taxibus_middel_hoog_km</t>
  </si>
  <si>
    <t>=Parameters!$V$67</t>
  </si>
  <si>
    <t>Onderh_die_A_hoog_km</t>
  </si>
  <si>
    <t>=Parameters!$V$7</t>
  </si>
  <si>
    <t>Onderh_die_B</t>
  </si>
  <si>
    <t>=Parameters!$U$8</t>
  </si>
  <si>
    <t>Onderh_die_B_hoog_km</t>
  </si>
  <si>
    <t>=Parameters!$V$8</t>
  </si>
  <si>
    <t>Onderh_die_bestel_groot</t>
  </si>
  <si>
    <t>=Parameters!$U$25</t>
  </si>
  <si>
    <t>Onderh_die_bestel_groot_hoog_km</t>
  </si>
  <si>
    <t>=Parameters!$V$25</t>
  </si>
  <si>
    <t>Onderh_die_bestel_klein</t>
  </si>
  <si>
    <t>=Parameters!$U$23</t>
  </si>
  <si>
    <t>Onderh_die_bestel_klein_hoog_km</t>
  </si>
  <si>
    <t>=Parameters!$V$23</t>
  </si>
  <si>
    <t>Onderh_die_bestel_middel</t>
  </si>
  <si>
    <t>=Parameters!$U$24</t>
  </si>
  <si>
    <t>Onderh_die_bestel_middel_hoog_km</t>
  </si>
  <si>
    <t>=Parameters!$V$24</t>
  </si>
  <si>
    <t>Onderh_die_C</t>
  </si>
  <si>
    <t>=Parameters!$U$9</t>
  </si>
  <si>
    <t>Onderh_die_C_hoog_km</t>
  </si>
  <si>
    <t>=Parameters!$V$9</t>
  </si>
  <si>
    <t>Onderh_die_D</t>
  </si>
  <si>
    <t>=Parameters!$U$10</t>
  </si>
  <si>
    <t>Onderh_die_D_hoog_km</t>
  </si>
  <si>
    <t>=Parameters!$V$10</t>
  </si>
  <si>
    <t>Onderh_die_E</t>
  </si>
  <si>
    <t>=Parameters!$U$11</t>
  </si>
  <si>
    <t>Onderh_die_E_hoog_km</t>
  </si>
  <si>
    <t>=Parameters!$V$11</t>
  </si>
  <si>
    <t>Onderh_die_F</t>
  </si>
  <si>
    <t>=Parameters!$U$12</t>
  </si>
  <si>
    <t>Onderh_die_F_hoog_km</t>
  </si>
  <si>
    <t>=Parameters!$V$12</t>
  </si>
  <si>
    <t>Onderh_die_G</t>
  </si>
  <si>
    <t>Onderh_die_G_hoog_km</t>
  </si>
  <si>
    <t>Onderh_die_H</t>
  </si>
  <si>
    <t>Onderh_die_H_hoog_km</t>
  </si>
  <si>
    <t>Onderh_die_I</t>
  </si>
  <si>
    <t>Onderh_die_I_hoog_km</t>
  </si>
  <si>
    <t>Onderh_die_J</t>
  </si>
  <si>
    <t>=Parameters!$U$13</t>
  </si>
  <si>
    <t>Onderh_die_J_hoog_km</t>
  </si>
  <si>
    <t>=Parameters!$V$13</t>
  </si>
  <si>
    <t>Onderh_die_K</t>
  </si>
  <si>
    <t>=Parameters!$U$14</t>
  </si>
  <si>
    <t>Onderh_die_K_hoog_km</t>
  </si>
  <si>
    <t>=Parameters!$V$14</t>
  </si>
  <si>
    <t>Onderh_die_L</t>
  </si>
  <si>
    <t>=Parameters!$U$15</t>
  </si>
  <si>
    <t>Onderh_die_L_hoog_km</t>
  </si>
  <si>
    <t>=Parameters!$V$15</t>
  </si>
  <si>
    <t>Onderh_die_M</t>
  </si>
  <si>
    <t>=Parameters!$U$16</t>
  </si>
  <si>
    <t>Onderh_die_M_hoog_km</t>
  </si>
  <si>
    <t>=Parameters!$V$16</t>
  </si>
  <si>
    <t>Onderh_die_rolstoelbus</t>
  </si>
  <si>
    <t>=Parameters!$U$21</t>
  </si>
  <si>
    <t>Onderh_die_rolstoelbus_hoog_km</t>
  </si>
  <si>
    <t>=Parameters!$V$21</t>
  </si>
  <si>
    <t>Onderh_die_taxibus_groot</t>
  </si>
  <si>
    <t>=Parameters!$U$20</t>
  </si>
  <si>
    <t>Onderh_die_taxibus_groot_hoog_km</t>
  </si>
  <si>
    <t>=Parameters!$V$20</t>
  </si>
  <si>
    <t>Onderh_die_taxibus_klein</t>
  </si>
  <si>
    <t>=Parameters!$U$18</t>
  </si>
  <si>
    <t>Onderh_die_taxibus_klein_hoog_km</t>
  </si>
  <si>
    <t>=Parameters!$V$18</t>
  </si>
  <si>
    <t>Onderh_die_taxibus_middel</t>
  </si>
  <si>
    <t>=Parameters!$U$19</t>
  </si>
  <si>
    <t>Onderh_die_taxibus_middel_hoog_km</t>
  </si>
  <si>
    <t>=Parameters!$V$19</t>
  </si>
  <si>
    <t>Onderh_die_veegmachine</t>
  </si>
  <si>
    <t>Onderh_die_veegmachine_hoog_km</t>
  </si>
  <si>
    <t>Onderh_die_veegvuilwagen</t>
  </si>
  <si>
    <t>Onderh_die_veegvuilwagen_hoog_km</t>
  </si>
  <si>
    <t>Onderh_die_vuilniswagen</t>
  </si>
  <si>
    <t>Onderh_die_vuilniswagen_hoog_km</t>
  </si>
  <si>
    <t>Onderh_dies_A</t>
  </si>
  <si>
    <t>=Parameters!$U$7</t>
  </si>
  <si>
    <t>Onderh_FCEV_A</t>
  </si>
  <si>
    <t>=Parameters!$U$103</t>
  </si>
  <si>
    <t>Onderh_FCEV_A_hoog_km</t>
  </si>
  <si>
    <t>=Parameters!$V$103</t>
  </si>
  <si>
    <t>Onderh_FCEV_B</t>
  </si>
  <si>
    <t>=Parameters!$U$104</t>
  </si>
  <si>
    <t>Onderh_FCEV_B_hoog_km</t>
  </si>
  <si>
    <t>=Parameters!$V$104</t>
  </si>
  <si>
    <t>Onderh_FCEV_bestel_groot</t>
  </si>
  <si>
    <t>=Parameters!$U$121</t>
  </si>
  <si>
    <t>Onderh_FCEV_bestel_groot_hoog_km</t>
  </si>
  <si>
    <t>=Parameters!$V$121</t>
  </si>
  <si>
    <t>Onderh_FCEV_bestel_klein</t>
  </si>
  <si>
    <t>=Parameters!$U$119</t>
  </si>
  <si>
    <t>Onderh_FCEV_bestel_klein_hoog_km</t>
  </si>
  <si>
    <t>=Parameters!$V$119</t>
  </si>
  <si>
    <t>Onderh_FCEV_bestel_middel</t>
  </si>
  <si>
    <t>=Parameters!$U$120</t>
  </si>
  <si>
    <t>Onderh_FCEV_bestel_middel_hoog_km</t>
  </si>
  <si>
    <t>=Parameters!$V$120</t>
  </si>
  <si>
    <t>Onderh_FCEV_C</t>
  </si>
  <si>
    <t>=Parameters!$U$105</t>
  </si>
  <si>
    <t>Onderh_FCEV_C_hoog_km</t>
  </si>
  <si>
    <t>=Parameters!$V$105</t>
  </si>
  <si>
    <t>Onderh_FCEV_D</t>
  </si>
  <si>
    <t>=Parameters!$U$106</t>
  </si>
  <si>
    <t>Onderh_FCEV_D_hoog_km</t>
  </si>
  <si>
    <t>=Parameters!$V$106</t>
  </si>
  <si>
    <t>Onderh_FCEV_E</t>
  </si>
  <si>
    <t>=Parameters!$U$107</t>
  </si>
  <si>
    <t>Onderh_FCEV_E_hoog_km</t>
  </si>
  <si>
    <t>=Parameters!$V$107</t>
  </si>
  <si>
    <t>Onderh_FCEV_F</t>
  </si>
  <si>
    <t>=Parameters!$U$108</t>
  </si>
  <si>
    <t>Onderh_FCEV_F_hoog_km</t>
  </si>
  <si>
    <t>=Parameters!$V$108</t>
  </si>
  <si>
    <t>Onderh_FCEV_J</t>
  </si>
  <si>
    <t>=Parameters!$U$109</t>
  </si>
  <si>
    <t>Onderh_FCEV_J_hoog_km</t>
  </si>
  <si>
    <t>=Parameters!$V$109</t>
  </si>
  <si>
    <t>Onderh_FCEV_K</t>
  </si>
  <si>
    <t>=Parameters!$U$110</t>
  </si>
  <si>
    <t>Onderh_FCEV_K_hoog_km</t>
  </si>
  <si>
    <t>=Parameters!$V$110</t>
  </si>
  <si>
    <t>Onderh_FCEV_L</t>
  </si>
  <si>
    <t>=Parameters!$U$111</t>
  </si>
  <si>
    <t>Onderh_FCEV_L_hoog_km</t>
  </si>
  <si>
    <t>=Parameters!$V$111</t>
  </si>
  <si>
    <t>Onderh_FCEV_M</t>
  </si>
  <si>
    <t>=Parameters!$U$112</t>
  </si>
  <si>
    <t>Onderh_FCEV_M_hoog_km</t>
  </si>
  <si>
    <t>=Parameters!$V$112</t>
  </si>
  <si>
    <t>Onderh_FCEV_rolstoel</t>
  </si>
  <si>
    <t>=Parameters!$U$117</t>
  </si>
  <si>
    <t>Onderh_FCEV_taxi_groot</t>
  </si>
  <si>
    <t>=Parameters!$U$116</t>
  </si>
  <si>
    <t>Onderh_FCEV_taxi_groot_hoog_km</t>
  </si>
  <si>
    <t>=Parameters!$V$116</t>
  </si>
  <si>
    <t>Onderh_FCEV_taxi_klein</t>
  </si>
  <si>
    <t>=Parameters!$U$114</t>
  </si>
  <si>
    <t>Onderh_FCEV_taxi_klein_hoog_km</t>
  </si>
  <si>
    <t>=Parameters!$V$114</t>
  </si>
  <si>
    <t>Onderh_FCEV_taxi_middel</t>
  </si>
  <si>
    <t>=Parameters!$U$115</t>
  </si>
  <si>
    <t>Onderh_FCEV_taxi_middel_hoog_km</t>
  </si>
  <si>
    <t>=Parameters!$V$115</t>
  </si>
  <si>
    <t>Onderh_FCEV_taxi_rolstoel_hoog_km</t>
  </si>
  <si>
    <t>=Parameters!$V$117</t>
  </si>
  <si>
    <t>Onderh_FCEV_veegvuilwagen</t>
  </si>
  <si>
    <t>Onderh_FCEV_vuilniswagen_hoog_km</t>
  </si>
  <si>
    <t>prijs_benz</t>
  </si>
  <si>
    <t>=Parameters!$B$193</t>
  </si>
  <si>
    <t>prijs_CNG</t>
  </si>
  <si>
    <t>=Parameters!$B$195</t>
  </si>
  <si>
    <t>prijs_die</t>
  </si>
  <si>
    <t>=Parameters!$F$243</t>
  </si>
  <si>
    <t>prijs_elek_berekening</t>
  </si>
  <si>
    <t>='2. Invoer parameters'!$C$150</t>
  </si>
  <si>
    <t>prijs_elek_kantoor</t>
  </si>
  <si>
    <t>=Parameters!$B$198</t>
  </si>
  <si>
    <t>prijs_elek_publiek_langzaam</t>
  </si>
  <si>
    <t>=Parameters!$B$200</t>
  </si>
  <si>
    <t>prijs_elek_publiek_snellaad</t>
  </si>
  <si>
    <t>=Parameters!$B$201</t>
  </si>
  <si>
    <t>prijs_elek_thuis</t>
  </si>
  <si>
    <t>=Parameters!$B$199</t>
  </si>
  <si>
    <t>prijs_H2</t>
  </si>
  <si>
    <t>='2. Invoer parameters'!$C$142</t>
  </si>
  <si>
    <t>Rente_financiering</t>
  </si>
  <si>
    <t>='2. Invoer parameters'!$C$39</t>
  </si>
  <si>
    <t>Rest_1</t>
  </si>
  <si>
    <t>=Parameters!$B$135</t>
  </si>
  <si>
    <t>Rest_10</t>
  </si>
  <si>
    <t>=Parameters!$B$144</t>
  </si>
  <si>
    <t>Rest_2</t>
  </si>
  <si>
    <t>=Parameters!$B$136</t>
  </si>
  <si>
    <t>Rest_3</t>
  </si>
  <si>
    <t>=Parameters!$B$137</t>
  </si>
  <si>
    <t>Rest_4</t>
  </si>
  <si>
    <t>=Parameters!$B$138</t>
  </si>
  <si>
    <t>Rest_5</t>
  </si>
  <si>
    <t>=Parameters!$B$139</t>
  </si>
  <si>
    <t>Rest_6</t>
  </si>
  <si>
    <t>=Parameters!$B$140</t>
  </si>
  <si>
    <t>Rest_7</t>
  </si>
  <si>
    <t>=Parameters!$B$141</t>
  </si>
  <si>
    <t>Rest_8</t>
  </si>
  <si>
    <t>=Parameters!$B$142</t>
  </si>
  <si>
    <t>Rest_9</t>
  </si>
  <si>
    <t>=Parameters!$B$143</t>
  </si>
  <si>
    <t>Rest_perc</t>
  </si>
  <si>
    <t>='2. Invoer parameters'!$C$45</t>
  </si>
  <si>
    <t>Rest_perc_ZE</t>
  </si>
  <si>
    <t>='2. Invoer parameters'!$C$46</t>
  </si>
  <si>
    <t>startjaar</t>
  </si>
  <si>
    <t>='2. Invoer parameters'!$C$3</t>
  </si>
  <si>
    <t>verbr_benz_A</t>
  </si>
  <si>
    <t>=_fossiel_pers!$F$25</t>
  </si>
  <si>
    <t>verbr_benz_B</t>
  </si>
  <si>
    <t>=_fossiel_pers!$F$44</t>
  </si>
  <si>
    <t>verbr_benz_bestel_groot</t>
  </si>
  <si>
    <t>=_fossiel_LCV!$G$138</t>
  </si>
  <si>
    <t>verbr_benz_bestel_klein</t>
  </si>
  <si>
    <t>=_fossiel_LCV!$G$116</t>
  </si>
  <si>
    <t>verbr_benz_bestel_middel</t>
  </si>
  <si>
    <t>=_fossiel_LCV!$G$127</t>
  </si>
  <si>
    <t>verbr_benz_C</t>
  </si>
  <si>
    <t>=_fossiel_pers!$F$64</t>
  </si>
  <si>
    <t>verbr_benz_D</t>
  </si>
  <si>
    <t>=_fossiel_pers!$F$84</t>
  </si>
  <si>
    <t>verbr_benz_E</t>
  </si>
  <si>
    <t>=_fossiel_pers!$F$104</t>
  </si>
  <si>
    <t>verbr_benz_F</t>
  </si>
  <si>
    <t>=_fossiel_pers!$F$124</t>
  </si>
  <si>
    <t>verbr_benz_groot_taxibus</t>
  </si>
  <si>
    <t>=_fossiel_minibus!$E$98</t>
  </si>
  <si>
    <t>verbr_benz_J</t>
  </si>
  <si>
    <t>=_fossiel_pers!$F$144</t>
  </si>
  <si>
    <t>verbr_benz_kleine_taxibus</t>
  </si>
  <si>
    <t>=_fossiel_minibus!$E$29</t>
  </si>
  <si>
    <t>verbr_benz_L</t>
  </si>
  <si>
    <t>=_fossiel_pers!$F$164</t>
  </si>
  <si>
    <t>verbr_benz_M</t>
  </si>
  <si>
    <t>=_fossiel_pers!$F$184</t>
  </si>
  <si>
    <t>verbr_benz_middel_taxibus</t>
  </si>
  <si>
    <t>=_fossiel_minibus!$E$63</t>
  </si>
  <si>
    <t>verbr_benz_rolstoelbus</t>
  </si>
  <si>
    <t>=_fossiel_minibus!$E$130</t>
  </si>
  <si>
    <t>verbr_BEV_A</t>
  </si>
  <si>
    <t>='/Users/pjotrsillekens/Dropbox (EVConsult)/EVConsult BV nieuw/1. Projects/2. Active Projects/19076 PIANOo update TCO tools/Concepten/TCO-tool/[191126 TCO-tool doelgroepen en dienst vervoer_PS.xlsx]Parameters'!$F$83</t>
  </si>
  <si>
    <t>verbr_BEV_B</t>
  </si>
  <si>
    <t>='/Users/pjotrsillekens/Dropbox (EVConsult)/EVConsult BV nieuw/1. Projects/2. Active Projects/19076 PIANOo update TCO tools/Concepten/TCO-tool/[191126 TCO-tool doelgroepen en dienst vervoer_PS.xlsx]Parameters'!$F$84</t>
  </si>
  <si>
    <t>verbr_BEV_bestel_groot</t>
  </si>
  <si>
    <t>='/Users/pjotrsillekens/Dropbox (EVConsult)/EVConsult BV nieuw/1. Projects/2. Active Projects/19076 PIANOo update TCO tools/Concepten/TCO-tool/[191126 TCO-tool doelgroepen en dienst vervoer_PS.xlsx]Parameters'!$F$101</t>
  </si>
  <si>
    <t>verbr_BEV_bestel_klein</t>
  </si>
  <si>
    <t>='/Users/pjotrsillekens/Dropbox (EVConsult)/EVConsult BV nieuw/1. Projects/2. Active Projects/19076 PIANOo update TCO tools/Concepten/TCO-tool/[191126 TCO-tool doelgroepen en dienst vervoer_PS.xlsx]Parameters'!$F$99</t>
  </si>
  <si>
    <t>verbr_BEV_bestel_middel</t>
  </si>
  <si>
    <t>='/Users/pjotrsillekens/Dropbox (EVConsult)/EVConsult BV nieuw/1. Projects/2. Active Projects/19076 PIANOo update TCO tools/Concepten/TCO-tool/[191126 TCO-tool doelgroepen en dienst vervoer_PS.xlsx]Parameters'!$F$100</t>
  </si>
  <si>
    <t>verbr_BEV_C</t>
  </si>
  <si>
    <t>='/Users/pjotrsillekens/Dropbox (EVConsult)/EVConsult BV nieuw/1. Projects/2. Active Projects/19076 PIANOo update TCO tools/Concepten/TCO-tool/[191126 TCO-tool doelgroepen en dienst vervoer_PS.xlsx]Parameters'!$F$85</t>
  </si>
  <si>
    <t>verbr_BEV_D</t>
  </si>
  <si>
    <t>='/Users/pjotrsillekens/Dropbox (EVConsult)/EVConsult BV nieuw/1. Projects/2. Active Projects/19076 PIANOo update TCO tools/Concepten/TCO-tool/[191126 TCO-tool doelgroepen en dienst vervoer_PS.xlsx]Parameters'!$F$86</t>
  </si>
  <si>
    <t>verbr_BEV_E</t>
  </si>
  <si>
    <t>='/Users/pjotrsillekens/Dropbox (EVConsult)/EVConsult BV nieuw/1. Projects/2. Active Projects/19076 PIANOo update TCO tools/Concepten/TCO-tool/[191126 TCO-tool doelgroepen en dienst vervoer_PS.xlsx]Parameters'!$F$87</t>
  </si>
  <si>
    <t>verbr_BEV_F</t>
  </si>
  <si>
    <t>='/Users/pjotrsillekens/Dropbox (EVConsult)/EVConsult BV nieuw/1. Projects/2. Active Projects/19076 PIANOo update TCO tools/Concepten/TCO-tool/[191126 TCO-tool doelgroepen en dienst vervoer_PS.xlsx]Parameters'!$F$88</t>
  </si>
  <si>
    <t>verbr_BEV_J</t>
  </si>
  <si>
    <t>='/Users/pjotrsillekens/Dropbox (EVConsult)/EVConsult BV nieuw/1. Projects/2. Active Projects/19076 PIANOo update TCO tools/Concepten/TCO-tool/[191126 TCO-tool doelgroepen en dienst vervoer_PS.xlsx]Parameters'!$F$89</t>
  </si>
  <si>
    <t>verbr_BEV_K</t>
  </si>
  <si>
    <t>='/Users/pjotrsillekens/Dropbox (EVConsult)/EVConsult BV nieuw/1. Projects/2. Active Projects/19076 PIANOo update TCO tools/Concepten/TCO-tool/[191126 TCO-tool doelgroepen en dienst vervoer_PS.xlsx]Parameters'!$F$90</t>
  </si>
  <si>
    <t>verbr_BEV_L</t>
  </si>
  <si>
    <t>='/Users/pjotrsillekens/Dropbox (EVConsult)/EVConsult BV nieuw/1. Projects/2. Active Projects/19076 PIANOo update TCO tools/Concepten/TCO-tool/[191126 TCO-tool doelgroepen en dienst vervoer_PS.xlsx]Parameters'!$F$91</t>
  </si>
  <si>
    <t>verbr_BEV_M</t>
  </si>
  <si>
    <t>='/Users/pjotrsillekens/Dropbox (EVConsult)/EVConsult BV nieuw/1. Projects/2. Active Projects/19076 PIANOo update TCO tools/Concepten/TCO-tool/[191126 TCO-tool doelgroepen en dienst vervoer_PS.xlsx]Parameters'!$F$92</t>
  </si>
  <si>
    <t>verbr_BEV_rolstoelbus</t>
  </si>
  <si>
    <t>='/Users/pjotrsillekens/Dropbox (EVConsult)/EVConsult BV nieuw/1. Projects/2. Active Projects/19076 PIANOo update TCO tools/Concepten/TCO-tool/[191126 TCO-tool doelgroepen en dienst vervoer_PS.xlsx]Parameters'!$F$97</t>
  </si>
  <si>
    <t>verbr_BEV_rolstoelbus_ombouw</t>
  </si>
  <si>
    <t>verbr_BEV_taxibus_groot</t>
  </si>
  <si>
    <t>='/Users/pjotrsillekens/Dropbox (EVConsult)/EVConsult BV nieuw/1. Projects/2. Active Projects/19076 PIANOo update TCO tools/Concepten/TCO-tool/[191126 TCO-tool doelgroepen en dienst vervoer_PS.xlsx]Parameters'!$F$96</t>
  </si>
  <si>
    <t>verbr_BEV_taxibus_groot_ombouw</t>
  </si>
  <si>
    <t>verbr_BEV_taxibus_klein</t>
  </si>
  <si>
    <t>='/Users/pjotrsillekens/Dropbox (EVConsult)/EVConsult BV nieuw/1. Projects/2. Active Projects/19076 PIANOo update TCO tools/Concepten/TCO-tool/[191126 TCO-tool doelgroepen en dienst vervoer_PS.xlsx]Parameters'!$F$94</t>
  </si>
  <si>
    <t>verbr_BEV_taxibus_middel</t>
  </si>
  <si>
    <t>='/Users/pjotrsillekens/Dropbox (EVConsult)/EVConsult BV nieuw/1. Projects/2. Active Projects/19076 PIANOo update TCO tools/Concepten/TCO-tool/[191126 TCO-tool doelgroepen en dienst vervoer_PS.xlsx]Parameters'!$F$95</t>
  </si>
  <si>
    <t>verbr_CNG_A</t>
  </si>
  <si>
    <t>=_CNG!$D$12</t>
  </si>
  <si>
    <t>verbr_CNG_B</t>
  </si>
  <si>
    <t>=_CNG!$D$13</t>
  </si>
  <si>
    <t>verbr_CNG_bestel_groot</t>
  </si>
  <si>
    <t>=_CNG!$D$29</t>
  </si>
  <si>
    <t>verbr_CNG_bestel_klein</t>
  </si>
  <si>
    <t>=_CNG!$D$27</t>
  </si>
  <si>
    <t>verbr_CNG_bestel_middel</t>
  </si>
  <si>
    <t>=_CNG!$D$28</t>
  </si>
  <si>
    <t>verbr_CNG_C</t>
  </si>
  <si>
    <t>=_CNG!$D$14</t>
  </si>
  <si>
    <t>verbr_CNG_D</t>
  </si>
  <si>
    <t>=_CNG!$D$15</t>
  </si>
  <si>
    <t>verbr_CNG_E</t>
  </si>
  <si>
    <t>=_CNG!$D$16</t>
  </si>
  <si>
    <t>verbr_CNG_F</t>
  </si>
  <si>
    <t>=_CNG!$D$17</t>
  </si>
  <si>
    <t>verbr_CNG_grote_taxibus</t>
  </si>
  <si>
    <t>=_CNG!$D$24</t>
  </si>
  <si>
    <t>verbr_CNG_J</t>
  </si>
  <si>
    <t>=_CNG!$D$18</t>
  </si>
  <si>
    <t>verbr_CNG_kleine_taxibus</t>
  </si>
  <si>
    <t>=_CNG!$D$22</t>
  </si>
  <si>
    <t>verbr_CNG_L</t>
  </si>
  <si>
    <t>=_CNG!$D$19</t>
  </si>
  <si>
    <t>verbr_CNG_M</t>
  </si>
  <si>
    <t>=_CNG!$D$20</t>
  </si>
  <si>
    <t>verbr_CNG_middel_taxibus</t>
  </si>
  <si>
    <t>=_CNG!$D$23</t>
  </si>
  <si>
    <t>verbr_CNG_rolstoelbus</t>
  </si>
  <si>
    <t>=_CNG!$D$25</t>
  </si>
  <si>
    <t>verbr_die_A</t>
  </si>
  <si>
    <t>=_fossiel_pers!$F$33</t>
  </si>
  <si>
    <t>verbr_die_B</t>
  </si>
  <si>
    <t>=_fossiel_pers!$F$53</t>
  </si>
  <si>
    <t>verbr_die_bestel_groot</t>
  </si>
  <si>
    <t>=_fossiel_LCV!$G$82</t>
  </si>
  <si>
    <t>verbr_die_bestel_klein</t>
  </si>
  <si>
    <t>=_fossiel_LCV!$G$34</t>
  </si>
  <si>
    <t>verbr_die_bestel_middel</t>
  </si>
  <si>
    <t>=_fossiel_LCV!$G$58</t>
  </si>
  <si>
    <t>verbr_die_C</t>
  </si>
  <si>
    <t>=_fossiel_pers!$F$73</t>
  </si>
  <si>
    <t>verbr_die_D</t>
  </si>
  <si>
    <t>=_fossiel_pers!$F$93</t>
  </si>
  <si>
    <t>verbr_die_E</t>
  </si>
  <si>
    <t>=_fossiel_pers!$F$113</t>
  </si>
  <si>
    <t>verbr_die_F</t>
  </si>
  <si>
    <t>=_fossiel_pers!$F$133</t>
  </si>
  <si>
    <t>verbr_die_groot_taxibus</t>
  </si>
  <si>
    <t>=_fossiel_minibus!$E$88</t>
  </si>
  <si>
    <t>verbr_die_J</t>
  </si>
  <si>
    <t>=_fossiel_pers!$F$153</t>
  </si>
  <si>
    <t>verbr_die_kleine_taxibus</t>
  </si>
  <si>
    <t>=_fossiel_minibus!$E$17</t>
  </si>
  <si>
    <t>verbr_die_L</t>
  </si>
  <si>
    <t>=_fossiel_pers!$F$173</t>
  </si>
  <si>
    <t>verbr_die_M</t>
  </si>
  <si>
    <t>=_fossiel_pers!$F$193</t>
  </si>
  <si>
    <t>verbr_die_middel_taxibus</t>
  </si>
  <si>
    <t>=_fossiel_minibus!$E$53</t>
  </si>
  <si>
    <t>verbr_die_rolstoelbus</t>
  </si>
  <si>
    <t>=_fossiel_minibus!$E$121</t>
  </si>
  <si>
    <t>verz_benz_A</t>
  </si>
  <si>
    <t>=Parameters!$X$31</t>
  </si>
  <si>
    <t>verz_benz_B</t>
  </si>
  <si>
    <t>=Parameters!$X$32</t>
  </si>
  <si>
    <t>verz_benz_bestel_groot</t>
  </si>
  <si>
    <t>=Parameters!$X$49</t>
  </si>
  <si>
    <t>verz_benz_bestel_klein</t>
  </si>
  <si>
    <t>=Parameters!$X$47</t>
  </si>
  <si>
    <t>verz_benz_bestel_middel</t>
  </si>
  <si>
    <t>=Parameters!$X$48</t>
  </si>
  <si>
    <t>verz_benz_C</t>
  </si>
  <si>
    <t>=Parameters!$X$33</t>
  </si>
  <si>
    <t>verz_benz_D</t>
  </si>
  <si>
    <t>=Parameters!$X$34</t>
  </si>
  <si>
    <t>verz_benz_E</t>
  </si>
  <si>
    <t>=Parameters!$X$35</t>
  </si>
  <si>
    <t>verz_benz_F</t>
  </si>
  <si>
    <t>=Parameters!$X$36</t>
  </si>
  <si>
    <t>verz_benz_J</t>
  </si>
  <si>
    <t>=Parameters!$X$37</t>
  </si>
  <si>
    <t>verz_benz_K</t>
  </si>
  <si>
    <t>=Parameters!$X$38</t>
  </si>
  <si>
    <t>verz_benz_L</t>
  </si>
  <si>
    <t>=Parameters!$X$39</t>
  </si>
  <si>
    <t>verz_benz_M</t>
  </si>
  <si>
    <t>=Parameters!$X$40</t>
  </si>
  <si>
    <t>verz_benz_rolstoelbus</t>
  </si>
  <si>
    <t>=Parameters!$X$45</t>
  </si>
  <si>
    <t>verz_benz_taxibus_groot</t>
  </si>
  <si>
    <t>=Parameters!$X$44</t>
  </si>
  <si>
    <t>verz_benz_taxibus_klein</t>
  </si>
  <si>
    <t>=Parameters!$X$42</t>
  </si>
  <si>
    <t>verz_benz_taxibus_middel</t>
  </si>
  <si>
    <t>=Parameters!$X$43</t>
  </si>
  <si>
    <t>verz_BEV_A</t>
  </si>
  <si>
    <t>=Parameters!$X$79</t>
  </si>
  <si>
    <t>verz_BEV_B</t>
  </si>
  <si>
    <t>=Parameters!$X$80</t>
  </si>
  <si>
    <t>verz_BEV_bestel_groot</t>
  </si>
  <si>
    <t>=Parameters!$X$97</t>
  </si>
  <si>
    <t>verz_BEV_bestel_klein</t>
  </si>
  <si>
    <t>=Parameters!$X$95</t>
  </si>
  <si>
    <t>verz_BEV_bestel_middel</t>
  </si>
  <si>
    <t>=Parameters!$X$96</t>
  </si>
  <si>
    <t>verz_BEV_C</t>
  </si>
  <si>
    <t>=Parameters!$X$81</t>
  </si>
  <si>
    <t>verz_BEV_D</t>
  </si>
  <si>
    <t>=Parameters!$X$82</t>
  </si>
  <si>
    <t>verz_BEV_E</t>
  </si>
  <si>
    <t>=Parameters!$X$83</t>
  </si>
  <si>
    <t>verz_BEV_F</t>
  </si>
  <si>
    <t>=Parameters!$X$84</t>
  </si>
  <si>
    <t>verz_BEV_J</t>
  </si>
  <si>
    <t>=Parameters!$X$85</t>
  </si>
  <si>
    <t>verz_BEV_K</t>
  </si>
  <si>
    <t>=Parameters!$X$86</t>
  </si>
  <si>
    <t>verz_BEV_L</t>
  </si>
  <si>
    <t>=Parameters!$X$87</t>
  </si>
  <si>
    <t>verz_BEV_M</t>
  </si>
  <si>
    <t>=Parameters!$X$88</t>
  </si>
  <si>
    <t>verz_BEV_rolstoelbus</t>
  </si>
  <si>
    <t>=Parameters!$X$93</t>
  </si>
  <si>
    <t>verz_BEV_rolstoelbus_ombouw</t>
  </si>
  <si>
    <t>verz_BEV_taxibus_groot</t>
  </si>
  <si>
    <t>=Parameters!$X$92</t>
  </si>
  <si>
    <t>verz_BEV_taxibus_groot_ombouw</t>
  </si>
  <si>
    <t>verz_BEV_taxibus_klein</t>
  </si>
  <si>
    <t>=Parameters!$X$90</t>
  </si>
  <si>
    <t>verz_BEV_taxibus_middel</t>
  </si>
  <si>
    <t>=Parameters!$X$91</t>
  </si>
  <si>
    <t>verz_CNG_A</t>
  </si>
  <si>
    <t>=Parameters!$X$55</t>
  </si>
  <si>
    <t>verz_CNG_B</t>
  </si>
  <si>
    <t>=Parameters!$X$56</t>
  </si>
  <si>
    <t>verz_CNG_bestel_groot</t>
  </si>
  <si>
    <t>=Parameters!$X$73</t>
  </si>
  <si>
    <t>verz_CNG_bestel_klein</t>
  </si>
  <si>
    <t>=Parameters!$X$71</t>
  </si>
  <si>
    <t>verz_CNG_bestel_middel</t>
  </si>
  <si>
    <t>=Parameters!$X$72</t>
  </si>
  <si>
    <t>verz_CNG_C</t>
  </si>
  <si>
    <t>=Parameters!$X$57</t>
  </si>
  <si>
    <t>verz_CNG_D</t>
  </si>
  <si>
    <t>=Parameters!$X$58</t>
  </si>
  <si>
    <t>verz_CNG_E</t>
  </si>
  <si>
    <t>=Parameters!$X$59</t>
  </si>
  <si>
    <t>verz_CNG_F</t>
  </si>
  <si>
    <t>=Parameters!$X$60</t>
  </si>
  <si>
    <t>verz_CNG_J</t>
  </si>
  <si>
    <t>=Parameters!$X$61</t>
  </si>
  <si>
    <t>verz_CNG_K</t>
  </si>
  <si>
    <t>=Parameters!$X$62</t>
  </si>
  <si>
    <t>verz_CNG_L</t>
  </si>
  <si>
    <t>=Parameters!$X$63</t>
  </si>
  <si>
    <t>verz_CNG_M</t>
  </si>
  <si>
    <t>=Parameters!$X$64</t>
  </si>
  <si>
    <t>verz_CNG_rolstoelbus</t>
  </si>
  <si>
    <t>=Parameters!$X$69</t>
  </si>
  <si>
    <t>verz_CNG_taxibus_groot</t>
  </si>
  <si>
    <t>=Parameters!$X$68</t>
  </si>
  <si>
    <t>verz_CNG_taxibus_klein</t>
  </si>
  <si>
    <t>=Parameters!$X$66</t>
  </si>
  <si>
    <t>verz_CNG_taxibus_middel</t>
  </si>
  <si>
    <t>=Parameters!$X$67</t>
  </si>
  <si>
    <t>verz_die_A</t>
  </si>
  <si>
    <t>=Parameters!$X$7</t>
  </si>
  <si>
    <t>verz_die_B</t>
  </si>
  <si>
    <t>=Parameters!$X$8</t>
  </si>
  <si>
    <t>verz_die_bestel_groot</t>
  </si>
  <si>
    <t>=Parameters!$X$25</t>
  </si>
  <si>
    <t>verz_die_bestel_klein</t>
  </si>
  <si>
    <t>=Parameters!$X$23</t>
  </si>
  <si>
    <t>verz_die_bestel_middel</t>
  </si>
  <si>
    <t>=Parameters!$X$24</t>
  </si>
  <si>
    <t>verz_die_C</t>
  </si>
  <si>
    <t>=Parameters!$X$9</t>
  </si>
  <si>
    <t>verz_die_D</t>
  </si>
  <si>
    <t>=Parameters!$X$10</t>
  </si>
  <si>
    <t>verz_die_E</t>
  </si>
  <si>
    <t>=Parameters!$X$11</t>
  </si>
  <si>
    <t>verz_die_F</t>
  </si>
  <si>
    <t>=Parameters!$X$12</t>
  </si>
  <si>
    <t>verz_die_G</t>
  </si>
  <si>
    <t>verz_die_H</t>
  </si>
  <si>
    <t>verz_die_I</t>
  </si>
  <si>
    <t>verz_die_J</t>
  </si>
  <si>
    <t>=Parameters!$X$13</t>
  </si>
  <si>
    <t>verz_die_K</t>
  </si>
  <si>
    <t>=Parameters!$X$14</t>
  </si>
  <si>
    <t>verz_die_L</t>
  </si>
  <si>
    <t>=Parameters!$X$15</t>
  </si>
  <si>
    <t>verz_die_M</t>
  </si>
  <si>
    <t>=Parameters!$X$16</t>
  </si>
  <si>
    <t>verz_die_rolstoelbus</t>
  </si>
  <si>
    <t>=Parameters!$X$21</t>
  </si>
  <si>
    <t>verz_die_taxibus_groot</t>
  </si>
  <si>
    <t>=Parameters!$X$20</t>
  </si>
  <si>
    <t>verz_die_taxibus_klein</t>
  </si>
  <si>
    <t>=Parameters!$X$18</t>
  </si>
  <si>
    <t>verz_die_taxibus_middel</t>
  </si>
  <si>
    <t>=Parameters!$X$19</t>
  </si>
  <si>
    <t>verz_die_veegmachine</t>
  </si>
  <si>
    <t>verz_die_veegvuilwagen</t>
  </si>
  <si>
    <t>verz_die_vuilniswagen</t>
  </si>
  <si>
    <t>verz_FCEV_A</t>
  </si>
  <si>
    <t>=Parameters!$X$103</t>
  </si>
  <si>
    <t>verz_FCEV_B</t>
  </si>
  <si>
    <t>=Parameters!$X$104</t>
  </si>
  <si>
    <t>verz_FCEV_bestel_groot</t>
  </si>
  <si>
    <t>=Parameters!$X$121</t>
  </si>
  <si>
    <t>verz_FCEV_bestel_klein</t>
  </si>
  <si>
    <t>=Parameters!$X$119</t>
  </si>
  <si>
    <t>verz_FCEV_bestel_middel</t>
  </si>
  <si>
    <t>=Parameters!$X$120</t>
  </si>
  <si>
    <t>verz_FCEV_C</t>
  </si>
  <si>
    <t>=Parameters!$X$105</t>
  </si>
  <si>
    <t>verz_FCEV_D</t>
  </si>
  <si>
    <t>=Parameters!$X$106</t>
  </si>
  <si>
    <t>verz_FCEV_E</t>
  </si>
  <si>
    <t>=Parameters!$X$107</t>
  </si>
  <si>
    <t>verz_FCEV_F</t>
  </si>
  <si>
    <t>=Parameters!$X$108</t>
  </si>
  <si>
    <t>verz_FCEV_J</t>
  </si>
  <si>
    <t>=Parameters!$X$109</t>
  </si>
  <si>
    <t>verz_FCEV_K</t>
  </si>
  <si>
    <t>=Parameters!$X$110</t>
  </si>
  <si>
    <t>verz_FCEV_L</t>
  </si>
  <si>
    <t>=Parameters!$X$111</t>
  </si>
  <si>
    <t>verz_FCEV_M</t>
  </si>
  <si>
    <t>=Parameters!$X$112</t>
  </si>
  <si>
    <t>verz_FCEV_taxi_groot</t>
  </si>
  <si>
    <t>=Parameters!$X$116</t>
  </si>
  <si>
    <t>verz_FCEV_taxi_klein</t>
  </si>
  <si>
    <t>=Parameters!$X$114</t>
  </si>
  <si>
    <t>verz_FCEV_taxi_middel</t>
  </si>
  <si>
    <t>=Parameters!$X$115</t>
  </si>
  <si>
    <t>verz_FCEV_taxi_rolstoel</t>
  </si>
  <si>
    <t>=Parameters!$X$117</t>
  </si>
  <si>
    <t>verz_FCEV_veegvuilwagen</t>
  </si>
  <si>
    <t>verz_FCEV_vuilniswagen</t>
  </si>
  <si>
    <t>_verh_H2_accu_veegvuilwagen</t>
  </si>
  <si>
    <t>BPM_FCEV_veegvuilwagen</t>
  </si>
  <si>
    <t>gem_verbr_benz_veegvuilwagen</t>
  </si>
  <si>
    <t>gem_verbr_BEV_veegvuilwagen</t>
  </si>
  <si>
    <t>gem_verbr_CNG_veegvuilwagen</t>
  </si>
  <si>
    <t>gem_verbr_FCEV_veegvuilwagen_Elek</t>
  </si>
  <si>
    <t>gem_verbr_FCEV_veegvuilwagen_H2</t>
  </si>
  <si>
    <t>Onderh_FCEV_veegvuilwagen_hoog_km</t>
  </si>
  <si>
    <t>BPM_benz_veegvuilwagen</t>
  </si>
  <si>
    <t>BPM_BEV_veegvuilwagen</t>
  </si>
  <si>
    <t>BPM_CNG_veegvuilwagen</t>
  </si>
  <si>
    <t>BPM_die_veegvuilwagen</t>
  </si>
  <si>
    <t>input_MRB_benz_veegvuilwagen</t>
  </si>
  <si>
    <t>input_MRB_BEV_veegvuilwagen</t>
  </si>
  <si>
    <t>input_MRB_CNG_veegvuilwagen</t>
  </si>
  <si>
    <t>MIA_BEV_veegvuilwagen</t>
  </si>
  <si>
    <t>Netto_cat_benz_veegvuilwagen</t>
  </si>
  <si>
    <t>Netto_cat_BEV_veegvuilwagen</t>
  </si>
  <si>
    <t>Netto_cat_CNG_veegvuilwagen</t>
  </si>
  <si>
    <t>Onderh_benz_veegvuilwagen</t>
  </si>
  <si>
    <t>Onderh_benz_veegvuilwagen_hoog_km</t>
  </si>
  <si>
    <t>Onderh_BEV_veegvuilwagen</t>
  </si>
  <si>
    <t>Onderh_BEV_veegvuilwagen_hoog_km</t>
  </si>
  <si>
    <t>Onderh_CNG_veegvuilwagen</t>
  </si>
  <si>
    <t>Onderh_CNG_veegvuilwagen_hoog_km</t>
  </si>
  <si>
    <t>verbr_BEV_veegvuilwagen</t>
  </si>
  <si>
    <t>verz_benz_veegvuilwagen</t>
  </si>
  <si>
    <t>verz_BEV_veegvuilwagen</t>
  </si>
  <si>
    <t>verz_CNG_veegvuilwagen</t>
  </si>
  <si>
    <t>BPM_benz_vuilniswagen</t>
  </si>
  <si>
    <t>BPM_BEV_vuilniswagen</t>
  </si>
  <si>
    <t>BPM_CNG_vuilniswagen</t>
  </si>
  <si>
    <t>BPM_die_vuilniswagen</t>
  </si>
  <si>
    <t>input_MRB_benz_vuilniswagen</t>
  </si>
  <si>
    <t>input_MRB_BEV_vuilniswagen</t>
  </si>
  <si>
    <t>input_MRB_CNG_vuilniswagen</t>
  </si>
  <si>
    <t>MIA_BEV_vuilniswagen</t>
  </si>
  <si>
    <t>Netto_cat_benz_vuilniswagen</t>
  </si>
  <si>
    <t>Netto_cat_BEV_vuilniswagen</t>
  </si>
  <si>
    <t>Netto_cat_CNG_vuilniswagen</t>
  </si>
  <si>
    <t>Onderh_benz_vuilniswagen</t>
  </si>
  <si>
    <t>Onderh_benz_vuilniswagen_hoog_km</t>
  </si>
  <si>
    <t>Onderh_BEV_vuilniswagen</t>
  </si>
  <si>
    <t>Onderh_BEV_vuilniswagen_hoog_km</t>
  </si>
  <si>
    <t>Onderh_CNG_vuilniswagen</t>
  </si>
  <si>
    <t>Onderh_CNG_vuilniswagen_hoog_km</t>
  </si>
  <si>
    <t>verbr_BEV_vuilniswagen</t>
  </si>
  <si>
    <t>verz_benz_vuilniswagen</t>
  </si>
  <si>
    <t>verz_BEV_vuilniswagen</t>
  </si>
  <si>
    <t>verz_CNG_vuilniswagen</t>
  </si>
  <si>
    <t>_verh_H2_accu_vuilniswagen</t>
  </si>
  <si>
    <t>BPM_FCEV_vuilniswagen</t>
  </si>
  <si>
    <t>gem_verbr_benz_vuilniswagen</t>
  </si>
  <si>
    <t>gem_verbr_BEV_vuilniswagen</t>
  </si>
  <si>
    <t>gem_verbr_CNG_vuilniswagen</t>
  </si>
  <si>
    <t>gem_verbr_FCEV_vuilniswagen_Elek</t>
  </si>
  <si>
    <t>gem_verbr_FCEV_vuilniswagen_H2</t>
  </si>
  <si>
    <t>Onderh_FCEV_vuilniswagen</t>
  </si>
  <si>
    <t>_verh_H2_accu_veegwagen</t>
  </si>
  <si>
    <t>BPM_FCEV_veegwagen</t>
  </si>
  <si>
    <t>gem_verbr_benz_veegwagen</t>
  </si>
  <si>
    <t>gem_verbr_BEV_veegwagen</t>
  </si>
  <si>
    <t>gem_verbr_CNG_veegwagen</t>
  </si>
  <si>
    <t>gem_verbr_die_veegwagen</t>
  </si>
  <si>
    <t>gem_verbr_FCEV_veegwagen_Elek</t>
  </si>
  <si>
    <t>gem_verbr_FCEV_veegwagen_H2</t>
  </si>
  <si>
    <t>input_MRB_FCEV_veegwagen</t>
  </si>
  <si>
    <t>MIA_FCEV_veegwagen</t>
  </si>
  <si>
    <t>Netto_cat_FCEV_veegwagen</t>
  </si>
  <si>
    <t>Onderh_FCEV_veegwagen</t>
  </si>
  <si>
    <t>Onderh_FCEV_veegwagen_hoog_km</t>
  </si>
  <si>
    <t>verz_FCEV_veegwagen</t>
  </si>
  <si>
    <t>BPM_benz_veegwagen</t>
  </si>
  <si>
    <t>BPM_BEV_veegwagen</t>
  </si>
  <si>
    <t>BPM_BEV_veegwagen_Ombouw</t>
  </si>
  <si>
    <t>BPM_CNG_veegwagen</t>
  </si>
  <si>
    <t>BPM_die_veegwagen</t>
  </si>
  <si>
    <t>input_MRB_benz_veegwagen</t>
  </si>
  <si>
    <t>input_MRB_BEV_veegwagen</t>
  </si>
  <si>
    <t>input_MRB_CNG_veegwagen</t>
  </si>
  <si>
    <t>input_MRB_die_veegwagen</t>
  </si>
  <si>
    <t>MIA_BEV_veegwagen</t>
  </si>
  <si>
    <t>Netto_cat_benz_veegwagen</t>
  </si>
  <si>
    <t>Netto_cat_BEV_veegwagen</t>
  </si>
  <si>
    <t>Netto_cat_CNG_veegwagen</t>
  </si>
  <si>
    <t>Netto_cat_die_veegwagen</t>
  </si>
  <si>
    <t>Onderh_benz_veegwagen</t>
  </si>
  <si>
    <t>Onderh_benz_veegwagen_hoog_km</t>
  </si>
  <si>
    <t>Onderh_BEV_veegwagen</t>
  </si>
  <si>
    <t>Onderh_BEV_veegwagen_hoog_km</t>
  </si>
  <si>
    <t>Onderh_CNG_veegwagen</t>
  </si>
  <si>
    <t>Onderh_CNG_veegwagen_hoog_km</t>
  </si>
  <si>
    <t>Onderh_die_veegwagen</t>
  </si>
  <si>
    <t>Onderh_die_veegwagen_hoog_km</t>
  </si>
  <si>
    <t>verbr_BEV_veegwagen</t>
  </si>
  <si>
    <t>verbr_BEV_veegwagen_ombouw</t>
  </si>
  <si>
    <t>verz_benz_veegwagen</t>
  </si>
  <si>
    <t>verz_BEV_veegwagen</t>
  </si>
  <si>
    <t>verz_CNG_veegwagen</t>
  </si>
  <si>
    <t>verz_die_veegwagen</t>
  </si>
  <si>
    <t>cat_prijs_net_benz_veegwagen</t>
  </si>
  <si>
    <t>cat_prijs_net_CNG_veegwagen</t>
  </si>
  <si>
    <t>cat_prijs_net_die_veegwagen</t>
  </si>
  <si>
    <t>gCO2_km_benz_veegwagen</t>
  </si>
  <si>
    <t>gCO2_km_die_veegwagen</t>
  </si>
  <si>
    <t>MRB_benz_veegwagen</t>
  </si>
  <si>
    <t>MRB_CNG_veegwagen</t>
  </si>
  <si>
    <t>MRB_die_veegwagen</t>
  </si>
  <si>
    <t>verbr_benz_veegwagen</t>
  </si>
  <si>
    <t>verbr_die_veegwagen</t>
  </si>
  <si>
    <t>cat_prijs_net_benz_veegvuilwagen</t>
  </si>
  <si>
    <t>cat_prijs_net_dies_veegvuilwagen</t>
  </si>
  <si>
    <t>gCO2_km_benz_veegvuilwagen</t>
  </si>
  <si>
    <t>gCO2_km_die_veegvuilwagen</t>
  </si>
  <si>
    <t>MRB_benz_veegvuilwagen</t>
  </si>
  <si>
    <t>MRB_CNG_veegvuilwagen</t>
  </si>
  <si>
    <t>MRB_die_veegvuilwagen</t>
  </si>
  <si>
    <t>verbr_benz_veegvuilwagen</t>
  </si>
  <si>
    <t>verbr_CNG_veegvuilwagen</t>
  </si>
  <si>
    <t>verbr_die_veegvuilwagen</t>
  </si>
  <si>
    <t>cat_prijs_net_benz_vuilniswagen</t>
  </si>
  <si>
    <t>cat_prijs_net_die_vuilniswagen</t>
  </si>
  <si>
    <t>gCO2_km_benz_vuilniswagen</t>
  </si>
  <si>
    <t>gCO2_km_die_vuilniswagen</t>
  </si>
  <si>
    <t>MRB_benz_vuilniswagen</t>
  </si>
  <si>
    <t>MRB_CNG_vuilniswagen</t>
  </si>
  <si>
    <t>MRB_die_vuilniswagen</t>
  </si>
  <si>
    <t>verbr_benz_vuilniswagen</t>
  </si>
  <si>
    <t>verbr_CNG_vuilniswagen</t>
  </si>
  <si>
    <t>verbr_die_vuilniswagen</t>
  </si>
  <si>
    <t>verbr_CNG_veegwagen</t>
  </si>
  <si>
    <t xml:space="preserve">  Deze tool is in opdracht van PIANOo ontwikkeld door EVConsult</t>
  </si>
  <si>
    <t>Waarom elektrisch?</t>
  </si>
  <si>
    <t xml:space="preserve">(1) </t>
  </si>
  <si>
    <t>https://www.natuurenmilieu.nl/nieuwsberichten/brandstofranking/</t>
  </si>
  <si>
    <t>Direct aan de slag met deze TCO-tool in 5 stappen</t>
  </si>
  <si>
    <t xml:space="preserve">Waarom zero emissie doelgroepenvervoer? </t>
  </si>
  <si>
    <t>Transport emissies in Nederland: een uitspliting naar CO2, NOx en PM10 emissies ten gevolge van wegverkeer</t>
  </si>
  <si>
    <t xml:space="preserve">Waarom duurzame dienstvoertuigen? </t>
  </si>
  <si>
    <t xml:space="preserve">Doel van deze TCO-tool: inzicht in haalbaarheid elektrische dienstvoertuigen  </t>
  </si>
  <si>
    <t>Vervolg</t>
  </si>
  <si>
    <t xml:space="preserve">Tips </t>
  </si>
  <si>
    <t xml:space="preserve">https://www.evconsult.nl/vijf-tips-voor-laadpunten-op-bedrijfsterreinen-en-bij-kantoorgebouwen/
</t>
  </si>
  <si>
    <t xml:space="preserve">           </t>
  </si>
  <si>
    <t>Overige vragen</t>
  </si>
  <si>
    <r>
      <t xml:space="preserve">Voor aanbestedingsrechtelijke vragen raadpleegt u de website van PIANOo of kunt u mailen naar </t>
    </r>
    <r>
      <rPr>
        <u/>
        <sz val="16"/>
        <color theme="4"/>
        <rFont val="Corbel"/>
      </rPr>
      <t>info@pianoo.nl</t>
    </r>
    <r>
      <rPr>
        <sz val="16"/>
        <color theme="1"/>
        <rFont val="Corbel"/>
      </rPr>
      <t xml:space="preserve"> of gaat u naar </t>
    </r>
  </si>
  <si>
    <t>https://www.pianoo.nl/nl/inkoopproces</t>
  </si>
  <si>
    <t>Doel van deze TCO-tool: inzicht in haalbaarheid elektrisch doelgroepenvervoer</t>
  </si>
  <si>
    <r>
      <t xml:space="preserve">Vervoer is sterk vervuilend: circa 30% van de CO2 uitstoot in Nederland wordt veroorzaakt door transport. Wegverkeer van personenvoertuigen maakt hier een significant deel vanuit. Daarnaast veroorzaakt vervoer schade voor de gezondheid door de uitstoot van fijnstof en NOx. 
</t>
    </r>
    <r>
      <rPr>
        <sz val="8"/>
        <color theme="0"/>
        <rFont val="Corbel"/>
      </rPr>
      <t>..</t>
    </r>
    <r>
      <rPr>
        <sz val="16"/>
        <color theme="1"/>
        <rFont val="Corbel"/>
      </rPr>
      <t xml:space="preserve">
De oplossing hiervan voor personenvoertuigen is al breed beschikbaar: namelijk elektrische voertuigen. Ook groeit het aanbod van bestel- &amp; personenbussen en gemeentelijke voertuigen sterk. Op dit moment zijn batterij-elektrische voertuigen de meest beschikbare oplossing, maar ook het aanbod van waterstof-elektrische voertuigen en H2-tankpunten groeit. De positieve impact van overgang naar elektrische voertuigen blijkt mede uit de brandstofranking door Natuur &amp; Milieu (1) . Andere belangrijke voordelen van elektrisch vervoer zijn: energie efficiëntie, lage onderhouds- en brandstofkosten en versnellende rol in energietransitie. Waterstof  kent deze voordelen in mindere mate, maar heeft als voordeel dat de actieradius een stuk groter is. 
</t>
    </r>
    <r>
      <rPr>
        <sz val="8"/>
        <color theme="0"/>
        <rFont val="Corbel"/>
      </rPr>
      <t>.</t>
    </r>
    <r>
      <rPr>
        <sz val="16"/>
        <color theme="1"/>
        <rFont val="Corbel"/>
      </rPr>
      <t xml:space="preserve">
Ten slotte is het de voorbeeld- en aanjaagfunctie van publieke organisaties die maakt dat overstappen op elektrisch zo snel mogelijk moet gebeuren. Bovendien staat in het Klimaatakkoord opgenomen dat in 2025 zoveel mogelijk en in 2030 het DGV zero emissie moet zijn.  </t>
    </r>
  </si>
  <si>
    <t>Welkom bij deze TCO-tool voor doelgroepenvervoer (DGV) 2.0</t>
  </si>
  <si>
    <r>
      <rPr>
        <b/>
        <sz val="16"/>
        <color theme="1"/>
        <rFont val="Corbel"/>
      </rPr>
      <t xml:space="preserve">Stap 1: Invoer wagenpark - BESTAAND. </t>
    </r>
    <r>
      <rPr>
        <sz val="16"/>
        <color theme="1"/>
        <rFont val="Corbel"/>
      </rPr>
      <t xml:space="preserve">Voer met de input van uw wagenparkbeheerder in de tabel op het 'tabblad 1' de aantallen voertuigen in van het deel van uw wagenpark dat u overweegt te elektrificeren. Per voertuig of groep van meerdere voertuigen specificeert u de relevante segmenten (A t/m M en 3 type  bestelbussen), brandstoftypen en de relevante kilometrages. De grijze tabel op 'tabblad 1.', naast de tabel waarin u de aantallen voertuigen invult, vindt u een overzicht van de voertuigen binnen ieder segment. 
</t>
    </r>
    <r>
      <rPr>
        <b/>
        <sz val="16"/>
        <color theme="1"/>
        <rFont val="Corbel"/>
      </rPr>
      <t xml:space="preserve">Stap 1: Invoer wagenpark - NIEUW. </t>
    </r>
    <r>
      <rPr>
        <sz val="16"/>
        <color theme="1"/>
        <rFont val="Corbel"/>
      </rPr>
      <t xml:space="preserve">Om de tool zo gebruiksvriendelijk mogelijk te maken, wordt het aantal voertuigen uit tab "1a. Invoer - BESTAAND" direct bij batterij elektrische voertuigen (BEV) ingevuld. Voor ieder voertuigsgement is namelijk een BEV alternatief beschikbaar en voor de segmenten waar óók waterstofelektrische (FCEV) alternatieven beschikbaar zijn, kunt u handmatig het aantal voertuigen aanpassen. Let hierbij erop dat het totaal aantal voertuigen klopt van BESTAAND en NIEUW overeen komt.
</t>
    </r>
    <r>
      <rPr>
        <b/>
        <sz val="16"/>
        <color theme="1"/>
        <rFont val="Corbel"/>
      </rPr>
      <t>Stap 2: Invoer parameters.</t>
    </r>
    <r>
      <rPr>
        <sz val="16"/>
        <color theme="1"/>
        <rFont val="Corbel"/>
      </rPr>
      <t xml:space="preserve"> Voer daarna op het tweede tabblad de relevante parameters in. Meer uitleg hierover treft u op 'tabblad 2. Invoer paramters'
</t>
    </r>
    <r>
      <rPr>
        <b/>
        <sz val="16"/>
        <color theme="1"/>
        <rFont val="Corbel"/>
      </rPr>
      <t>Stap 3: Dashboard</t>
    </r>
    <r>
      <rPr>
        <sz val="16"/>
        <color theme="1"/>
        <rFont val="Corbel"/>
      </rPr>
      <t xml:space="preserve">. Bekijk daarna op het derde tabblad de resultaten. Dit dashboard geeft u in één oogopslag zicht op mogelijk kosten- en CO2 besparingen. Meer uitleg hierover treft u op 'tabblad 3. Dashboard'. 
</t>
    </r>
    <r>
      <rPr>
        <b/>
        <sz val="16"/>
        <color theme="1"/>
        <rFont val="Corbel"/>
      </rPr>
      <t xml:space="preserve">Stap 4: Analyse. </t>
    </r>
    <r>
      <rPr>
        <sz val="16"/>
        <color theme="1"/>
        <rFont val="Corbel"/>
      </rPr>
      <t xml:space="preserve">Bekijk op het vierde tabblad de analyse. Meer uitleg hierover treft u op 'tabblad 4'. 
</t>
    </r>
    <r>
      <rPr>
        <b/>
        <sz val="16"/>
        <color theme="1"/>
        <rFont val="Corbel"/>
      </rPr>
      <t xml:space="preserve">Stap 5: Vervolg. </t>
    </r>
    <r>
      <rPr>
        <sz val="16"/>
        <color theme="1"/>
        <rFont val="Corbel"/>
      </rPr>
      <t xml:space="preserve">Experimenteer eventueel met de aantallen en type voertuigen op 'tabblad 1.' en parameters op 'tabblad 2.' om tot een haalbaar plan te komen. Op 'tabblad 5.' treft u verder een aantal praktische tips, waaronder over laadinfrastructuur. </t>
    </r>
  </si>
  <si>
    <r>
      <rPr>
        <sz val="16"/>
        <color theme="1"/>
        <rFont val="Corbel"/>
      </rPr>
      <t xml:space="preserve">De TCO-tool is geschikt voor gebruik door duurzaamheidsmedewerkers, inkoopmedewerkers, wagenparkbeheerders, planners en beleidsmedewerkers. Met hulp van deze TCO-tool kunt u als (publieke) organisatie inzicht krijgen in hoeverre de overgang naar elektrische voertuigen voor uw wagenpark budgedneutraal mogelijk is. Deze tool geeft op basis van het type voertuigen in het wagenpark van uw organisatie inzicht in de kosten- en CO2 impact bij de overgang naar zero emissie. Op basis van de uitkomsten van de tool kunt u:
1) een eerste inzicht krijgen in de business case voor overgang naar elektrisch of uw eigen business case     controleren. 
2) draagvlak zoeken binnen uw organisatie;
3) haalbare doelstellingen vaststellen;
</t>
    </r>
    <r>
      <rPr>
        <b/>
        <sz val="16"/>
        <color theme="1"/>
        <rFont val="Corbel"/>
      </rPr>
      <t xml:space="preserve">
Houd er wel rekening mee dat deze tool een eerste inschatting geeft, maar geen rekening houdt met alle specificaties van uw wagenpark. Maatwerk is nodig om laadbehoeften in kaart te brengen o.b.v. uw rittenplanning en het automodel te selecteren met de actieradius die aansluit op de behoefte. Bovendien is maatwerk benodigd om een inschatting te kunnen maken van de mogelijk veranderende voertuigen- en chauffeursinzet bij overstap naar een elektrisch wagenpark. Dit tool biedt handvatten om hier een eerste inschatting te geven.</t>
    </r>
  </si>
  <si>
    <t>6) Speciale voertuigen</t>
  </si>
  <si>
    <t xml:space="preserve">Range EVConsult (km) </t>
  </si>
  <si>
    <t>EVConsult (kWh/100km)</t>
  </si>
  <si>
    <t>EVConsult (kWh/bedrijfsuur)</t>
  </si>
  <si>
    <t>Gasoline equivalent (L/100km)</t>
  </si>
  <si>
    <t>Gasoline equivalent (L/hr)</t>
  </si>
  <si>
    <t>Price vehicle (incl. BTW)</t>
  </si>
  <si>
    <t>Price electrification (incl. BTW)</t>
  </si>
  <si>
    <t>Onbekend</t>
  </si>
  <si>
    <t>Ombouw / project (2019)</t>
  </si>
  <si>
    <t>Ombouw / project (2021)</t>
  </si>
  <si>
    <t>Af fabriek (2025)</t>
  </si>
  <si>
    <t>Af fabriek (2019)</t>
  </si>
  <si>
    <t>Af fabriek (2020)</t>
  </si>
  <si>
    <t>Onderhoudskosten (ROB)</t>
  </si>
  <si>
    <t>€ / km</t>
  </si>
  <si>
    <t>€ / jaar</t>
  </si>
  <si>
    <t>€ totale looptijd</t>
  </si>
  <si>
    <t>BEV(O, project)</t>
  </si>
  <si>
    <t>BEV(O, serie ~2021)</t>
  </si>
  <si>
    <t>FCEV (O)</t>
  </si>
  <si>
    <t>BEV (A)</t>
  </si>
  <si>
    <t>FCEV (A)</t>
  </si>
  <si>
    <t>Veegvuilwagens</t>
  </si>
  <si>
    <t>Vuilniswagens</t>
  </si>
  <si>
    <t>laadruimte 2 m3</t>
  </si>
  <si>
    <t>Laadruimte 4 m3</t>
  </si>
  <si>
    <t>BEV (O)</t>
  </si>
  <si>
    <t xml:space="preserve">€ / bedrijfsuur </t>
  </si>
  <si>
    <t>Veegmachines</t>
  </si>
  <si>
    <t>https://waterstofwerkt.nl/#tanklocaties</t>
  </si>
  <si>
    <r>
      <t xml:space="preserve">Voor vragen over deze TCO-tool kunt u contact opnemen met  PIANOo op info@pianoo.nl of met Robin Matton van EVConsult op </t>
    </r>
    <r>
      <rPr>
        <u/>
        <sz val="16"/>
        <color theme="4"/>
        <rFont val="Corbel"/>
      </rPr>
      <t>r.matton@evconsult.nl</t>
    </r>
  </si>
  <si>
    <t>Kipper / pick-up enkele cabine</t>
  </si>
  <si>
    <t>Breedspoor (2500 mm), 3-asser</t>
  </si>
  <si>
    <t>Groot (4 m3 laadvolume)</t>
  </si>
  <si>
    <t>MB Sprinter chassis-cabine, VW Crafter chassis-cabine</t>
  </si>
  <si>
    <t>DAF CF 3-asser</t>
  </si>
  <si>
    <t>RAVO i5 series, Aebi Schmidt Swingo</t>
  </si>
  <si>
    <t>Renault Master Z.E. chassis-cabine, SAIC Maxus EV80 chassis-cabine</t>
  </si>
  <si>
    <t>Renault Master Z.E. chassis-cabine H2</t>
  </si>
  <si>
    <t>Ginaf DAF-CF (ombouw VDL, Ginaf, E-moss, E-trucks of Holthausen)</t>
  </si>
  <si>
    <t>Ginaf DAF-CF (ombouw VDL, E-trucks of Holthausen)</t>
  </si>
  <si>
    <t>RAVO i5 series, Aebi Schmidt E-clingo (af-fabriek of ombouw door bijv. Holthausen)</t>
  </si>
  <si>
    <t xml:space="preserve">RAVO i5 series H2, Aebi Schmidt E-clingo H2 (af-fabriek of ombouw door bijv. Holthausen)	</t>
  </si>
  <si>
    <t>Enkele cabine</t>
  </si>
  <si>
    <t>Factor hoger onderhoudskosten (20.000 km/jaar --&gt; 75,000 km/jaar)</t>
  </si>
  <si>
    <t>Input Gemeente Amsterdam TCO studie</t>
  </si>
  <si>
    <t>Verzekeringskosten gemeentelijke voertuigen</t>
  </si>
  <si>
    <t>Huisvuilwagen</t>
  </si>
  <si>
    <t>Verzekeringskosten per jaar</t>
  </si>
  <si>
    <t>Gemiddelde verzekeringskosten personenauto's, bestel- en personenbussen</t>
  </si>
  <si>
    <t>Verhouding verzerking en t.o.v. totaal schade + verzerking</t>
  </si>
  <si>
    <t>% van netto catalaguswaarde schade + verzekering</t>
  </si>
  <si>
    <t>Enkele cabine - diesel</t>
  </si>
  <si>
    <t>Veegmachine 4m3 - Diesel</t>
  </si>
  <si>
    <t>OPEX*** (periodieke kosten ROB)</t>
  </si>
  <si>
    <t>OPEX** (periodieke kosten ROB)</t>
  </si>
  <si>
    <t>Beschrijving (bedrijfsuren/jaar)</t>
  </si>
  <si>
    <t>0 - 500</t>
  </si>
  <si>
    <t>500 - 1000</t>
  </si>
  <si>
    <t>1000 - 1500</t>
  </si>
  <si>
    <t>1500 - 2000</t>
  </si>
  <si>
    <t>&gt; 2500</t>
  </si>
  <si>
    <t>500 -1000</t>
  </si>
  <si>
    <t>&gt;2500</t>
  </si>
  <si>
    <t>TOCH KM ipv bedrijfsuur voor veegwagens? Anders zijn kosten/km veegwagens lastig te bereken.</t>
  </si>
  <si>
    <t>Gem. snelheid veegmachines (km/u)</t>
  </si>
  <si>
    <t>Input opdracht gemeente Amsterdam</t>
  </si>
  <si>
    <t>Aantal_bedrijfsuren_per_jaar (rekenwaarden)</t>
  </si>
  <si>
    <t>per bedrijfsuur (veegmachines)</t>
  </si>
  <si>
    <t xml:space="preserve"> Input studie speciale voertuigen gemeente Amsterdam</t>
  </si>
  <si>
    <t>km/jaar of bedrijfsuren/jaar</t>
  </si>
  <si>
    <t>Verzekering + schade per km/bedrijfdsuur</t>
  </si>
  <si>
    <t>Schade per km/bedrijfsuur</t>
  </si>
  <si>
    <t>Verzekering per km/bedrijfsuur</t>
  </si>
  <si>
    <t>Veegmachine 2m3</t>
  </si>
  <si>
    <t>2m3</t>
  </si>
  <si>
    <t>4m3</t>
  </si>
  <si>
    <t>Veegmachine 4m3</t>
  </si>
  <si>
    <t>Niet in gem.</t>
  </si>
  <si>
    <t>Rijksoverheid (2020), Brochure en Milieulijst 2020</t>
  </si>
  <si>
    <t>% MIA</t>
  </si>
  <si>
    <t>Max. bedrag</t>
  </si>
  <si>
    <t>Bestelauto's elektrisch</t>
  </si>
  <si>
    <t>Waterstof elektrische auto</t>
  </si>
  <si>
    <t>Personenauto's + personenbussen niet 9 personen</t>
  </si>
  <si>
    <t>Personenauto's 9 personen of rolstoel</t>
  </si>
  <si>
    <t>Bestelauto's waterstof of taxi (9 of rolstoel)</t>
  </si>
  <si>
    <t>Geen</t>
  </si>
  <si>
    <t>Elektische of waterstofvrachtwagen (bakwagenchassis)</t>
  </si>
  <si>
    <t>Veegmachine (mobiel werktuigen - Stofarme veeg(zuig)machine B3460)</t>
  </si>
  <si>
    <t>Factor hogere verzekeringskosten</t>
  </si>
  <si>
    <t>Input TCO gemeente Amsterdam</t>
  </si>
  <si>
    <t>Veegmachine / veegwagen</t>
  </si>
  <si>
    <t>Nog niet meegenomen in gemiddelde</t>
  </si>
  <si>
    <t>DAF CF 3-asser FCEV ombouw Holthausen</t>
  </si>
  <si>
    <t>Aebi Schmidt en Holthausen (enkel capacitor, batterij verwaarloosbaar)</t>
  </si>
  <si>
    <t>Gemeentelijke voertuigen</t>
  </si>
  <si>
    <t>Personenwagens, bestel- en personenbussen en veegvuilwagens / pick-ups</t>
  </si>
  <si>
    <t>Huisvuilwagens</t>
  </si>
  <si>
    <t>Veegvuilwagens / kippers</t>
  </si>
  <si>
    <t xml:space="preserve">Gemeente Amsterdam (2019). Studie verduurzaming wagenpark gemeente Amsterdam. Interviews wagenparkbeheerder gemeente Amsterdam en marktverkenning. </t>
  </si>
  <si>
    <t>Personenauto's, bestel- en personenbussen, kippers</t>
  </si>
  <si>
    <t>Fossiel &amp; ZE</t>
  </si>
  <si>
    <t>TCO studie gemeente Amsterdam (2019)</t>
  </si>
  <si>
    <t>Ijkpunten</t>
  </si>
  <si>
    <t xml:space="preserve">    - Voor veegmachines nemen we als ijkpunt dat het voertuig na 6 jaar (ca. 1450 draaiuren) nog een restwaardepercentage van 6% heeft.</t>
  </si>
  <si>
    <t xml:space="preserve">    - Voor huisvuilwagens nemen we als ijkpunt dat de chassis-cabinebakwagen na 8 jaar nog een restwaardepercentage van 10% heeft.</t>
  </si>
  <si>
    <t>Inschatting EVC</t>
  </si>
  <si>
    <t>Input gemeente amsterdam/marktverkenning studie Amsterdam</t>
  </si>
  <si>
    <t xml:space="preserve">    - Er is nog weinig inzicht in de verschillen tussen fossiel en zero emissie vanwege de prille markt. Daarom zijn de restwaardepercentages voor fossiel en elektrisch aan elkaar gelijk gesteld. </t>
  </si>
  <si>
    <t>L/bedrijfsuur</t>
  </si>
  <si>
    <t>bedrijfsuren/L</t>
  </si>
  <si>
    <t>kg/bedrijfsuur</t>
  </si>
  <si>
    <t>kWh/bedrijfsuur</t>
  </si>
  <si>
    <t>bedrijfsuren/kWh</t>
  </si>
  <si>
    <t>g CO2/bedrijfsuur</t>
  </si>
  <si>
    <t>G) Onderhoudskosten &amp; verzekering</t>
  </si>
  <si>
    <t>€/bedrijfsuur</t>
  </si>
  <si>
    <t>voertuig(en)</t>
  </si>
  <si>
    <t>COMPLEET als totale laadverdeling 100% is.</t>
  </si>
  <si>
    <t>8. Voor een waterstofvoertuig met een range extender, bijvoorbeeld de Renault Kangoo ZE of Renault Master ZE, kan het alsnog raadzaam zijn om een lader op de remise te realiseren.</t>
  </si>
  <si>
    <t xml:space="preserve">    De prijzen zijn vastgesteld voor een (publieke) organisatie die laadinfrastructuur wil (laten) realiseren en niet voor een particulier die een laadpaal voor zijn/haar huis wil (laten) installeren.</t>
  </si>
  <si>
    <t>Disclaimer</t>
  </si>
  <si>
    <r>
      <t xml:space="preserve">Hartelijk welkom in deze TCO-tool voor de overgang naar een elektrisch wagenpark. Deze tool is bedoeld voor publieke organisaties die inzicht willen in de kosten(besparing) en CO2 reductie bij de overgang naar volledig elektrisch doelgroepenvervoer. De overgang naar elektrische voertuigen brengt significante CO2, NOx en fijnstof besparingen met zich mee. Voor verschillende voertuigtypen geldt dat de overgang naar elektrish ook kostenvoordelen biedt: elektrische voertuigen hebben weliswaar vaak hogere aanschafkosten, maar kennen lagere brandstof- en onderhoudskosten. Voor sommige voertuigtypen geldt dat de overgang naar elektrisch nog wel duurder is. Deze tool geeft u inzicht in de eventuele kostenbesparingen die het teweeg kan brengen.
Om een goed mogelijk inzicht de geven in de kosten- of besparingen voor de overstap naar zero emissie, zijn een aantal updates uitgevoerd:
1) Uitbreiding naar waterstof-elektrische voertuigen
2) Toevoeging investerings- en periodieke kosten laadinfrastructuur &amp; netaansluiting
3) Toevoeging kostencomponent 'extra chauffeurskosten' a.g.v. laadtijd
4) Uitbreiding met gemeentelijke voertuigen: pick-ups (veegvuilwagens), veegwagens en huisvuilwagens
5) Updates nieuwe voertuigmodellen en fiscale regelingen
</t>
    </r>
    <r>
      <rPr>
        <b/>
        <sz val="16"/>
        <color theme="1"/>
        <rFont val="Corbel"/>
      </rPr>
      <t>Deze TCO-tool doelgroepenvervoer is onderdeel van het processchema uit het PIANOo webdossier dat een integraal beeld geeft van de haalbaarheid van de overstap naar een zero emissie wagenpark. Dit schema laat zien dat er voor de overstap naar elektrisch niet enkel gekeken dient te worden naar de kosten(besparing) van het nieuwe wagenpark. Tevens moet er aandacht worden besteed aan de (a) bedrijfsmatige inpassing van elektriche voertuigen en chauffeurs (ca. 67% totale kosten) en (b) de benodigde laadinfrastructuur. Deze kosten zijn in de update meegenomen. Niettemin is dit een eerste kosteninschatting en is maatwerk nodig om dit definitief vast te stellen.</t>
    </r>
    <r>
      <rPr>
        <sz val="16"/>
        <color theme="1"/>
        <rFont val="Corbel"/>
      </rPr>
      <t xml:space="preserve">
</t>
    </r>
  </si>
  <si>
    <t>Elektriciteitsprijs eigen terrein / remise</t>
  </si>
  <si>
    <t>€ / kWh</t>
  </si>
  <si>
    <t>Handmatig in te vullen door gebruiker</t>
  </si>
  <si>
    <t>8.0 Elektriciteitsprijs op kantoor / remise</t>
  </si>
  <si>
    <t>3. Ombouwkosten bestelbus groot naar een taxibus groot (zero emissie, 8+1 personen)</t>
  </si>
  <si>
    <t>Mogelijke inzet extra voertuigen</t>
  </si>
  <si>
    <t>10.000 - 20.000km</t>
  </si>
  <si>
    <t>20.000 - 30.000km</t>
  </si>
  <si>
    <t>30.000 - 75.000 km</t>
  </si>
  <si>
    <t>0 - 10.000km</t>
  </si>
  <si>
    <r>
      <t xml:space="preserve">Maandelijks 
</t>
    </r>
    <r>
      <rPr>
        <sz val="16"/>
        <color theme="0"/>
        <rFont val="Corbel"/>
      </rPr>
      <t>(gem. per voertuig)</t>
    </r>
  </si>
  <si>
    <r>
      <t xml:space="preserve"> Kosten per km 
</t>
    </r>
    <r>
      <rPr>
        <sz val="16"/>
        <color theme="0"/>
        <rFont val="Corbel"/>
      </rPr>
      <t>(gem. per voertuig)</t>
    </r>
  </si>
  <si>
    <t>De kritische parameters zijn dikgedrukt. Besteed hier met name aandacht aan om deze met zorg in te vullen.</t>
  </si>
  <si>
    <t>Reparatie, onderhoud &amp; banden</t>
  </si>
  <si>
    <t>Vaste waarde</t>
  </si>
  <si>
    <t>Percentage bruto catalaguswaarde</t>
  </si>
  <si>
    <t>Op basis van de volgende formule zijn de verzekeringkosten (per jaar) berekend: €200 + 1,0% * bruto cataloguswaarde (aanschafprijs)</t>
  </si>
  <si>
    <t xml:space="preserve">1. Op basis van de volgende formule zijn de verzekeringkosten (per jaar) berekend: €200 + 1,0% * netto cataloguswaarde (excl. BTW en BPM). </t>
  </si>
  <si>
    <t>Beheer en onderhoud laadinfra en elektriciteitsnet.</t>
  </si>
  <si>
    <t>* Voertuigen die op dit moment of in 2020/2021 beschikbaar komen vormen input voor de TCO.</t>
  </si>
  <si>
    <t>RAVO i5 series H2, Aebi Schmidt E-clingo H2 (af-fabriek of ombouw Holhausen)</t>
  </si>
  <si>
    <t>RAVO i5 series, Aebi Schmidt E-clingo (af-fabriek of ombouw Holthausen)</t>
  </si>
  <si>
    <t>Incl. financieringskosten</t>
  </si>
  <si>
    <t>Verhouding elektrisch t.o.v. fossiel</t>
  </si>
  <si>
    <t>MRB = Motorrijtuigenbelasting</t>
  </si>
  <si>
    <t xml:space="preserve">BPM = Belasting Personenauto's en Motorrijwielen </t>
  </si>
  <si>
    <r>
      <t>Mercedez-Benz e-Vito (</t>
    </r>
    <r>
      <rPr>
        <sz val="12"/>
        <color theme="0"/>
        <rFont val="Calibri (Hoofdtekst)_x0000_"/>
      </rPr>
      <t>Nog niet beschikbaar 2019 verwacht)</t>
    </r>
  </si>
  <si>
    <r>
      <t>Mercedez-Benz e-Sprinter</t>
    </r>
    <r>
      <rPr>
        <sz val="12"/>
        <color theme="0"/>
        <rFont val="Calibri (Hoofdtekst)_x0000_"/>
      </rPr>
      <t xml:space="preserve"> (Nog niet beschikbaar 2019 verwacht)</t>
    </r>
  </si>
  <si>
    <r>
      <t xml:space="preserve">Wel zijn de voorlopige BPM cijfers o.b.v. WLTP gepresenteerd tijdens Prinsjesdag 2019. Deze cijfers ziin in de berekening gebruikt: </t>
    </r>
    <r>
      <rPr>
        <sz val="12"/>
        <color theme="0"/>
        <rFont val="Calibri (Hoofdtekst)_x0000_"/>
      </rPr>
      <t>https://mijn.bovag.nl/actueel/nieuws/2019/september/dit-zijn-de-nieuwe-bpm-tarieven-vanaf-juli-2020</t>
    </r>
  </si>
  <si>
    <r>
      <rPr>
        <sz val="12"/>
        <color theme="0"/>
        <rFont val="Calibri (Hoofdtekst)_x0000_"/>
      </rPr>
      <t>(</t>
    </r>
    <r>
      <rPr>
        <u/>
        <sz val="12"/>
        <color theme="0"/>
        <rFont val="Calibri (Hoofdtekst)_x0000_"/>
      </rPr>
      <t>geen</t>
    </r>
    <r>
      <rPr>
        <sz val="12"/>
        <color theme="0"/>
        <rFont val="Calibri"/>
        <family val="2"/>
        <scheme val="minor"/>
      </rPr>
      <t xml:space="preserve"> dieselmotor)</t>
    </r>
  </si>
  <si>
    <r>
      <t>(</t>
    </r>
    <r>
      <rPr>
        <u/>
        <sz val="12"/>
        <color theme="0"/>
        <rFont val="Calibri (Hoofdtekst)_x0000_"/>
      </rPr>
      <t>met</t>
    </r>
    <r>
      <rPr>
        <sz val="12"/>
        <color theme="0"/>
        <rFont val="Calibri"/>
        <family val="2"/>
        <scheme val="minor"/>
      </rPr>
      <t xml:space="preserve"> dieselmotor)</t>
    </r>
  </si>
  <si>
    <r>
      <t>Heeft uw bestelauto of kampeerauto een CO</t>
    </r>
    <r>
      <rPr>
        <sz val="10.8"/>
        <color theme="0"/>
        <rFont val="Calibri"/>
        <family val="2"/>
        <scheme val="minor"/>
      </rPr>
      <t>2</t>
    </r>
    <r>
      <rPr>
        <sz val="12"/>
        <color theme="0"/>
        <rFont val="Calibri"/>
        <family val="2"/>
        <scheme val="minor"/>
      </rPr>
      <t>-uitstoot van 0 gram/km, dan hoeft u geen bpm te betalen.</t>
    </r>
  </si>
  <si>
    <r>
      <rPr>
        <i/>
        <sz val="12"/>
        <color theme="0"/>
        <rFont val="Calibri"/>
        <family val="2"/>
        <scheme val="minor"/>
      </rPr>
      <t>Bron:</t>
    </r>
    <r>
      <rPr>
        <sz val="12"/>
        <color theme="0"/>
        <rFont val="Calibri"/>
        <family val="2"/>
        <scheme val="minor"/>
      </rPr>
      <t xml:space="preserve"> https://www.anwb.nl/auto/nieuws/2019/september/waterstof-de-voors-en-tegens</t>
    </r>
  </si>
  <si>
    <r>
      <rPr>
        <b/>
        <sz val="12"/>
        <color theme="0"/>
        <rFont val="Calibri"/>
        <family val="2"/>
        <scheme val="minor"/>
      </rPr>
      <t xml:space="preserve">Bron: </t>
    </r>
    <r>
      <rPr>
        <sz val="12"/>
        <color theme="0"/>
        <rFont val="Calibri"/>
        <family val="2"/>
        <scheme val="minor"/>
      </rPr>
      <t>Omnibuzz studie</t>
    </r>
  </si>
  <si>
    <r>
      <rPr>
        <b/>
        <sz val="12"/>
        <color theme="0"/>
        <rFont val="Calibri"/>
        <family val="2"/>
        <scheme val="minor"/>
      </rPr>
      <t>LET OP:</t>
    </r>
    <r>
      <rPr>
        <sz val="12"/>
        <color theme="0"/>
        <rFont val="Calibri"/>
        <family val="2"/>
        <scheme val="minor"/>
      </rPr>
      <t xml:space="preserve"> MIA voorwaarde is dat er venootschapsbelasting wordt betaald om in aanmerking te komen voor een MIA subsidie.</t>
    </r>
  </si>
  <si>
    <r>
      <t xml:space="preserve">Notitie: ervan uitgaande dat vuilnis als goederen worden beschouwd. </t>
    </r>
    <r>
      <rPr>
        <sz val="12"/>
        <color theme="0"/>
        <rFont val="Calibri (Hoofdtekst)_x0000_"/>
      </rPr>
      <t>Nog check hierop doen.</t>
    </r>
  </si>
  <si>
    <r>
      <t xml:space="preserve">Brochure Renault Kangoo ZE (jan 2019) + Prijslijst Renault Kangoo ZE (jan 2019) + </t>
    </r>
    <r>
      <rPr>
        <u/>
        <sz val="12"/>
        <color theme="0"/>
        <rFont val="Calibri (Hoofdtekst)_x0000_"/>
      </rPr>
      <t>https://www.renault.nl/modellen/elektrische-autos/kangoo-ze/actieradius.html</t>
    </r>
  </si>
  <si>
    <r>
      <t xml:space="preserve">Brochure Renault Master ZE (aug 2019) + Prijslijst Renault Master ZE (jan 2019) + </t>
    </r>
    <r>
      <rPr>
        <u/>
        <sz val="12"/>
        <color theme="0"/>
        <rFont val="Calibri (Hoofdtekst)_x0000_"/>
      </rPr>
      <t>https://www.renault.nl/modellen/bedrijfswagens/master-ze.html</t>
    </r>
  </si>
  <si>
    <r>
      <rPr>
        <u/>
        <sz val="12"/>
        <color theme="0"/>
        <rFont val="Calibri (Hoofdtekst)_x0000_"/>
      </rPr>
      <t>RM:</t>
    </r>
    <r>
      <rPr>
        <sz val="12"/>
        <color theme="0"/>
        <rFont val="Calibri"/>
        <family val="2"/>
        <scheme val="minor"/>
      </rPr>
      <t xml:space="preserve"> Stijging cijfers EVConsult hoger dan stijging die TNO heeft berrekent. Kan hier niet direct een vinger op leggen.</t>
    </r>
  </si>
  <si>
    <r>
      <rPr>
        <sz val="12"/>
        <color theme="0"/>
        <rFont val="Calibri (Hoofdtekst)_x0000_"/>
      </rPr>
      <t>Argumentatie</t>
    </r>
    <r>
      <rPr>
        <sz val="12"/>
        <color theme="0"/>
        <rFont val="Calibri"/>
        <family val="2"/>
        <scheme val="minor"/>
      </rPr>
      <t xml:space="preserve">: de aandrijvingsmotor van een benzine en CNG voertuig zijn vergelijkbaar. Verwachting is dat aan het inspuitsyssteem geen significant hogere kosten verbonden zullen zijn. </t>
    </r>
  </si>
  <si>
    <r>
      <t xml:space="preserve">Volkswagen e-crafter </t>
    </r>
    <r>
      <rPr>
        <b/>
        <sz val="12"/>
        <color theme="0"/>
        <rFont val="Calibri (Hoofdtekst)_x0000_"/>
      </rPr>
      <t>(4)</t>
    </r>
  </si>
  <si>
    <r>
      <t xml:space="preserve">Renault Master Z.E. L3H2 </t>
    </r>
    <r>
      <rPr>
        <b/>
        <sz val="12"/>
        <color theme="0"/>
        <rFont val="Calibri (Hoofdtekst)_x0000_"/>
      </rPr>
      <t>(5)</t>
    </r>
  </si>
  <si>
    <r>
      <t>Volkswagen eVito</t>
    </r>
    <r>
      <rPr>
        <b/>
        <sz val="12"/>
        <color theme="0"/>
        <rFont val="Calibri (Hoofdtekst)_x0000_"/>
      </rPr>
      <t xml:space="preserve"> (6)</t>
    </r>
  </si>
  <si>
    <r>
      <rPr>
        <b/>
        <sz val="12"/>
        <color theme="0"/>
        <rFont val="Calibri"/>
        <family val="2"/>
        <scheme val="minor"/>
      </rPr>
      <t>Bron:</t>
    </r>
    <r>
      <rPr>
        <sz val="12"/>
        <color theme="0"/>
        <rFont val="Calibri"/>
        <family val="2"/>
        <scheme val="minor"/>
      </rPr>
      <t xml:space="preserve"> Evd database.nl</t>
    </r>
  </si>
  <si>
    <r>
      <t>Opel</t>
    </r>
    <r>
      <rPr>
        <sz val="14"/>
        <color theme="0"/>
        <rFont val="Arial"/>
        <family val="2"/>
      </rPr>
      <t>/Vauxhall</t>
    </r>
  </si>
  <si>
    <t>Welkom bij de TCO-tool voor dienstvoertuigen (DV) 2.0</t>
  </si>
  <si>
    <t>Direct aan de slag met de TCO-tool in 5 stappen</t>
  </si>
  <si>
    <t xml:space="preserve">  Deze tool is ontwikkeld door EVConsult in opdracht van PIANOo </t>
  </si>
  <si>
    <t>Een verdere onderverdeling is gemaakt op basis van EU-classificering. De segmenten G (of S; sportieve modellen), H (Sportwagens), en I (Toplimousines / groot en luxueus) zijn buiten beschouwing gelaten omdat deze typen voertuigen niet van toepassing zijn op het wagenpark van publieke en private organisaties. Voor segment K (Upper MPV's) zoals een Renault Espace of Ford S-max is nog geen elektrisch alternatief op de markt beschikbaar.
BEV = Battery Electric Vehicles (BEV)</t>
  </si>
  <si>
    <t>Voor de speciale voertuigen (veegvuilwagen, vuilniswagen en veegmachine) gaan we uit van een basisvoertuig zonder opbouw of opties omdat deze zowel voor diesel als zero emissie tot vergelijkbare meerkosten leiden. Voor de veegmachines is  een veegmachine met een laadvolume van 4m3 als uitgangspunt genomen aangezien deze het meest voorkomend zijn in de markt.</t>
  </si>
  <si>
    <t>Bron: RDW; categorieën voertuigen</t>
  </si>
  <si>
    <t>Bron: ANWB; Overzicht elektrische voertuigen</t>
  </si>
  <si>
    <t>Bron: ANWB; Top10 elektrische bestelauto's</t>
  </si>
  <si>
    <t>Mercedes-Benz Citan, Volkswagen Caddy</t>
  </si>
  <si>
    <t>De overstap naar elektrisch kan in sommige gevallen betekenen dat er extra voertuigen nodig zijn omdat de actieradius het (nog) niet toelaat om de gehele dag te kunnen rijden. Als uitgangspunt is ervoor gekozen dat het aantal voertuigen van het bestaande wagenpark gelijk is aan het nieuwe wagenpark. Echter, u bent vrij om het aantal voertuigen van het nieuwe wagenpark aan te passen.</t>
  </si>
  <si>
    <t xml:space="preserve">Mercedes Benz e-Vito Tourer </t>
  </si>
  <si>
    <t>Voor de niet beschikbare voertuigen, voertuigen welke niet (of nauwelijks) geleverd worden door autofabrikanten, is in de cel niet van toepassing (n.v.t.) ingevuld.</t>
  </si>
  <si>
    <t>9.0 Investeert u in laders op eigen terrein?</t>
  </si>
  <si>
    <r>
      <t xml:space="preserve">De TCO-tool is geschikt voor het gebruik door duurzaamheidsmedewerkers, inkoopmedewerkers, wagenparkbeheerders, planners en beleidsmedewerkers. Met behulp van deze TCO-tool kunt u als (publieke) organisatie inzicht krijgen in hoeverre de overgang naar elektrische voertuigen voor uw wagenpark budgedneutraal mogelijk is. De tool geeft inzicht in de kosten- en CO2 impact bij de overgang naar zero emissie op basis van de </t>
    </r>
    <r>
      <rPr>
        <sz val="16"/>
        <rFont val="Corbel"/>
      </rPr>
      <t>typen voertuigen</t>
    </r>
    <r>
      <rPr>
        <sz val="16"/>
        <color theme="1"/>
        <rFont val="Corbel"/>
      </rPr>
      <t xml:space="preserve"> in het wagenpark van uw organisatie. Op basis van de uitkomsten van de tool kunt u:
1) Een eerste inzicht krijgen in de business case voor overgang naar elektrische dienstvoertuigen of uw eigen business case controleren; 
2) Draagvlak zoeken binnen uw organisatie;
3) Haalbare doelstellingen formuleren.</t>
    </r>
  </si>
  <si>
    <t>Het startjaar bepaalt welke fiscale kosten van toepassing zijn; deze zijn jaarafhankelijk.</t>
  </si>
  <si>
    <t>Keuze looptijd heeft invloed op de periodieke kosten en de vastgestelde restwaarde na de looptijd.</t>
  </si>
  <si>
    <t>Nee, indien BPM teruggaaf van toepassing is. BPM-teruggaaf doelgroepenvervoer is in 2020 niet meer van kracht. Vuilniswagens en veegmachines zijn vrijgesteld van BPM.</t>
  </si>
  <si>
    <t xml:space="preserve">Ja, indien het gaat om dienstvoertuigen. Nee, indien het gaat om taxi/doelgroepenvervoer vanwege MRB-vrijstelling voor alle typen brandstofen. </t>
  </si>
  <si>
    <t>Zorg ervoor dat u het aantal laadpunten afstemt op de bovenstaande laadverdeling.</t>
  </si>
  <si>
    <t>Ja = toepassen Load Balancing tussen laadpunten zodat er gemiddeld met 7.2 kW geladen wordt. Nee = geen Load Balancing en max. vermogen van 22 kW op ieder moment mogelijk.</t>
  </si>
  <si>
    <t>Aantal voertuigen per laadpunt; dit geeft u de mogelijkheid om het aantal voertuigen per laadpunt aan te passen. Als standaard hebben we één voertuig per laadpunt ingesteld.</t>
  </si>
  <si>
    <t xml:space="preserve">Deze cel wordt automatisch ingevuld en is het aantal laadpunten waar in de TCO mee gerekend wordt; Als standaard nemen we aan: één voertuig per laadpunt.   </t>
  </si>
  <si>
    <t>Laadtijd buiten pauzes overdag gedurende dienst wanneer er geen rit gereden wordt.</t>
  </si>
  <si>
    <t>Handmatig in te vullen door gebruiker.</t>
  </si>
  <si>
    <t>2.  Als standaardwaarde is ervoor gekozen om het restwaardepercentage van elektrische voertuigen gelijk te stellen aan voertuigen met een fossiele aandrijflijn. Naar behoeve kunt u de restwaarde voor fossiel en elektrisch aanpassen.</t>
  </si>
  <si>
    <t xml:space="preserve">     Uit onderoek van de ING (2019) blijkt dat elektrische voertuigen (segment C) een hoger restwaardepercentage hebben dan voertuigen die fossiel zijn aangedreven, namelijk 5,5% hoger. </t>
  </si>
  <si>
    <t xml:space="preserve">3.  De tweedehandsmarkt voor veegmachines en huisvuilwagens kent andere restwaardepercentages dan de overige voertuigcategorieën. </t>
  </si>
  <si>
    <t>5. Voor gemeentelijke voertuigen hebben we de restwaarde afzonderlijk bepaald omdat dit geen reguliere markt is:</t>
  </si>
  <si>
    <t xml:space="preserve">    - Voor veegvuilwagens / kippers / pick-ups is aangenomen dat de restwaarde vergelijkbaar is met een bestelbus.</t>
  </si>
  <si>
    <t>3. Bij de productie van groene waterstof (electrolyse en gebruik van wind energie) is nog sprake van CO2 uitstoot. Deze uitstoot is te wijten aan het conditioneren en transporteren van de waterstof.</t>
  </si>
  <si>
    <r>
      <t xml:space="preserve">Let op: in de bovenstaande tabel zijn gemiddelde waarden van het verbruik (L/100 km) en CO2 uistoot (CO2 g/km) gepresenteerd, maar in berekeningen is per segment de afzonderlijke waarde als input gebruikt.  De waardes verschillen namelijk sterk per segment. 	
</t>
    </r>
    <r>
      <rPr>
        <sz val="14"/>
        <color theme="1"/>
        <rFont val="Corbel"/>
      </rPr>
      <t xml:space="preserve">* Enkel het gemiddelde van kleine taxi- en bestelbussen benzine. Dit verklaart waarom, tegen de verwachtinging, het verbruik en de uitstoot lager is dan bij personenauto's.		</t>
    </r>
    <r>
      <rPr>
        <b/>
        <sz val="14"/>
        <color theme="1"/>
        <rFont val="Corbel"/>
      </rPr>
      <t xml:space="preserve">							</t>
    </r>
  </si>
  <si>
    <t>2. Voor bestelbussen is per segment (klein, middel en groot) gebruik gemaakt van de top 5 schone bestelbussen van de ANWB en is deze als basis genomen.</t>
  </si>
  <si>
    <t xml:space="preserve">3. Dit verbruik wordt volgens een vastgelegde methode gemeten op een rollenbank (type goedkeuring van een voertuig, WLTP (New European Driving Cycle) om zo verbruik van voertuigen op eenzelfde manier te kunnen vergelijken. Deze methode is er namelijk niet op gericht om praktijkverbruiken in kaart te brengen. </t>
  </si>
  <si>
    <t>4. Deze verbruikscijfers en uitstootcijfers liggen in de praktijk iets hoger en dit betekent dat het besparingsvoordeel en de CO2 reductie voor elektrische voertuigen gunstiger zal uitvallen dan dat de berekeningen laten zien. Dit geldt zowel voor het huidige wagenpark als voor het nieuwe zero emissie wagenpark en zal elkaar daarom uiteffenen.</t>
  </si>
  <si>
    <t>7. De CO2 uitstootcijfers uit het brandstofboekje zijn gebruikt om de BPM belasting te berekenen, omdat deze cijfers ook door de belastingdienst in de berekeningsmethode worden gebruikt.</t>
  </si>
  <si>
    <t xml:space="preserve">9. De waterstof kleine bestelwagen, grote bestelwagen en grote taxibus beschikt over een zogenoemnde H2-range extender. Dit betekent dat er gebruik wordt gemaakt van zowel de energie opgeslagen in het accupakket als in de waterstoftanks. </t>
  </si>
  <si>
    <t>In de berekeningen is gebruikt gemaakt van de WLTP verhouding 'kilometers accu' en 'kilometers H2-tanks' opgegeven door de fabrikant. Dit bepaalt de berekende brandstofkosten en CO2-uitstoot.</t>
  </si>
  <si>
    <t>1. De accijns op diesel gaat op 1 januari 2021 met 1 cent per liter omhoog. Op 1 januari 2023 gaat de accijns op diesel opnieuw met 1 cent omoog. Deze accijnsverhoging is meegenomen in de dieselprijs.</t>
  </si>
  <si>
    <t xml:space="preserve">     De daadwerkelijke groei van deze energiedragers is onzeker. Dit geldt in grotere mate voor waterstof. Bovendien kan de TCO enkel positiever uitvallen bij het constant houden van de energieprijzen.</t>
  </si>
  <si>
    <t>2. Voor bestelauto's voor ondernemingen geldt een gereduceerd MRB tarief. Ondernemingen hebben recht op het gereduceerde tarief. In invoerveld 7.2 kunt u aangeven of dit wel of niet voor uw organisatie van toepassing is.</t>
  </si>
  <si>
    <t xml:space="preserve">    Deze korting voor ondernemers wordt geleidelijk minder. De motorrijtuigenbelasting voor bestelauto's op benzine of diesel stijgt vanaf 2021 elk jaar met gemiddeld 24 euro per bestelauto. Hoeveel het bedrag precies stijgt,</t>
  </si>
  <si>
    <t xml:space="preserve">1. Op basis van cijfers van de ANWB en expert inschattingen van EVConsult zijn de onderhoudskosten in kaart gebracht per autosegment. Dit is gedaan voor zowel een fossiel voertuig als voor een batterijaangedreven voertuig. </t>
  </si>
  <si>
    <t xml:space="preserve">    Hierboven zijn de gemiddelde onderhoudskosten/km weergegeven. </t>
  </si>
  <si>
    <t>2. Er is een gering verschil tussen onderhoudskosten van een bezine en een dieselvoertuig en daarom zijn eenzelfde onderhoudskosten aangenomen.</t>
  </si>
  <si>
    <t>3. Aangenomen is dat de voertuigen gebouwd en nieuw zijn aangeschaft in januari 2018 met 0 km op de teller, geen extra opties, 5 jaar in bezit,</t>
  </si>
  <si>
    <t xml:space="preserve">    gemiddeld 20.000 km/jaar of 75.000 km/jaar (afhankelijk van het gekozen kilometrage bij 'invoer wagenpark'), de meest verkochte auto per segment is gekozen en het laagst mogelijke aantal deuren,</t>
  </si>
  <si>
    <t>2. Deze bovenstaande formule betreft om "WA+ Beperkt Casco" verzekering. In de praktijk zien we dat vervoerders of wagenparkbeheerders aanvullend nog schadekosten reserveren. In dit model rekenen we met 0.013 €/km.</t>
  </si>
  <si>
    <t xml:space="preserve">    Dit is onafhankelijk van het type brandstof omdat het gaat om blik en ruitschade.</t>
  </si>
  <si>
    <t>3. Verzekeraars gebruiken historische schadegegevens om het verzekeringsbedrag te bepalen. Dit is voor elektrische voertuigen nog beperkt mogelijk wegens gelimiteerde beschikbare schadecijfers.</t>
  </si>
  <si>
    <t>6. Voor de gemeentelijke voertuigen (veegvuilwagens, huisvuilwagens en veegmachines) wordt de gemiddelde waarde (initieel en restwaarde) van het voertuig gebruikt om de verzekeringskosten te bepalen.</t>
  </si>
  <si>
    <t>Interviews leasemaatschappijen &amp; desk research verzeker tarieven</t>
  </si>
  <si>
    <t xml:space="preserve">1. Volledig elektrische auto's met een CO2-uitstoot van 0 g/km komen in aanmerking voor 36% subsidie van de aanschafprijs tot 50.000. </t>
  </si>
  <si>
    <r>
      <t xml:space="preserve">3. Vb: Voor een BEV van </t>
    </r>
    <r>
      <rPr>
        <b/>
        <sz val="14"/>
        <color theme="1"/>
        <rFont val="Corbel"/>
      </rPr>
      <t>€</t>
    </r>
    <r>
      <rPr>
        <sz val="14"/>
        <color theme="1"/>
        <rFont val="Corbel"/>
      </rPr>
      <t>50.000 (aanschafprijs excl. BTW) is het mogelijk €4.500 subsidie te ontvangen (€50.000 * 36% * 25%)</t>
    </r>
  </si>
  <si>
    <t>Gebruikte waarde eenmalige aansluitvergoeding</t>
  </si>
  <si>
    <t xml:space="preserve">Gebruikte periodieke kosten netbeheer </t>
  </si>
  <si>
    <t>1. De investerings- en operationele kosten voor laadpunten van 22 kW zijn gemiddelden gebaseerd op diverse offertes verschillende aanbieders voor &gt;20 laadpunten.</t>
  </si>
  <si>
    <t xml:space="preserve">2. De kosten voor laadinfrastructuur en netaansluiting geven een eerste inzicht in de te verwachten investeringskosten voor laadinfrastructuur. </t>
  </si>
  <si>
    <t xml:space="preserve">     Uiteindelijk zien we een percentuele spreiding van afgerond ~50% tussen verschillende locaties (zie bovenstaand "brandbreedte investeringkosten").</t>
  </si>
  <si>
    <t xml:space="preserve">  Deze grote spreiding wordt met name veroorzaakt doordat de turn-key kosten voor laadinfrastructuur sterk locatie afhankelijk zijn (lengte kabels, graafwerkzaamheden, etc.) en offertes van diverse aanbieders.</t>
  </si>
  <si>
    <t>4. Voor het laden op eigen terrein zien we in de praktijk dat in veel gevallen wordt gekozen voor 22 kW laadpunten. Gemeenten, vervoerders, logistieke partijen, etc. baseren hun keuze o.b.v. de volgende argumenten:</t>
  </si>
  <si>
    <r>
      <t xml:space="preserve">     - Voor ieder voertuig dat 's nachts op de remise laadt, is één laadpunt benodigd. Standaard deelgebruik: één voertuig per laadpunt. Dit kunt u aanpassen bij </t>
    </r>
    <r>
      <rPr>
        <i/>
        <sz val="14"/>
        <color theme="1"/>
        <rFont val="Corbel"/>
      </rPr>
      <t>invoerparameter 9.4 en 9.5</t>
    </r>
    <r>
      <rPr>
        <sz val="14"/>
        <color theme="1"/>
        <rFont val="Corbel"/>
      </rPr>
      <t xml:space="preserve">. </t>
    </r>
  </si>
  <si>
    <r>
      <t xml:space="preserve">     - </t>
    </r>
    <r>
      <rPr>
        <u/>
        <sz val="14"/>
        <color theme="1"/>
        <rFont val="Corbel"/>
      </rPr>
      <t>Let op:</t>
    </r>
    <r>
      <rPr>
        <sz val="14"/>
        <color theme="1"/>
        <rFont val="Corbel"/>
      </rPr>
      <t xml:space="preserve"> het deelgebruik van het aantal voertuigen per laadpunt is sterk afhankelijk van de operationele planning. Om deze reden bent u vrij om het deelgebruik aan te passen </t>
    </r>
    <r>
      <rPr>
        <i/>
        <sz val="14"/>
        <color theme="1"/>
        <rFont val="Corbel"/>
      </rPr>
      <t>bij invoerparameter 9.4</t>
    </r>
    <r>
      <rPr>
        <sz val="14"/>
        <color theme="1"/>
        <rFont val="Corbel"/>
      </rPr>
      <t>.</t>
    </r>
  </si>
  <si>
    <t xml:space="preserve">   - De netbeheerders kosten die worden meegenomen zijn: eenmalige aansluitvergoeding, periodieke aansluitvergoeding en transportvergoedingen (vastrecht en variabel)</t>
  </si>
  <si>
    <t xml:space="preserve">   - Uitgangspunt is aanvragen van een nieuwe grootzakelijke aansluiting. De mogelijkheid bestaat dat de vervoerder de huidige netaansluiting kan gebruiken. Deze kosteninschatting is daarom een conservatieve ofwel veilige inschatting.</t>
  </si>
  <si>
    <t>7. Als restwaardepercentage voor laadinfrastructuur en netaansluiting gaan we uit van 0%. Dit betekent dat, afgezien van de gekozen looptijd, de laadinfrastructuur en netaansluiting afgeschreven wordt naar nul.</t>
  </si>
  <si>
    <t xml:space="preserve">     We doen deze aanname op basis van het marktinzicht dat er nagenoeg geen tweedehandsmarkt is voor laadpalen. </t>
  </si>
  <si>
    <t xml:space="preserve">     Bovendien is enkel ~20% van de totale kosten te wijten aan kosten van het laadpunt (hardware) en de overige 20% aan bekabeling, (civiel)technische werkzaamheden, project management en de netaansluiting. Dit laatste betreft zogeheten 'sunk costs'.</t>
  </si>
  <si>
    <t>Voor (vervoers)organisaties zijn chauffeurskosten (loonkosten) een groot aandeel van de totale kosten over de looptijd. Volgens het AIM vormen de loongerelateerde kosten bijna 70% van de totale kosten van het zorgvervoer. In deze TCO-tool zijn daarom de extra chauffeurskosten / meerkosten chauffeur opgenomen.</t>
  </si>
  <si>
    <t>Elektrische voertuigen moeten geladen worden. Ondanks het feit dat het laden met steeds hogere vermogens kan, neemt elektrische laden meer tijd in beslag (20-30 minuten) dan het tanken van vloeibare of gasvormige brandstoffen (diesel, benzine, CNG, H2)</t>
  </si>
  <si>
    <t xml:space="preserve">- Stilstandtijd: dit betekent dat voertuigen niet ingezet kunnen worden omdat deze geladen worden. Dit is opgenomen in de tool door de inzet van extra voertuigen t.o.v. de huidige '2. Invoer parameters'!B3:W3waar er gereden werd op fossiele brandstoffen. </t>
  </si>
  <si>
    <r>
      <t xml:space="preserve">Dit overzicht toont een samenvatting van de resultaten zoals weergegeven in tabblad '4. Analyse' van deze tool.
</t>
    </r>
    <r>
      <rPr>
        <b/>
        <sz val="14"/>
        <color theme="1"/>
        <rFont val="Corbel"/>
      </rPr>
      <t>1. Total Cost of Ownership (TCO) TOTAAL</t>
    </r>
    <r>
      <rPr>
        <sz val="14"/>
        <color theme="1"/>
        <rFont val="Corbel"/>
      </rPr>
      <t xml:space="preserve">: TCO voor de totale looptijd, TCO per maand gem. per voertuig en de gemiddelde kosten per kilometer.
</t>
    </r>
    <r>
      <rPr>
        <b/>
        <sz val="14"/>
        <color theme="1"/>
        <rFont val="Corbel"/>
      </rPr>
      <t xml:space="preserve">2. Capital expenditures (CAPEX): </t>
    </r>
    <r>
      <rPr>
        <sz val="14"/>
        <color theme="1"/>
        <rFont val="Corbel"/>
      </rPr>
      <t xml:space="preserve">de kapitaal ofwel investeringskosten bij start.
</t>
    </r>
    <r>
      <rPr>
        <b/>
        <sz val="14"/>
        <color theme="1"/>
        <rFont val="Corbel"/>
      </rPr>
      <t xml:space="preserve">3. Operational expenditures (OPEX): </t>
    </r>
    <r>
      <rPr>
        <sz val="14"/>
        <color theme="1"/>
        <rFont val="Corbel"/>
      </rPr>
      <t xml:space="preserve">de periodieke kosten gedurende de looptijd.
</t>
    </r>
    <r>
      <rPr>
        <b/>
        <sz val="14"/>
        <color theme="1"/>
        <rFont val="Corbel"/>
      </rPr>
      <t xml:space="preserve">4. Milieu-impact tijdens looptijd: </t>
    </r>
    <r>
      <rPr>
        <sz val="14"/>
        <color theme="1"/>
        <rFont val="Corbel"/>
      </rPr>
      <t xml:space="preserve">Well-to-Wheel CO2 emissies.
</t>
    </r>
    <r>
      <rPr>
        <b/>
        <sz val="14"/>
        <color theme="1"/>
        <rFont val="Corbel"/>
      </rPr>
      <t xml:space="preserve">5. Huidig wagenpark: </t>
    </r>
    <r>
      <rPr>
        <sz val="14"/>
        <color theme="1"/>
        <rFont val="Corbel"/>
      </rPr>
      <t xml:space="preserve">overzicht van de verdeling en type voertuigen in het huidige wagenpark.
</t>
    </r>
    <r>
      <rPr>
        <b/>
        <sz val="14"/>
        <color theme="1"/>
        <rFont val="Corbel"/>
      </rPr>
      <t xml:space="preserve">6. Context: </t>
    </r>
    <r>
      <rPr>
        <sz val="14"/>
        <color theme="1"/>
        <rFont val="Corbel"/>
      </rPr>
      <t xml:space="preserve">overzicht van de belangrijkste gekozen parameters. </t>
    </r>
  </si>
  <si>
    <t xml:space="preserve">Op basis van de resultaten van deze TCO-tool heeft u de kosten- en CO2 impact in kaart gebracht van de overgang naar elektrisch doelgroepenvervoer. Het is de moeite waard om door middel van de invoer van de parameters op tabblad 1 en 2 met verschillende scenario's te experimenteren, door bijvoorbeeld het aantal voertuigen en de ingevulde parameters te veranderen. Hierdoor wordt duidelijk welke voertuigen het meest geschikt zijn voor vervanging op korte termijn en onder wat voor voorwaarden (Bijvoorbeeld door een relatief langere contractduur). Met de resultaten kunt u binnen uw organisatie op zoek naar financiële onderbouwing en draagvlak voor de aanschaf van volledig batterij elektrische voertuigen en vervolgens de daadwerkelijke aanschaf in werking zetten. </t>
  </si>
  <si>
    <t>- Bij het selecteren van waterstof biedt de volgende website u inzicht in waar momenteel waterstof getankt kan worden en welke locaties in ontwikkeling zijn.</t>
  </si>
  <si>
    <r>
      <rPr>
        <b/>
        <sz val="16"/>
        <color theme="1"/>
        <rFont val="Corbel"/>
      </rPr>
      <t xml:space="preserve">1. Voor de succesvolle overgang naar elektrisch vervoer is voldoende (openbare) (snel)laadinfrastructuur nodig. Enerzijds is het de taak van de gemeenten en provincies om ervoor te zorgen dat er voldoende openbare (snel)laadpunten beschikbaar zijn. Anderzijds kan het opportuun zijn om laadpunten op eigen terrein te installeren. Laden op eigen terrein is vaak kosteneffectief vanwege het gebruik van eigen stroom, die vaak relatief goedkoop is. Daarbij zijn aandachtspunten voor laadinfrastructuur op eigen terrein als volgt: </t>
    </r>
    <r>
      <rPr>
        <sz val="16"/>
        <color theme="1"/>
        <rFont val="Corbel"/>
      </rPr>
      <t xml:space="preserve">
 - Breng eerst de laadbehoefte van uw toekomstige elektrische vloot in kaart aan de hand van het type voertuigen en het ritpatroon: afhankelijk van de typen voertuigen die u kiest laden de elektrische voertuigen gemiddeld met een laadsnelheid van 7,6 kW AC (circa 35 km/h) tot maximaal 22 kW AC (circa 100 km/h). Afhankelijk van het ritpatroon en het parkeergedrag van uw voertuigen heeft u gemiddeld 2 laadpunten (1 laadpaal met 2 aansluitingen) per 4-5 voertuigen nodig.  De daadwerkelijke laadsnelheid wordt begrensd door de maximale laadsnelheid van het voertuig of de maximale laadsnelheid van de laadpaal (reguliere laadpunten kunnen tot maximaal 22 kW laden). Echter, niet alle voertuigen kunnen snelladen. Snelladen gebeurt op snelheden van circa 50-150 kW DC (circa 200 - 600 km/h), maar in veel gevallen loont het niet om ook  snelladers op eigen terrein te plaatsen. Snelladen is in veel gevallen vaak ook niet nodig. 
 - Breng vervolgens de mogelijkheden van de aansluiting in het gebouw in kaart: afhankelijk van het energieprofiel van het gebouw en de grootte van de aansluiting heeft u een bepaald volume (in kWh) beschikbaar voor het laden van voertuigen. Qua locatie kiest u bij voorkeur voor een locatie dichtbij de hoofdverdeelkast, hierdoor minimaliseert u de kosten voor benodigde bekabeling naar de laadpunten.  Zorg er verder voor dat laadinfrastructuur op een dergelijke manier wordt aangelegd dat er in de toekomst additionele laadpunten kunnen worden aangesloten. 
Zie verder ook de vijf tips van EVConsult op: 
</t>
    </r>
  </si>
  <si>
    <r>
      <rPr>
        <b/>
        <sz val="16"/>
        <color theme="1"/>
        <rFont val="Corbel"/>
      </rPr>
      <t xml:space="preserve">2. Selectie geschikt voertuig
</t>
    </r>
    <r>
      <rPr>
        <sz val="16"/>
        <color theme="1"/>
        <rFont val="Corbel"/>
      </rPr>
      <t xml:space="preserve">- Afhankelijk van het ritpatroon van het voertuig is de overgang naar een batterij elektrisch voertuig of waterstof elektrisch voertuig wel of niet opportuun. Voor voertuigen waarbij de dagafstand lager is dan de actieradius, is een batterij elektrisch voertuig direct geschikt. Ook voertuigen die meer rijden dan de actieradius toelaat, staan in veel gevallen voldoende tijd  stil (bijvoorbeeld tussen afspraken en/of diensten) om weer bij te laden voor de volgende rit. Daarbij dient u erop te letten dat het voertuig dat u selecteert een actieradius heeft die het beste aansluit bij de rit- en dagafstanden die gereden worden. Hierbij werkt het flexibiliteitverhogend als het voertuig met hoger laadvermogen geladen kan worden (43 kW AC of 50 - 150 kW DC). In het geval dat er voldoende laadtijd beschikbaar is gedurende de dag of nacht,  hoeft de overgang naar batterij elektrisch dan óók geen probleem te vormen en kunt u hiermee naar verwachting kosten en CO2 besparen. In andere gevallen is een waterstof voertuig een geschikt zero emissie alternatief dat tevens CO2 kan reduceren, maar welke de aankomende jaren nog wel meerkosten met zich meebrengt.
</t>
    </r>
    <r>
      <rPr>
        <b/>
        <sz val="16"/>
        <color theme="1"/>
        <rFont val="Corbel"/>
      </rPr>
      <t xml:space="preserve">
3. Beschikbaarheid en levertijd voertuigen
</t>
    </r>
    <r>
      <rPr>
        <sz val="16"/>
        <color theme="1"/>
        <rFont val="Corbel"/>
      </rPr>
      <t xml:space="preserve">De beschikbaarheid van zero emissie personenauto's en bestel- en taxibussen is vooralsnog een uitdaging. Er heerst een krapte op de markt: de zogeheten Orignal Equipment Manufacturers (OEM'er) in de automarkt kunnen de hoge vraag (nog) niet aan. Houd daarom rekening met een relatief lange levertijd. De levertijd kan zelfs oplopen tot één jaar.
</t>
    </r>
    <r>
      <rPr>
        <b/>
        <sz val="16"/>
        <color theme="1"/>
        <rFont val="Corbel"/>
      </rPr>
      <t>4. Gebruiksvriendelijkheid en aandacht voor batterij elektrisch en waterstof e</t>
    </r>
    <r>
      <rPr>
        <sz val="16"/>
        <color theme="1"/>
        <rFont val="Corbel"/>
      </rPr>
      <t>l</t>
    </r>
    <r>
      <rPr>
        <b/>
        <sz val="16"/>
        <color theme="1"/>
        <rFont val="Corbel"/>
      </rPr>
      <t xml:space="preserve">ektrisch
</t>
    </r>
    <r>
      <rPr>
        <sz val="16"/>
        <color theme="1"/>
        <rFont val="Corbel"/>
      </rPr>
      <t xml:space="preserve">- Bij de introductie van de eerste elektrische voertuigen in uw vloot helpt het om medewerkers op een toegankelijke manier kennis te laten maken met elektrisch rijden. Dit doet u bijvoorbeeld door de aanschaf van de eerste elektrische dienstauto's te koppelen aan een pilot, training en/of andere campagne. </t>
    </r>
  </si>
  <si>
    <t>- Het gebruikte TCO model is een financieel model en daarmee een benadering van werkelijkheid. 
- De tool maakt, gegeven de ingevoerde parameters, plausibel of een business case uitvoerbaar is. Een TCO behoort een realistische weergave te geven van de manier waarop een business case is opgebouwd en biedt de mogelijkheid om scenario’s door te rekenen. Scenario’s zijn gebaseerd op beleidsvoornemens, zoals bijvoorbeeld de wens om een transitie naar zero emissie in een vervoerscontract door te voeren. 
- De gedachte is dat een TCO, met bewezen rekenregels en zorgvuldig vastgestelde parameters, de publieke organisaties handvatten geeft of een beleidsvoornemen op een verantwoorde en realistische wijze door marktpartijen kan worden gerealiseerd waarbij een gezonde bedrijfsvoering in acht wordt genomen.
- Omgekeerd geredeneerd, kan de TCO ook aangeven dat een beleidsvoornemen nog niet kan worden gerealiseerd, of dat er een niet te overbruggen onrendabele top zit tussen het voornemen en de werkelijke situatie (in het veld of in de markt).
- Een TCO is niet alleen zinvol voor een concessieverlener, maar ook voor een concessienemer. Immers, inzage in de uitkomsten van de TCO en de gehanteerde parameters geeft de marktpartij inzicht en richting hoe het gegeven beleidsvoornemen van de opdrachtgever gerealiseerd kan worden.
- Al met al kan een TCO, mits zorgvuldig en juist toegepast, publieke organisaties helpen in het laten concretiseren door marktpartijen van hun beleidsvoornemens. En potentiële opdrachtnemers krijgen inzicht in de doelen van de publieke organisaties en de manier waarop zij die contracten kunnen verwerven. 
- Wat wij missen is het perspectief van de business die een doelgroepenvervoerder mis zal lopen als zij een concessie niet winnen vanwege het niet kunnen aanbieden van BEV of FCEV. Natuurlijk is dit moeilijk uit te drukken in een getal, maar het is van essentieel belang dat de klant geïnformeerd wordt over dit perspectief.B24</t>
  </si>
  <si>
    <r>
      <t xml:space="preserve">Hartelijk welkom in de TCO-tool voor de overgang naar een elektrisch wagenpark. Deze tool is bedoeld voor gebruik door (publieke) organisaties die inzicht willen verschaffen in de kosten- en CO2 impact bij de overgang naar volledig zero emissie dienstvoertuigen. De overgang naar elektrische voertuigen brengt significante CO2 besparingen mee. Voor verschillende voertuigtypen geldt dat de overgang naar elektrisch ook kostenvoordelen biedt: elektrische voertuigen hebben weliswaar vaak hogere aanschafkosten, maar kennen lagere brandstof- en onderhoudskosten. Voor sommige voertuigtypen geldt dat de overgang naar elektrisch nog wel duurder is. Deze tool geeft u inzicht in de eventuele kostenbesparingen die het teweeg kan brengen. 
Om een zo goed mogelijk inzicht te geven in de kosten- of besparingen voor de overstap naar zero emissie, zijn een aantal updates uitgevoerd:
1) Uitbreiding naar waterstof-elektrische voertuigen;
2) Toevoeging investerings- en periodieke kosten laadinfrastructuur &amp; netaansluiting;
3) Uitbreiding met gemeentelijke voertuigen: pick-ups (veegvuilwagens), veegwagens en huisvuilwagens;
4) Updates nieuwe voertuigmodellen en fiscale regelingen.
</t>
    </r>
    <r>
      <rPr>
        <b/>
        <sz val="16"/>
        <color theme="1"/>
        <rFont val="Corbel"/>
      </rPr>
      <t>Houd er wel rekening mee dat deze tool een eerste inschatting geeft, maar geen rekening houdt met alle specificaties van uw wagenpark. Maatwerk is nodig om laadbehoeften in kaart te brengen o.b.v. uw rittenplanning en door het automodel te selecteren met de actieradius die aansluit op uw behoefte.</t>
    </r>
  </si>
  <si>
    <r>
      <rPr>
        <b/>
        <sz val="16"/>
        <color theme="1"/>
        <rFont val="Corbel"/>
      </rPr>
      <t>Stap 1: Invoer wagenpark - BESTAAND.</t>
    </r>
    <r>
      <rPr>
        <sz val="16"/>
        <color theme="1"/>
        <rFont val="Corbel"/>
      </rPr>
      <t xml:space="preserve"> Voer met de input van uw wagenparkbeheerder in de tabel op het 'tabblad 1' de aantallen voertuigen in van het deel van uw wagenpark dat u overweegt te elektrificeren. Per voertuig of groep van meerdere voertuigen specificeert u de relevante segmenten (A t/m M en 3 type bestelbussen), brandstoftypen en de relevante kilometrages. In de grijze tabel op 'tabblad 1.', naast de tabel waarin u de aantallen voertuigen invult, vindt u een overzicht van de voertuigen binnen ieder segment. 
</t>
    </r>
    <r>
      <rPr>
        <b/>
        <sz val="16"/>
        <color theme="1"/>
        <rFont val="Corbel"/>
      </rPr>
      <t xml:space="preserve">Stap 1: Invoer wagenpark - NIEUW. </t>
    </r>
    <r>
      <rPr>
        <sz val="16"/>
        <color theme="1"/>
        <rFont val="Corbel"/>
      </rPr>
      <t xml:space="preserve">Om de tool zo gebruiksvriendelijk mogelijk te maken, wordt het aantal voertuigen uit tab "1a. Invoer - BESTAAND" direct bij batterij elektrische voertuigen (BEV) ingevuld. Voor ieder voertuigsgement is namelijk een BEV alternatief beschikbaar en voor de segmenten waar óók waterstofelektrische (FCEV) alternatieven beschikbaar zijn, kunt u handmatig het aantal voertuigen aanpassen. Let hierbij op dat het totaal aantal voertuigen van BESTAAND en NIEUW overeenkomt.
</t>
    </r>
    <r>
      <rPr>
        <b/>
        <sz val="16"/>
        <color theme="1"/>
        <rFont val="Corbel"/>
      </rPr>
      <t xml:space="preserve">Stap 2: Invoer parameters. </t>
    </r>
    <r>
      <rPr>
        <sz val="16"/>
        <color theme="1"/>
        <rFont val="Corbel"/>
      </rPr>
      <t xml:space="preserve">Voer daarna op het tweede tabblad de relevante parameters in. Meer uitleg hierover vindt u op 'tabblad 2. Invoer parameters'.
</t>
    </r>
    <r>
      <rPr>
        <b/>
        <sz val="16"/>
        <color theme="1"/>
        <rFont val="Corbel"/>
      </rPr>
      <t>Stap 3: Dashboard.</t>
    </r>
    <r>
      <rPr>
        <sz val="16"/>
        <color theme="1"/>
        <rFont val="Corbel"/>
      </rPr>
      <t xml:space="preserve"> Bekijk daarna op het derde tabblad de resultaten. Het dashboard geeft u in één oogopslag zicht op de mogelijk kosten- en CO2 besparingen. Meer uitleg hierover vindt u op 'tabblad 3. Dashboard'. 
</t>
    </r>
    <r>
      <rPr>
        <b/>
        <sz val="16"/>
        <color theme="1"/>
        <rFont val="Corbel"/>
      </rPr>
      <t>Stap 4: Analyse.</t>
    </r>
    <r>
      <rPr>
        <sz val="16"/>
        <color theme="1"/>
        <rFont val="Corbel"/>
      </rPr>
      <t xml:space="preserve"> Bekijk op het vierde tabblad de analyse. Meer uitleg hierover vindt u op 'tabblad 4'. 
</t>
    </r>
    <r>
      <rPr>
        <b/>
        <sz val="16"/>
        <color theme="1"/>
        <rFont val="Corbel"/>
      </rPr>
      <t xml:space="preserve">Stap 5: Vervolg. </t>
    </r>
    <r>
      <rPr>
        <sz val="16"/>
        <color theme="1"/>
        <rFont val="Corbel"/>
      </rPr>
      <t xml:space="preserve">Experimenteer eventueel met de aantallen en type voertuigen op 'tabblad 1.' en met de parameters op 'tabblad 2.' om tot een haalbaar plan te komen. Vervolgens vindt u op 'tabblad 5.' een aantal praktische tips, o.a. over laadinfrastructuur. </t>
    </r>
  </si>
  <si>
    <r>
      <t>Vervoer is sterk vervuilend: circa 30% van de CO2 uitstoot in Nederland wordt veroorzaakt door transport. Een significant deel hiervan wordt veroorzaakt door wegverkeer van personenvoertuigen. Daarnaast veroorzaakt vervoer schade aan de gezondheid door de uitstoot van fijnstof en NOx. 
Een oplossing voor personenvoertuigen is al breed beschikbaar, namelijk elektrische voertuigen. Ook groeit het aanbod van bestel- &amp; personenbussen en gemeentelijke voertuigen sterk. Op dit moment zijn batterij elektrische voertuigen de meest gangbare oplossing, alhoewel het aanbod van waterstof-elektrische voertuigen en het aantal H2-tankpunten stijgt. De positieve impact van de overgang naar elektrische voertuigen blijkt mede uit de brandstofranking gemaakt door Natuur &amp; Milieu (1) . Andere belangrijke voordelen van elektrisch vervoer zijn o.a. de energie efficiëntie, de lage onderhouds- en brandstofkosten en de versnellende rol in energietransitie. Waterstof elektrische voertuigen kennen deze voordelen in mindere mate, maar hebben als voordeel dat de actieradius een stuk groter is. 
Ten slotte is het de voorbeeld- en aanjaagfunctie van publieke organisaties die maakt dat overstappen naar elektrisch vervoer zo snel mogelijk moet gebeuren.  Bovendien is in het Klimaatakkoord opgenomen dat in 2030 enkel nog zero emissie personenauto's mogen worden verkocht en het convenant duurzame reinigingsvoertuigen streeft naar de aankoop van zero emissie</t>
    </r>
    <r>
      <rPr>
        <sz val="16"/>
        <color rgb="FFFF0000"/>
        <rFont val="Corbel"/>
      </rPr>
      <t xml:space="preserve"> </t>
    </r>
    <r>
      <rPr>
        <sz val="16"/>
        <rFont val="Corbel"/>
      </rPr>
      <t>reinigingsvoertuigen</t>
    </r>
    <r>
      <rPr>
        <sz val="16"/>
        <color rgb="FFFF0000"/>
        <rFont val="Corbel"/>
      </rPr>
      <t xml:space="preserve"> </t>
    </r>
    <r>
      <rPr>
        <sz val="16"/>
        <color theme="1"/>
        <rFont val="Corbel"/>
      </rPr>
      <t>in 2030.</t>
    </r>
  </si>
  <si>
    <t>De RDW hanteert de volgende voertuigcategorieën: M (personenauto's en bussen; ontworpen met vier wielen met functie het vervoer van personen) en N (bedrijfswagens; ontworpen met vier wielen met functie het vervoer van personen). 
- M1:personenauto
- M2: personenbus: Ontworpen met functie het vervoer van passagiers, met een maximale massa van ten hoogste 5 ton en gebouwde voertuigen met meer dan acht zitplaatsen, waarbij die van de bestuurder niet wordt meegerekend. Boven de 3500 kg is een rijbewijs C vereist.
- N1: lichte bedrijfsauto, maximaal 3500 kg. 
- N2 &amp; N3: zware bedrijfsauto. Groot rijbewijs (C-rijbewijs) vereist, met uitzondering van de elektrische bestelwagen tot 4250 kg.</t>
  </si>
  <si>
    <r>
      <t xml:space="preserve">Om de tool zo gebruiksvriendelijk mogelijk te maken, wordt het aantal voertuigen uit tab "1a. Invoer - BESTAAND" direct bij batterij elektrische voertuigen (BEV) ingevuld. Voor ieder voertuigsgement is namelijk een BEV alternatief beschikbaar en voor de segmenten waar óók waterstofelektrische (FCEV) alternatieven beschikbaar zijn, kunt u handmatig het aantal voertuigen aanpassen. </t>
    </r>
    <r>
      <rPr>
        <b/>
        <sz val="16"/>
        <color rgb="FFC00000"/>
        <rFont val="Corbel"/>
      </rPr>
      <t xml:space="preserve">LET OP: zorg ervoor dat het aantal voertuigen van het bestaande en nieuwe wagenpark gelijk is om zo een vergelijking te kunnen maken met een gelijk aantal voertuigen. 
</t>
    </r>
    <r>
      <rPr>
        <sz val="16"/>
        <color theme="1"/>
        <rFont val="Corbel"/>
      </rPr>
      <t xml:space="preserve">Niettemin bent u vrij om af te wijken van het aantal voertuigen in het bestaande wagenpark. Ter illustratie: wegens laadtijd van batterij elektrische voertuigen kan de noodzaak bestaan om extra voertuigen aan te schaffen t.o.v. uw huidig aantal voertuigen. </t>
    </r>
    <r>
      <rPr>
        <sz val="16"/>
        <rFont val="Corbel"/>
      </rPr>
      <t>Het kiezen van extra voertuigen binnen uw nieuwe wagenpark ziet u dan terug in de totale kosten vergelijking.</t>
    </r>
  </si>
  <si>
    <r>
      <t xml:space="preserve">8.3 Aandeel laden openbaar </t>
    </r>
    <r>
      <rPr>
        <b/>
        <sz val="16"/>
        <rFont val="Corbel"/>
      </rPr>
      <t>regulierladen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</si>
</sst>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3" formatCode="_(* #,##0.00_);_(* \(#,##0.00\);_(* &quot;-&quot;??_);_(@_)"/>
    <numFmt numFmtId="164" formatCode="_(&quot;€&quot;* #,##0.00_);_(&quot;€&quot;* \(#,##0.00\);_(&quot;€&quot;* &quot;-&quot;??_);_(@_)"/>
    <numFmt numFmtId="165" formatCode="00.00.00.000"/>
    <numFmt numFmtId="166" formatCode="&quot;€&quot;\ #,##0.00"/>
    <numFmt numFmtId="167" formatCode="&quot;€&quot;\ #,##0"/>
    <numFmt numFmtId="168" formatCode="#,##0.000"/>
    <numFmt numFmtId="169" formatCode="0.0"/>
    <numFmt numFmtId="170" formatCode="_(* #,##0_);_(* \(#,##0\);_(* &quot;-&quot;??_);_(@_)"/>
    <numFmt numFmtId="171" formatCode="_([$€-2]\ * #,##0_);_([$€-2]\ * \(#,##0\);_([$€-2]\ * &quot;-&quot;??_);_(@_)"/>
    <numFmt numFmtId="172" formatCode="_(&quot;€&quot;\ * #,##0_);_(&quot;€&quot;\ * \(#,##0\);_(&quot;€&quot;\ * &quot;-&quot;??_);_(@_)"/>
    <numFmt numFmtId="173" formatCode="0.0%"/>
    <numFmt numFmtId="174" formatCode="0.000"/>
    <numFmt numFmtId="175" formatCode="_(&quot;€&quot;\ * #,##0.000_);_(&quot;€&quot;\ * \(#,##0.000\);_(&quot;€&quot;\ * &quot;-&quot;??_);_(@_)"/>
    <numFmt numFmtId="176" formatCode="_(&quot;€&quot;\ * #,##0.0_);_(&quot;€&quot;\ * \(#,##0.0\);_(&quot;€&quot;\ * &quot;-&quot;??_);_(@_)"/>
    <numFmt numFmtId="177" formatCode="_-&quot;€&quot;* #,##0_-;\-&quot;€&quot;* #,##0_-;_-&quot;€&quot;* &quot;-&quot;??_-;_-@_-"/>
    <numFmt numFmtId="178" formatCode="_(* #,##0.0_);_(* \(#,##0.0\);_(* &quot;-&quot;??_);_(@_)"/>
    <numFmt numFmtId="179" formatCode="#,##0.0"/>
    <numFmt numFmtId="180" formatCode="_(&quot;€&quot;* #,##0_);_(&quot;€&quot;* \(#,##0\);_(&quot;€&quot;* &quot;-&quot;??_);_(@_)"/>
    <numFmt numFmtId="181" formatCode="&quot;€&quot;\ #,##0.000"/>
    <numFmt numFmtId="182" formatCode="_([$€-2]\ * #,##0.00_);_([$€-2]\ * \(#,##0.00\);_([$€-2]\ * &quot;-&quot;??_);_(@_)"/>
    <numFmt numFmtId="183" formatCode="_ [$€-413]\ * #,##0_ ;_ [$€-413]\ * \-#,##0_ ;_ [$€-413]\ * &quot;-&quot;??_ ;_ @_ "/>
    <numFmt numFmtId="184" formatCode="_(&quot;€&quot;* #,##0.0_);_(&quot;€&quot;* \(#,##0.0\);_(&quot;€&quot;* &quot;-&quot;??_);_(@_)"/>
    <numFmt numFmtId="185" formatCode="_ [$€-413]\ * #,##0.000_ ;_ [$€-413]\ * \-#,##0.000_ ;_ [$€-413]\ * &quot;-&quot;??_ ;_ @_ "/>
    <numFmt numFmtId="186" formatCode="[$-413]mmm/yy;@"/>
    <numFmt numFmtId="187" formatCode="[$€-2]\ #,##0"/>
    <numFmt numFmtId="188" formatCode="&quot;€&quot;#,##0.00"/>
    <numFmt numFmtId="189" formatCode="_(&quot;€&quot;* #,##0.000_);_(&quot;€&quot;* \(#,##0.000\);_(&quot;€&quot;* &quot;-&quot;??_);_(@_)"/>
    <numFmt numFmtId="190" formatCode="_(* #,##0.000_);_(* \(#,##0.000\);_(* &quot;-&quot;??_);_(@_)"/>
    <numFmt numFmtId="191" formatCode="mmm\-d"/>
    <numFmt numFmtId="192" formatCode="_([$€-2]\ * #,##0.000_);_([$€-2]\ * \(#,##0.000\);_([$€-2]\ * &quot;-&quot;??_);_(@_)"/>
    <numFmt numFmtId="193" formatCode="_(&quot;€&quot;\ * #,##0.00000_);_(&quot;€&quot;\ * \(#,##0.00000\);_(&quot;€&quot;\ * &quot;-&quot;??_);_(@_)"/>
    <numFmt numFmtId="194" formatCode="_-&quot;€&quot;* #,##0.000_-;\-&quot;€&quot;* #,##0.000_-;_-&quot;€&quot;* &quot;-&quot;??_-;_-@_-"/>
  </numFmts>
  <fonts count="104">
    <font>
      <sz val="12"/>
      <color theme="1"/>
      <name val="Calibri"/>
      <family val="2"/>
      <scheme val="minor"/>
    </font>
    <font>
      <b/>
      <sz val="12"/>
      <color theme="1"/>
      <name val="Calibri"/>
      <family val="2"/>
      <scheme val="minor"/>
    </font>
    <font>
      <sz val="12"/>
      <color theme="1"/>
      <name val="Calibri"/>
      <family val="2"/>
      <scheme val="minor"/>
    </font>
    <font>
      <u/>
      <sz val="12"/>
      <color theme="10"/>
      <name val="Calibri"/>
      <family val="2"/>
      <scheme val="minor"/>
    </font>
    <font>
      <sz val="10"/>
      <color rgb="FF000000"/>
      <name val="Tahoma"/>
      <family val="2"/>
    </font>
    <font>
      <b/>
      <sz val="12"/>
      <color theme="0"/>
      <name val="Calibri"/>
      <family val="2"/>
      <scheme val="minor"/>
    </font>
    <font>
      <b/>
      <sz val="10"/>
      <color rgb="FF000000"/>
      <name val="Tahoma"/>
      <family val="2"/>
    </font>
    <font>
      <sz val="11"/>
      <color indexed="8"/>
      <name val="Calibri"/>
      <family val="2"/>
      <scheme val="minor"/>
    </font>
    <font>
      <sz val="14"/>
      <color theme="1"/>
      <name val="Calibri"/>
      <family val="2"/>
      <scheme val="minor"/>
    </font>
    <font>
      <sz val="12"/>
      <color theme="1"/>
      <name val="Corbel"/>
    </font>
    <font>
      <b/>
      <sz val="16"/>
      <color theme="0"/>
      <name val="Corbel"/>
    </font>
    <font>
      <sz val="16"/>
      <color theme="0"/>
      <name val="Corbel"/>
    </font>
    <font>
      <b/>
      <sz val="14"/>
      <color theme="0"/>
      <name val="Corbel"/>
    </font>
    <font>
      <sz val="12"/>
      <color theme="0"/>
      <name val="Corbel"/>
    </font>
    <font>
      <sz val="14"/>
      <color theme="1"/>
      <name val="Corbel"/>
    </font>
    <font>
      <b/>
      <sz val="12"/>
      <color theme="1"/>
      <name val="Corbel"/>
    </font>
    <font>
      <b/>
      <sz val="14"/>
      <color theme="1"/>
      <name val="Corbel"/>
    </font>
    <font>
      <sz val="12"/>
      <color rgb="FFFF0000"/>
      <name val="Corbel"/>
    </font>
    <font>
      <b/>
      <sz val="14"/>
      <name val="Corbel"/>
    </font>
    <font>
      <b/>
      <sz val="14"/>
      <color rgb="FF00B050"/>
      <name val="Corbel"/>
    </font>
    <font>
      <b/>
      <sz val="12"/>
      <color rgb="FFFF0000"/>
      <name val="Corbel"/>
    </font>
    <font>
      <sz val="12"/>
      <color rgb="FF000000"/>
      <name val="Corbel"/>
    </font>
    <font>
      <sz val="16"/>
      <color theme="1"/>
      <name val="Corbel"/>
    </font>
    <font>
      <b/>
      <sz val="16"/>
      <color theme="1"/>
      <name val="Corbel"/>
    </font>
    <font>
      <i/>
      <sz val="16"/>
      <color theme="1"/>
      <name val="Corbel"/>
    </font>
    <font>
      <b/>
      <sz val="20"/>
      <color theme="0"/>
      <name val="Corbel"/>
    </font>
    <font>
      <sz val="20"/>
      <color theme="0"/>
      <name val="Corbel"/>
    </font>
    <font>
      <b/>
      <sz val="20"/>
      <color theme="1"/>
      <name val="Corbel"/>
    </font>
    <font>
      <sz val="20"/>
      <color theme="1"/>
      <name val="Corbel"/>
    </font>
    <font>
      <b/>
      <sz val="28"/>
      <color theme="1"/>
      <name val="Corbel"/>
    </font>
    <font>
      <sz val="14"/>
      <color theme="0"/>
      <name val="Corbel"/>
    </font>
    <font>
      <b/>
      <sz val="13"/>
      <color theme="0"/>
      <name val="Corbel"/>
    </font>
    <font>
      <b/>
      <sz val="14"/>
      <color theme="6" tint="0.79998168889431442"/>
      <name val="Corbel"/>
    </font>
    <font>
      <b/>
      <sz val="13"/>
      <color theme="6" tint="0.79998168889431442"/>
      <name val="Corbel"/>
    </font>
    <font>
      <b/>
      <sz val="12"/>
      <color theme="6" tint="0.79998168889431442"/>
      <name val="Corbel"/>
    </font>
    <font>
      <sz val="14"/>
      <color rgb="FF000000"/>
      <name val="Corbel"/>
    </font>
    <font>
      <b/>
      <sz val="14"/>
      <color rgb="FF000000"/>
      <name val="Corbel"/>
    </font>
    <font>
      <i/>
      <sz val="14"/>
      <color theme="1"/>
      <name val="Corbel"/>
    </font>
    <font>
      <u/>
      <sz val="14"/>
      <color rgb="FF000000"/>
      <name val="Corbel"/>
    </font>
    <font>
      <b/>
      <sz val="14"/>
      <color rgb="FFFF0000"/>
      <name val="Corbel"/>
    </font>
    <font>
      <b/>
      <u/>
      <sz val="14"/>
      <color theme="1"/>
      <name val="Corbel"/>
    </font>
    <font>
      <sz val="10"/>
      <color rgb="FF000000"/>
      <name val="Calibri"/>
      <family val="2"/>
    </font>
    <font>
      <sz val="10"/>
      <color rgb="FF000000"/>
      <name val="Calibri"/>
      <family val="2"/>
      <scheme val="minor"/>
    </font>
    <font>
      <sz val="12"/>
      <color theme="0"/>
      <name val="Calibri"/>
      <family val="2"/>
      <scheme val="minor"/>
    </font>
    <font>
      <sz val="11"/>
      <color theme="0"/>
      <name val="Calibri"/>
      <family val="2"/>
      <scheme val="minor"/>
    </font>
    <font>
      <u/>
      <sz val="10"/>
      <color theme="10"/>
      <name val="Calibri"/>
      <family val="2"/>
      <scheme val="minor"/>
    </font>
    <font>
      <sz val="10"/>
      <color theme="1"/>
      <name val="Corbel"/>
    </font>
    <font>
      <sz val="15"/>
      <color theme="1"/>
      <name val="Corbel"/>
    </font>
    <font>
      <i/>
      <sz val="15"/>
      <color theme="1"/>
      <name val="Corbel"/>
    </font>
    <font>
      <sz val="12"/>
      <color rgb="FF000000"/>
      <name val="Calibri"/>
      <family val="2"/>
    </font>
    <font>
      <u/>
      <sz val="12"/>
      <color theme="10"/>
      <name val="Calibri"/>
      <family val="2"/>
    </font>
    <font>
      <b/>
      <sz val="16"/>
      <color rgb="FFC00000"/>
      <name val="Corbel"/>
    </font>
    <font>
      <b/>
      <sz val="18"/>
      <color theme="1"/>
      <name val="Corbel"/>
    </font>
    <font>
      <u/>
      <sz val="14"/>
      <color theme="1"/>
      <name val="Corbel"/>
    </font>
    <font>
      <b/>
      <sz val="11"/>
      <color theme="0"/>
      <name val="Calibri"/>
      <family val="2"/>
      <scheme val="minor"/>
    </font>
    <font>
      <b/>
      <u/>
      <sz val="16"/>
      <color theme="1"/>
      <name val="Corbel"/>
    </font>
    <font>
      <u/>
      <sz val="14"/>
      <color theme="1"/>
      <name val="Calibri (Hoofdtekst)_x0000_"/>
    </font>
    <font>
      <u/>
      <sz val="12"/>
      <color theme="1"/>
      <name val="Corbel"/>
    </font>
    <font>
      <b/>
      <sz val="12"/>
      <color rgb="FF00B050"/>
      <name val="Corbel"/>
    </font>
    <font>
      <i/>
      <sz val="12"/>
      <color theme="1"/>
      <name val="Corbel"/>
    </font>
    <font>
      <b/>
      <sz val="14"/>
      <color rgb="FF1D1C1D"/>
      <name val="Corbel"/>
    </font>
    <font>
      <sz val="14"/>
      <color rgb="FF1D1C1D"/>
      <name val="Corbel"/>
    </font>
    <font>
      <i/>
      <sz val="14"/>
      <color rgb="FF1D1C1D"/>
      <name val="Corbel"/>
    </font>
    <font>
      <sz val="16"/>
      <color theme="1"/>
      <name val="Calibri"/>
      <family val="2"/>
      <scheme val="minor"/>
    </font>
    <font>
      <u/>
      <sz val="16"/>
      <color theme="10"/>
      <name val="Calibri"/>
      <family val="2"/>
      <scheme val="minor"/>
    </font>
    <font>
      <b/>
      <u/>
      <sz val="12"/>
      <color rgb="FFFF0000"/>
      <name val="Calibri"/>
      <family val="2"/>
      <scheme val="minor"/>
    </font>
    <font>
      <b/>
      <sz val="20"/>
      <color theme="6" tint="0.79998168889431442"/>
      <name val="Corbel"/>
    </font>
    <font>
      <u/>
      <sz val="16"/>
      <color theme="4"/>
      <name val="Corbel"/>
    </font>
    <font>
      <sz val="8"/>
      <color theme="0"/>
      <name val="Corbel"/>
    </font>
    <font>
      <b/>
      <sz val="20"/>
      <color theme="1"/>
      <name val="Calibri"/>
      <family val="2"/>
      <scheme val="minor"/>
    </font>
    <font>
      <sz val="16"/>
      <color theme="0"/>
      <name val="Calibri"/>
      <family val="2"/>
      <scheme val="minor"/>
    </font>
    <font>
      <sz val="12"/>
      <color theme="0"/>
      <name val="Calibri (Hoofdtekst)_x0000_"/>
    </font>
    <font>
      <u/>
      <sz val="12"/>
      <color theme="0"/>
      <name val="Calibri"/>
      <family val="2"/>
      <scheme val="minor"/>
    </font>
    <font>
      <b/>
      <u/>
      <sz val="12"/>
      <color theme="0"/>
      <name val="Calibri"/>
      <family val="2"/>
      <scheme val="minor"/>
    </font>
    <font>
      <u/>
      <sz val="12"/>
      <color theme="0"/>
      <name val="Calibri (Hoofdtekst)_x0000_"/>
    </font>
    <font>
      <sz val="10.8"/>
      <color theme="0"/>
      <name val="Calibri"/>
      <family val="2"/>
      <scheme val="minor"/>
    </font>
    <font>
      <i/>
      <sz val="12"/>
      <color theme="0"/>
      <name val="Calibri"/>
      <family val="2"/>
      <scheme val="minor"/>
    </font>
    <font>
      <b/>
      <sz val="13"/>
      <color theme="0"/>
      <name val="Calibri"/>
      <family val="2"/>
      <scheme val="minor"/>
    </font>
    <font>
      <b/>
      <sz val="12"/>
      <color theme="0"/>
      <name val="Corbel"/>
    </font>
    <font>
      <b/>
      <i/>
      <sz val="12"/>
      <color theme="0"/>
      <name val="Calibri"/>
      <family val="2"/>
      <scheme val="minor"/>
    </font>
    <font>
      <i/>
      <sz val="11"/>
      <color theme="0"/>
      <name val="Calibri"/>
      <family val="2"/>
      <scheme val="minor"/>
    </font>
    <font>
      <b/>
      <sz val="16"/>
      <color theme="0"/>
      <name val="Calibri"/>
      <family val="2"/>
      <scheme val="minor"/>
    </font>
    <font>
      <b/>
      <sz val="12"/>
      <color theme="0"/>
      <name val="Verdana"/>
      <family val="2"/>
    </font>
    <font>
      <sz val="12"/>
      <color theme="0"/>
      <name val="Calibri"/>
      <family val="2"/>
    </font>
    <font>
      <u/>
      <sz val="12"/>
      <color theme="0"/>
      <name val="Calibri"/>
      <family val="2"/>
    </font>
    <font>
      <sz val="9"/>
      <color theme="0"/>
      <name val="NissanBrand"/>
    </font>
    <font>
      <b/>
      <sz val="12"/>
      <color theme="0"/>
      <name val="Calibri"/>
      <family val="2"/>
    </font>
    <font>
      <b/>
      <sz val="14"/>
      <color theme="0"/>
      <name val="Calibri (Hoofdtekst)_x0000_"/>
    </font>
    <font>
      <sz val="15"/>
      <color theme="0"/>
      <name val="Verdana"/>
      <family val="2"/>
    </font>
    <font>
      <sz val="19"/>
      <color theme="0"/>
      <name val="Arial"/>
      <family val="2"/>
    </font>
    <font>
      <b/>
      <sz val="10"/>
      <color theme="0"/>
      <name val="Helvetica"/>
      <family val="2"/>
    </font>
    <font>
      <b/>
      <sz val="12"/>
      <color theme="0"/>
      <name val="Arial"/>
      <family val="2"/>
    </font>
    <font>
      <sz val="12"/>
      <color theme="0"/>
      <name val="Verdana"/>
      <family val="2"/>
    </font>
    <font>
      <b/>
      <sz val="18"/>
      <color theme="0"/>
      <name val="Arial"/>
      <family val="2"/>
    </font>
    <font>
      <i/>
      <sz val="13.5"/>
      <color theme="0"/>
      <name val="Arial"/>
      <family val="2"/>
    </font>
    <font>
      <sz val="12.75"/>
      <color theme="0"/>
      <name val="Arial"/>
      <family val="2"/>
    </font>
    <font>
      <b/>
      <sz val="12"/>
      <color theme="0"/>
      <name val="Calibri (Hoofdtekst)_x0000_"/>
    </font>
    <font>
      <b/>
      <sz val="14"/>
      <color theme="0"/>
      <name val="Arial"/>
      <family val="2"/>
    </font>
    <font>
      <sz val="14"/>
      <color theme="0"/>
      <name val="Arial"/>
      <family val="2"/>
    </font>
    <font>
      <sz val="14"/>
      <color theme="0"/>
      <name val="Helvetica"/>
      <family val="2"/>
    </font>
    <font>
      <sz val="14"/>
      <color theme="0"/>
      <name val="Calibri"/>
      <family val="2"/>
      <scheme val="minor"/>
    </font>
    <font>
      <sz val="16"/>
      <color rgb="FFFF0000"/>
      <name val="Corbel"/>
    </font>
    <font>
      <sz val="16"/>
      <name val="Corbel"/>
    </font>
    <font>
      <b/>
      <sz val="16"/>
      <name val="Corbel"/>
    </font>
  </fonts>
  <fills count="41">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solid">
        <fgColor rgb="FFD9E1F2"/>
        <bgColor rgb="FF000000"/>
      </patternFill>
    </fill>
    <fill>
      <patternFill patternType="solid">
        <fgColor theme="5"/>
        <bgColor indexed="64"/>
      </patternFill>
    </fill>
    <fill>
      <patternFill patternType="solid">
        <fgColor theme="8"/>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FF7D00"/>
        <bgColor indexed="64"/>
      </patternFill>
    </fill>
    <fill>
      <patternFill patternType="solid">
        <fgColor rgb="FF4B575F"/>
        <bgColor indexed="64"/>
      </patternFill>
    </fill>
    <fill>
      <patternFill patternType="solid">
        <fgColor theme="3"/>
        <bgColor indexed="64"/>
      </patternFill>
    </fill>
    <fill>
      <patternFill patternType="solid">
        <fgColor theme="0" tint="-4.9989318521683403E-2"/>
        <bgColor indexed="64"/>
      </patternFill>
    </fill>
    <fill>
      <patternFill patternType="solid">
        <fgColor rgb="FFEDEDED"/>
        <bgColor rgb="FF000000"/>
      </patternFill>
    </fill>
    <fill>
      <patternFill patternType="solid">
        <fgColor rgb="FF3B547B"/>
        <bgColor rgb="FF000000"/>
      </patternFill>
    </fill>
    <fill>
      <patternFill patternType="solid">
        <fgColor rgb="FFFFC000"/>
        <bgColor rgb="FF000000"/>
      </patternFill>
    </fill>
    <fill>
      <patternFill patternType="solid">
        <fgColor theme="0" tint="-0.34998626667073579"/>
        <bgColor indexed="64"/>
      </patternFill>
    </fill>
    <fill>
      <patternFill patternType="solid">
        <fgColor rgb="FF3B547B"/>
        <bgColor indexed="64"/>
      </patternFill>
    </fill>
    <fill>
      <patternFill patternType="solid">
        <fgColor rgb="FFFFC000"/>
        <bgColor indexed="64"/>
      </patternFill>
    </fill>
    <fill>
      <patternFill patternType="solid">
        <fgColor rgb="FFFFFF00"/>
        <bgColor indexed="64"/>
      </patternFill>
    </fill>
    <fill>
      <patternFill patternType="solid">
        <fgColor theme="6"/>
        <bgColor indexed="64"/>
      </patternFill>
    </fill>
    <fill>
      <patternFill patternType="solid">
        <fgColor theme="6" tint="0.79998168889431442"/>
        <bgColor indexed="65"/>
      </patternFill>
    </fill>
    <fill>
      <patternFill patternType="solid">
        <fgColor theme="3"/>
        <bgColor rgb="FF000000"/>
      </patternFill>
    </fill>
    <fill>
      <patternFill patternType="solid">
        <fgColor theme="9"/>
        <bgColor indexed="64"/>
      </patternFill>
    </fill>
    <fill>
      <patternFill patternType="solid">
        <fgColor theme="7"/>
        <bgColor indexed="64"/>
      </patternFill>
    </fill>
    <fill>
      <patternFill patternType="solid">
        <fgColor theme="7" tint="0.79998168889431442"/>
        <bgColor indexed="64"/>
      </patternFill>
    </fill>
    <fill>
      <patternFill patternType="solid">
        <fgColor rgb="FFFEF3CC"/>
        <bgColor indexed="64"/>
      </patternFill>
    </fill>
    <fill>
      <patternFill patternType="solid">
        <fgColor theme="2"/>
        <bgColor indexed="64"/>
      </patternFill>
    </fill>
    <fill>
      <patternFill patternType="solid">
        <fgColor rgb="FF3B547B"/>
        <bgColor rgb="FF3B547B"/>
      </patternFill>
    </fill>
    <fill>
      <patternFill patternType="solid">
        <fgColor rgb="FFA5A5A5"/>
        <bgColor rgb="FFA5A5A5"/>
      </patternFill>
    </fill>
    <fill>
      <patternFill patternType="solid">
        <fgColor rgb="FF44546A"/>
        <bgColor rgb="FF44546A"/>
      </patternFill>
    </fill>
    <fill>
      <patternFill patternType="solid">
        <fgColor rgb="FFFCE4D6"/>
        <bgColor rgb="FF000000"/>
      </patternFill>
    </fill>
    <fill>
      <patternFill patternType="solid">
        <fgColor rgb="FFFF0000"/>
        <bgColor indexed="64"/>
      </patternFill>
    </fill>
    <fill>
      <patternFill patternType="solid">
        <fgColor theme="5" tint="0.59999389629810485"/>
        <bgColor indexed="64"/>
      </patternFill>
    </fill>
    <fill>
      <patternFill patternType="solid">
        <fgColor rgb="FFFB7D01"/>
        <bgColor indexed="64"/>
      </patternFill>
    </fill>
    <fill>
      <patternFill patternType="solid">
        <fgColor rgb="FFEDEDED"/>
        <bgColor indexed="64"/>
      </patternFill>
    </fill>
    <fill>
      <patternFill patternType="solid">
        <fgColor theme="0" tint="-0.14999847407452621"/>
        <bgColor indexed="64"/>
      </patternFill>
    </fill>
    <fill>
      <patternFill patternType="solid">
        <fgColor rgb="FFDCE6F2"/>
        <bgColor indexed="64"/>
      </patternFill>
    </fill>
    <fill>
      <patternFill patternType="solid">
        <fgColor rgb="FF4A575F"/>
        <bgColor indexed="64"/>
      </patternFill>
    </fill>
  </fills>
  <borders count="19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1"/>
      </left>
      <right style="thin">
        <color theme="0"/>
      </right>
      <top style="thin">
        <color theme="0"/>
      </top>
      <bottom style="thin">
        <color theme="0"/>
      </bottom>
      <diagonal/>
    </border>
    <border>
      <left style="thin">
        <color theme="0"/>
      </left>
      <right style="medium">
        <color theme="1"/>
      </right>
      <top style="thin">
        <color theme="0"/>
      </top>
      <bottom style="thin">
        <color theme="0"/>
      </bottom>
      <diagonal/>
    </border>
    <border>
      <left style="medium">
        <color theme="1"/>
      </left>
      <right style="thin">
        <color theme="0"/>
      </right>
      <top style="thin">
        <color theme="0"/>
      </top>
      <bottom style="medium">
        <color theme="1"/>
      </bottom>
      <diagonal/>
    </border>
    <border>
      <left style="thin">
        <color theme="0"/>
      </left>
      <right style="thin">
        <color theme="0"/>
      </right>
      <top style="thin">
        <color theme="0"/>
      </top>
      <bottom style="medium">
        <color theme="1"/>
      </bottom>
      <diagonal/>
    </border>
    <border>
      <left style="thin">
        <color theme="0"/>
      </left>
      <right style="medium">
        <color theme="1"/>
      </right>
      <top style="thin">
        <color theme="0"/>
      </top>
      <bottom style="medium">
        <color theme="1"/>
      </bottom>
      <diagonal/>
    </border>
    <border>
      <left style="medium">
        <color theme="1"/>
      </left>
      <right style="thin">
        <color theme="0"/>
      </right>
      <top/>
      <bottom style="thin">
        <color theme="0"/>
      </bottom>
      <diagonal/>
    </border>
    <border>
      <left style="thin">
        <color theme="0"/>
      </left>
      <right style="medium">
        <color theme="1"/>
      </right>
      <top/>
      <bottom style="thin">
        <color theme="0"/>
      </bottom>
      <diagonal/>
    </border>
    <border>
      <left style="medium">
        <color theme="1"/>
      </left>
      <right/>
      <top style="thin">
        <color theme="0"/>
      </top>
      <bottom style="thin">
        <color theme="0"/>
      </bottom>
      <diagonal/>
    </border>
    <border>
      <left/>
      <right style="medium">
        <color theme="1"/>
      </right>
      <top style="thin">
        <color theme="0"/>
      </top>
      <bottom style="thin">
        <color theme="0"/>
      </bottom>
      <diagonal/>
    </border>
    <border>
      <left style="thin">
        <color indexed="64"/>
      </left>
      <right/>
      <top style="medium">
        <color indexed="64"/>
      </top>
      <bottom/>
      <diagonal/>
    </border>
    <border>
      <left style="medium">
        <color indexed="64"/>
      </left>
      <right style="medium">
        <color indexed="64"/>
      </right>
      <top style="medium">
        <color indexed="64"/>
      </top>
      <bottom style="thin">
        <color theme="0"/>
      </bottom>
      <diagonal/>
    </border>
    <border>
      <left style="medium">
        <color indexed="64"/>
      </left>
      <right style="medium">
        <color indexed="64"/>
      </right>
      <top/>
      <bottom style="thin">
        <color theme="0"/>
      </bottom>
      <diagonal/>
    </border>
    <border>
      <left style="medium">
        <color indexed="64"/>
      </left>
      <right style="medium">
        <color indexed="64"/>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diagonal/>
    </border>
    <border>
      <left/>
      <right/>
      <top style="medium">
        <color theme="1"/>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0"/>
      </bottom>
      <diagonal/>
    </border>
    <border>
      <left/>
      <right style="medium">
        <color theme="1"/>
      </right>
      <top style="medium">
        <color theme="1"/>
      </top>
      <bottom style="medium">
        <color theme="0"/>
      </bottom>
      <diagonal/>
    </border>
    <border>
      <left style="medium">
        <color theme="1"/>
      </left>
      <right/>
      <top style="medium">
        <color theme="0"/>
      </top>
      <bottom style="medium">
        <color theme="0"/>
      </bottom>
      <diagonal/>
    </border>
    <border>
      <left/>
      <right style="medium">
        <color theme="1"/>
      </right>
      <top style="medium">
        <color theme="0"/>
      </top>
      <bottom style="medium">
        <color theme="0"/>
      </bottom>
      <diagonal/>
    </border>
    <border>
      <left/>
      <right/>
      <top style="medium">
        <color theme="1"/>
      </top>
      <bottom style="medium">
        <color theme="0"/>
      </bottom>
      <diagonal/>
    </border>
    <border>
      <left/>
      <right/>
      <top style="medium">
        <color theme="0"/>
      </top>
      <bottom style="medium">
        <color theme="0"/>
      </bottom>
      <diagonal/>
    </border>
    <border>
      <left style="medium">
        <color rgb="FFFFFFFF"/>
      </left>
      <right style="medium">
        <color rgb="FFFFFFFF"/>
      </right>
      <top/>
      <bottom style="thick">
        <color rgb="FFFFFFFF"/>
      </bottom>
      <diagonal/>
    </border>
    <border>
      <left/>
      <right style="medium">
        <color rgb="FFFFFFFF"/>
      </right>
      <top/>
      <bottom style="thick">
        <color rgb="FFFFFFFF"/>
      </bottom>
      <diagonal/>
    </border>
    <border>
      <left/>
      <right style="medium">
        <color rgb="FFFFFFFF"/>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style="medium">
        <color theme="0"/>
      </right>
      <top style="medium">
        <color theme="0"/>
      </top>
      <bottom style="medium">
        <color theme="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style="medium">
        <color rgb="FFFFFFFF"/>
      </left>
      <right/>
      <top/>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bottom/>
      <diagonal/>
    </border>
    <border>
      <left/>
      <right style="medium">
        <color theme="0"/>
      </right>
      <top/>
      <bottom/>
      <diagonal/>
    </border>
    <border>
      <left style="medium">
        <color theme="0"/>
      </left>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right/>
      <top style="thin">
        <color theme="0"/>
      </top>
      <bottom style="thin">
        <color theme="0"/>
      </bottom>
      <diagonal/>
    </border>
    <border>
      <left style="medium">
        <color indexed="64"/>
      </left>
      <right/>
      <top style="thin">
        <color theme="0"/>
      </top>
      <bottom style="thin">
        <color theme="0"/>
      </bottom>
      <diagonal/>
    </border>
    <border>
      <left style="medium">
        <color indexed="64"/>
      </left>
      <right/>
      <top style="medium">
        <color indexed="64"/>
      </top>
      <bottom style="thin">
        <color theme="0"/>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theme="1"/>
      </right>
      <top style="medium">
        <color indexed="64"/>
      </top>
      <bottom/>
      <diagonal/>
    </border>
    <border>
      <left style="medium">
        <color indexed="64"/>
      </left>
      <right style="thin">
        <color theme="1"/>
      </right>
      <top/>
      <bottom/>
      <diagonal/>
    </border>
    <border>
      <left style="medium">
        <color indexed="64"/>
      </left>
      <right style="thin">
        <color theme="1"/>
      </right>
      <top/>
      <bottom style="medium">
        <color indexed="64"/>
      </bottom>
      <diagonal/>
    </border>
    <border>
      <left style="thin">
        <color theme="1"/>
      </left>
      <right style="thin">
        <color theme="1"/>
      </right>
      <top style="medium">
        <color indexed="64"/>
      </top>
      <bottom/>
      <diagonal/>
    </border>
    <border>
      <left style="thin">
        <color theme="1"/>
      </left>
      <right style="thin">
        <color theme="1"/>
      </right>
      <top/>
      <bottom/>
      <diagonal/>
    </border>
    <border>
      <left style="thin">
        <color theme="1"/>
      </left>
      <right style="thin">
        <color theme="1"/>
      </right>
      <top/>
      <bottom style="medium">
        <color indexed="64"/>
      </bottom>
      <diagonal/>
    </border>
    <border>
      <left style="medium">
        <color indexed="64"/>
      </left>
      <right/>
      <top style="medium">
        <color indexed="64"/>
      </top>
      <bottom style="medium">
        <color theme="1"/>
      </bottom>
      <diagonal/>
    </border>
    <border>
      <left/>
      <right/>
      <top style="medium">
        <color indexed="64"/>
      </top>
      <bottom style="medium">
        <color theme="1"/>
      </bottom>
      <diagonal/>
    </border>
    <border>
      <left style="medium">
        <color theme="1"/>
      </left>
      <right/>
      <top style="medium">
        <color theme="0"/>
      </top>
      <bottom style="medium">
        <color theme="1"/>
      </bottom>
      <diagonal/>
    </border>
    <border>
      <left/>
      <right/>
      <top style="medium">
        <color theme="0"/>
      </top>
      <bottom style="medium">
        <color theme="1"/>
      </bottom>
      <diagonal/>
    </border>
    <border>
      <left/>
      <right style="medium">
        <color theme="1"/>
      </right>
      <top style="medium">
        <color theme="0"/>
      </top>
      <bottom style="medium">
        <color theme="1"/>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right style="medium">
        <color indexed="64"/>
      </right>
      <top style="medium">
        <color theme="0"/>
      </top>
      <bottom style="medium">
        <color indexed="64"/>
      </bottom>
      <diagonal/>
    </border>
    <border>
      <left style="medium">
        <color theme="1"/>
      </left>
      <right/>
      <top/>
      <bottom style="medium">
        <color theme="0"/>
      </bottom>
      <diagonal/>
    </border>
    <border>
      <left/>
      <right style="medium">
        <color theme="1"/>
      </right>
      <top/>
      <bottom style="medium">
        <color theme="0"/>
      </bottom>
      <diagonal/>
    </border>
    <border>
      <left style="medium">
        <color indexed="64"/>
      </left>
      <right/>
      <top/>
      <bottom style="thin">
        <color theme="0"/>
      </bottom>
      <diagonal/>
    </border>
    <border>
      <left style="medium">
        <color indexed="64"/>
      </left>
      <right/>
      <top/>
      <bottom style="medium">
        <color theme="0"/>
      </bottom>
      <diagonal/>
    </border>
    <border>
      <left/>
      <right style="medium">
        <color theme="1"/>
      </right>
      <top style="medium">
        <color indexed="64"/>
      </top>
      <bottom style="medium">
        <color theme="0"/>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style="medium">
        <color theme="1"/>
      </left>
      <right style="medium">
        <color indexed="64"/>
      </right>
      <top/>
      <bottom style="medium">
        <color theme="0"/>
      </bottom>
      <diagonal/>
    </border>
    <border>
      <left style="medium">
        <color theme="1"/>
      </left>
      <right style="medium">
        <color indexed="64"/>
      </right>
      <top/>
      <bottom style="thin">
        <color theme="0"/>
      </bottom>
      <diagonal/>
    </border>
    <border>
      <left style="medium">
        <color theme="1"/>
      </left>
      <right style="medium">
        <color indexed="64"/>
      </right>
      <top style="thin">
        <color theme="0"/>
      </top>
      <bottom style="thin">
        <color theme="0"/>
      </bottom>
      <diagonal/>
    </border>
    <border>
      <left style="medium">
        <color theme="1"/>
      </left>
      <right style="medium">
        <color indexed="64"/>
      </right>
      <top/>
      <bottom style="medium">
        <color theme="1"/>
      </bottom>
      <diagonal/>
    </border>
    <border>
      <left style="medium">
        <color indexed="64"/>
      </left>
      <right/>
      <top/>
      <bottom style="medium">
        <color theme="1"/>
      </bottom>
      <diagonal/>
    </border>
    <border>
      <left/>
      <right/>
      <top/>
      <bottom style="medium">
        <color rgb="FFFFFFFF"/>
      </bottom>
      <diagonal/>
    </border>
    <border>
      <left style="medium">
        <color rgb="FFFFFFFF"/>
      </left>
      <right/>
      <top/>
      <bottom style="medium">
        <color rgb="FFFFFFFF"/>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medium">
        <color rgb="FFFFFFFF"/>
      </right>
      <top/>
      <bottom style="medium">
        <color rgb="FFFFFFFF"/>
      </bottom>
      <diagonal/>
    </border>
    <border>
      <left/>
      <right/>
      <top style="medium">
        <color rgb="FFFFFFFF"/>
      </top>
      <bottom/>
      <diagonal/>
    </border>
    <border>
      <left style="medium">
        <color rgb="FFFFFFFF"/>
      </left>
      <right/>
      <top style="medium">
        <color rgb="FFFFFFFF"/>
      </top>
      <bottom/>
      <diagonal/>
    </border>
    <border>
      <left/>
      <right style="medium">
        <color rgb="FFFFFFFF"/>
      </right>
      <top style="medium">
        <color rgb="FFFFFFFF"/>
      </top>
      <bottom/>
      <diagonal/>
    </border>
    <border>
      <left style="medium">
        <color theme="0"/>
      </left>
      <right/>
      <top style="medium">
        <color rgb="FFFFFFFF"/>
      </top>
      <bottom style="medium">
        <color rgb="FFFFFFFF"/>
      </bottom>
      <diagonal/>
    </border>
    <border>
      <left/>
      <right style="medium">
        <color theme="0"/>
      </right>
      <top style="medium">
        <color rgb="FFFFFFFF"/>
      </top>
      <bottom style="medium">
        <color rgb="FFFFFFFF"/>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theme="1"/>
      </left>
      <right style="medium">
        <color theme="1"/>
      </right>
      <top/>
      <bottom style="medium">
        <color theme="1"/>
      </bottom>
      <diagonal/>
    </border>
    <border>
      <left style="medium">
        <color theme="1"/>
      </left>
      <right/>
      <top/>
      <bottom style="medium">
        <color indexed="64"/>
      </bottom>
      <diagonal/>
    </border>
    <border>
      <left style="thin">
        <color theme="0"/>
      </left>
      <right style="thin">
        <color theme="0"/>
      </right>
      <top/>
      <bottom/>
      <diagonal/>
    </border>
    <border>
      <left style="medium">
        <color theme="1"/>
      </left>
      <right/>
      <top style="thin">
        <color theme="0"/>
      </top>
      <bottom/>
      <diagonal/>
    </border>
    <border>
      <left style="medium">
        <color indexed="64"/>
      </left>
      <right style="medium">
        <color indexed="64"/>
      </right>
      <top style="thin">
        <color theme="1"/>
      </top>
      <bottom style="medium">
        <color indexed="64"/>
      </bottom>
      <diagonal/>
    </border>
    <border>
      <left style="medium">
        <color theme="1"/>
      </left>
      <right/>
      <top style="thin">
        <color theme="1"/>
      </top>
      <bottom/>
      <diagonal/>
    </border>
    <border>
      <left style="medium">
        <color theme="1"/>
      </left>
      <right/>
      <top/>
      <bottom style="thin">
        <color theme="1"/>
      </bottom>
      <diagonal/>
    </border>
    <border>
      <left style="medium">
        <color indexed="64"/>
      </left>
      <right style="medium">
        <color theme="1"/>
      </right>
      <top/>
      <bottom/>
      <diagonal/>
    </border>
    <border>
      <left style="medium">
        <color indexed="64"/>
      </left>
      <right style="medium">
        <color theme="1"/>
      </right>
      <top style="thin">
        <color theme="1"/>
      </top>
      <bottom/>
      <diagonal/>
    </border>
    <border>
      <left/>
      <right style="medium">
        <color indexed="64"/>
      </right>
      <top style="thin">
        <color theme="1"/>
      </top>
      <bottom/>
      <diagonal/>
    </border>
    <border>
      <left/>
      <right style="medium">
        <color indexed="64"/>
      </right>
      <top/>
      <bottom style="thin">
        <color theme="1"/>
      </bottom>
      <diagonal/>
    </border>
    <border>
      <left style="medium">
        <color indexed="64"/>
      </left>
      <right style="medium">
        <color theme="1"/>
      </right>
      <top/>
      <bottom style="medium">
        <color indexed="64"/>
      </bottom>
      <diagonal/>
    </border>
    <border>
      <left style="medium">
        <color theme="1"/>
      </left>
      <right style="medium">
        <color indexed="64"/>
      </right>
      <top style="medium">
        <color indexed="64"/>
      </top>
      <bottom/>
      <diagonal/>
    </border>
    <border>
      <left/>
      <right style="medium">
        <color theme="1"/>
      </right>
      <top style="medium">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theme="0"/>
      </top>
      <bottom style="thin">
        <color theme="0"/>
      </bottom>
      <diagonal/>
    </border>
    <border>
      <left style="medium">
        <color theme="1"/>
      </left>
      <right/>
      <top style="thin">
        <color theme="0"/>
      </top>
      <bottom style="medium">
        <color theme="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bottom style="thin">
        <color theme="0"/>
      </bottom>
      <diagonal/>
    </border>
    <border>
      <left/>
      <right style="medium">
        <color indexed="64"/>
      </right>
      <top style="thin">
        <color theme="0"/>
      </top>
      <bottom/>
      <diagonal/>
    </border>
    <border>
      <left/>
      <right style="medium">
        <color theme="1"/>
      </right>
      <top style="thin">
        <color theme="0"/>
      </top>
      <bottom style="medium">
        <color theme="1"/>
      </bottom>
      <diagonal/>
    </border>
    <border>
      <left style="medium">
        <color indexed="64"/>
      </left>
      <right style="medium">
        <color indexed="64"/>
      </right>
      <top style="thin">
        <color indexed="64"/>
      </top>
      <bottom style="thin">
        <color indexed="64"/>
      </bottom>
      <diagonal/>
    </border>
    <border>
      <left style="medium">
        <color indexed="64"/>
      </left>
      <right style="thin">
        <color rgb="FFDCE6F2"/>
      </right>
      <top style="thin">
        <color rgb="FFDCE6F2"/>
      </top>
      <bottom style="thin">
        <color rgb="FFDCE6F2"/>
      </bottom>
      <diagonal/>
    </border>
    <border>
      <left style="thin">
        <color rgb="FFDCE6F2"/>
      </left>
      <right style="thin">
        <color rgb="FFDCE6F2"/>
      </right>
      <top style="thin">
        <color rgb="FFDCE6F2"/>
      </top>
      <bottom style="thin">
        <color rgb="FFDCE6F2"/>
      </bottom>
      <diagonal/>
    </border>
    <border>
      <left style="thin">
        <color rgb="FFDCE6F2"/>
      </left>
      <right style="medium">
        <color indexed="64"/>
      </right>
      <top style="thin">
        <color rgb="FFDCE6F2"/>
      </top>
      <bottom style="thin">
        <color rgb="FFDCE6F2"/>
      </bottom>
      <diagonal/>
    </border>
    <border>
      <left/>
      <right style="thin">
        <color rgb="FFDCE6F2"/>
      </right>
      <top style="thin">
        <color rgb="FFDCE6F2"/>
      </top>
      <bottom style="thin">
        <color rgb="FFDCE6F2"/>
      </bottom>
      <diagonal/>
    </border>
    <border>
      <left style="medium">
        <color indexed="64"/>
      </left>
      <right/>
      <top style="medium">
        <color indexed="64"/>
      </top>
      <bottom style="thin">
        <color rgb="FFDCE6F2"/>
      </bottom>
      <diagonal/>
    </border>
    <border>
      <left/>
      <right style="thin">
        <color rgb="FFDCE6F2"/>
      </right>
      <top style="medium">
        <color indexed="64"/>
      </top>
      <bottom style="thin">
        <color rgb="FFDCE6F2"/>
      </bottom>
      <diagonal/>
    </border>
    <border>
      <left style="thin">
        <color rgb="FFDCE6F2"/>
      </left>
      <right style="thin">
        <color rgb="FFDCE6F2"/>
      </right>
      <top style="medium">
        <color indexed="64"/>
      </top>
      <bottom style="thin">
        <color rgb="FFDCE6F2"/>
      </bottom>
      <diagonal/>
    </border>
    <border>
      <left style="thin">
        <color rgb="FFDCE6F2"/>
      </left>
      <right style="medium">
        <color indexed="64"/>
      </right>
      <top style="medium">
        <color indexed="64"/>
      </top>
      <bottom style="thin">
        <color rgb="FFDCE6F2"/>
      </bottom>
      <diagonal/>
    </border>
    <border>
      <left style="medium">
        <color indexed="64"/>
      </left>
      <right/>
      <top style="thin">
        <color rgb="FFDCE6F2"/>
      </top>
      <bottom style="thin">
        <color rgb="FFDCE6F2"/>
      </bottom>
      <diagonal/>
    </border>
    <border>
      <left/>
      <right/>
      <top style="thin">
        <color rgb="FFDCE6F2"/>
      </top>
      <bottom style="thin">
        <color rgb="FFDCE6F2"/>
      </bottom>
      <diagonal/>
    </border>
    <border>
      <left/>
      <right style="medium">
        <color indexed="64"/>
      </right>
      <top style="thin">
        <color rgb="FFDCE6F2"/>
      </top>
      <bottom style="thin">
        <color rgb="FFDCE6F2"/>
      </bottom>
      <diagonal/>
    </border>
    <border>
      <left style="medium">
        <color theme="1"/>
      </left>
      <right style="thin">
        <color rgb="FFDCE6F2"/>
      </right>
      <top style="medium">
        <color indexed="64"/>
      </top>
      <bottom style="thin">
        <color rgb="FFDCE6F2"/>
      </bottom>
      <diagonal/>
    </border>
    <border>
      <left style="thin">
        <color rgb="FFDCE6F2"/>
      </left>
      <right/>
      <top style="medium">
        <color indexed="64"/>
      </top>
      <bottom style="thin">
        <color rgb="FFDCE6F2"/>
      </bottom>
      <diagonal/>
    </border>
    <border>
      <left style="medium">
        <color indexed="64"/>
      </left>
      <right style="thin">
        <color rgb="FFDCE6F2"/>
      </right>
      <top style="medium">
        <color indexed="64"/>
      </top>
      <bottom style="thin">
        <color rgb="FFDCE6F2"/>
      </bottom>
      <diagonal/>
    </border>
    <border>
      <left style="medium">
        <color theme="1"/>
      </left>
      <right style="thin">
        <color rgb="FFDCE6F2"/>
      </right>
      <top style="thin">
        <color rgb="FFDCE6F2"/>
      </top>
      <bottom style="thin">
        <color rgb="FFDCE6F2"/>
      </bottom>
      <diagonal/>
    </border>
    <border>
      <left style="thin">
        <color rgb="FFDCE6F2"/>
      </left>
      <right/>
      <top style="thin">
        <color rgb="FFDCE6F2"/>
      </top>
      <bottom style="thin">
        <color rgb="FFDCE6F2"/>
      </bottom>
      <diagonal/>
    </border>
    <border>
      <left style="medium">
        <color theme="1"/>
      </left>
      <right/>
      <top style="medium">
        <color theme="0"/>
      </top>
      <bottom style="medium">
        <color indexed="64"/>
      </bottom>
      <diagonal/>
    </border>
    <border>
      <left/>
      <right style="medium">
        <color theme="1"/>
      </right>
      <top style="medium">
        <color theme="0"/>
      </top>
      <bottom style="medium">
        <color indexed="64"/>
      </bottom>
      <diagonal/>
    </border>
    <border>
      <left style="medium">
        <color theme="1"/>
      </left>
      <right/>
      <top style="medium">
        <color indexed="64"/>
      </top>
      <bottom style="medium">
        <color theme="0"/>
      </bottom>
      <diagonal/>
    </border>
    <border>
      <left style="medium">
        <color theme="1"/>
      </left>
      <right/>
      <top style="medium">
        <color theme="0"/>
      </top>
      <bottom/>
      <diagonal/>
    </border>
    <border>
      <left/>
      <right style="medium">
        <color theme="1"/>
      </right>
      <top style="medium">
        <color theme="0"/>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theme="0"/>
      </top>
      <bottom style="medium">
        <color theme="1"/>
      </bottom>
      <diagonal/>
    </border>
    <border>
      <left style="medium">
        <color indexed="64"/>
      </left>
      <right/>
      <top style="thin">
        <color theme="1"/>
      </top>
      <bottom/>
      <diagonal/>
    </border>
    <border>
      <left style="medium">
        <color indexed="64"/>
      </left>
      <right/>
      <top/>
      <bottom style="thin">
        <color theme="1"/>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style="medium">
        <color theme="1"/>
      </left>
      <right style="medium">
        <color theme="1"/>
      </right>
      <top/>
      <bottom style="medium">
        <color theme="0"/>
      </bottom>
      <diagonal/>
    </border>
    <border>
      <left style="medium">
        <color theme="1"/>
      </left>
      <right/>
      <top/>
      <bottom style="thin">
        <color theme="0"/>
      </bottom>
      <diagonal/>
    </border>
    <border>
      <left/>
      <right style="medium">
        <color theme="1"/>
      </right>
      <top/>
      <bottom style="thin">
        <color theme="0"/>
      </bottom>
      <diagonal/>
    </border>
    <border>
      <left/>
      <right/>
      <top/>
      <bottom style="thin">
        <color theme="0"/>
      </bottom>
      <diagonal/>
    </border>
    <border>
      <left/>
      <right style="medium">
        <color theme="1"/>
      </right>
      <top style="thin">
        <color theme="0"/>
      </top>
      <bottom/>
      <diagonal/>
    </border>
    <border>
      <left style="medium">
        <color indexed="64"/>
      </left>
      <right/>
      <top style="thin">
        <color theme="0"/>
      </top>
      <bottom style="medium">
        <color indexed="64"/>
      </bottom>
      <diagonal/>
    </border>
    <border>
      <left/>
      <right/>
      <top style="medium">
        <color indexed="64"/>
      </top>
      <bottom style="thin">
        <color theme="0"/>
      </bottom>
      <diagonal/>
    </border>
    <border>
      <left/>
      <right/>
      <top style="thin">
        <color theme="0"/>
      </top>
      <bottom style="medium">
        <color indexed="64"/>
      </bottom>
      <diagonal/>
    </border>
    <border>
      <left/>
      <right style="thin">
        <color indexed="64"/>
      </right>
      <top style="medium">
        <color indexed="64"/>
      </top>
      <bottom/>
      <diagonal/>
    </border>
  </borders>
  <cellStyleXfs count="12">
    <xf numFmtId="0" fontId="0" fillId="0" borderId="0"/>
    <xf numFmtId="164" fontId="2" fillId="0" borderId="0" applyFont="0" applyFill="0" applyBorder="0" applyAlignment="0" applyProtection="0"/>
    <xf numFmtId="0" fontId="3"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7" fillId="0" borderId="0"/>
    <xf numFmtId="164" fontId="2" fillId="0" borderId="0" applyFont="0" applyFill="0" applyBorder="0" applyAlignment="0" applyProtection="0"/>
    <xf numFmtId="0" fontId="2" fillId="23" borderId="0" applyNumberFormat="0" applyBorder="0" applyAlignment="0" applyProtection="0"/>
    <xf numFmtId="0" fontId="49" fillId="0" borderId="0"/>
    <xf numFmtId="164" fontId="49" fillId="0" borderId="0" applyFont="0" applyFill="0" applyBorder="0" applyAlignment="0" applyProtection="0"/>
    <xf numFmtId="0" fontId="50" fillId="0" borderId="0" applyNumberFormat="0" applyFill="0" applyBorder="0" applyAlignment="0" applyProtection="0"/>
    <xf numFmtId="9" fontId="49" fillId="0" borderId="0" applyFont="0" applyFill="0" applyBorder="0" applyAlignment="0" applyProtection="0"/>
  </cellStyleXfs>
  <cellXfs count="1697">
    <xf numFmtId="0" fontId="0" fillId="0" borderId="0" xfId="0"/>
    <xf numFmtId="0" fontId="9" fillId="0" borderId="0" xfId="0" applyFont="1"/>
    <xf numFmtId="0" fontId="14" fillId="0" borderId="0" xfId="0" applyFont="1"/>
    <xf numFmtId="0" fontId="15" fillId="0" borderId="0" xfId="0" applyFont="1"/>
    <xf numFmtId="0" fontId="9" fillId="0" borderId="0" xfId="0" applyFont="1" applyAlignment="1">
      <alignment vertical="center"/>
    </xf>
    <xf numFmtId="0" fontId="9" fillId="0" borderId="0" xfId="0" applyFont="1" applyAlignment="1">
      <alignment horizontal="center" vertical="center"/>
    </xf>
    <xf numFmtId="0" fontId="15"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15" fillId="0" borderId="0" xfId="0" applyFont="1" applyAlignment="1">
      <alignment horizontal="center"/>
    </xf>
    <xf numFmtId="172" fontId="9" fillId="0" borderId="0" xfId="1" applyNumberFormat="1" applyFont="1"/>
    <xf numFmtId="172" fontId="9" fillId="0" borderId="0" xfId="0" applyNumberFormat="1" applyFont="1"/>
    <xf numFmtId="164" fontId="9" fillId="0" borderId="0" xfId="0" applyNumberFormat="1" applyFont="1"/>
    <xf numFmtId="172" fontId="16" fillId="0" borderId="0" xfId="0" applyNumberFormat="1" applyFont="1"/>
    <xf numFmtId="172" fontId="16" fillId="0" borderId="5" xfId="0" applyNumberFormat="1" applyFont="1" applyBorder="1"/>
    <xf numFmtId="172" fontId="14" fillId="0" borderId="5" xfId="0" applyNumberFormat="1" applyFont="1" applyBorder="1"/>
    <xf numFmtId="172" fontId="9" fillId="0" borderId="5" xfId="0" applyNumberFormat="1" applyFont="1" applyBorder="1"/>
    <xf numFmtId="172" fontId="19" fillId="0" borderId="0" xfId="1" applyNumberFormat="1" applyFont="1"/>
    <xf numFmtId="177" fontId="16" fillId="0" borderId="5" xfId="1" applyNumberFormat="1" applyFont="1" applyBorder="1"/>
    <xf numFmtId="0" fontId="9" fillId="0" borderId="1" xfId="0" applyFont="1" applyBorder="1" applyAlignment="1">
      <alignment horizontal="center" vertical="center"/>
    </xf>
    <xf numFmtId="0" fontId="9" fillId="0" borderId="4" xfId="0" applyFont="1" applyBorder="1" applyAlignment="1">
      <alignment horizontal="center" vertical="center"/>
    </xf>
    <xf numFmtId="0" fontId="15" fillId="0" borderId="4" xfId="0" applyFont="1" applyBorder="1" applyAlignment="1">
      <alignment horizontal="center"/>
    </xf>
    <xf numFmtId="0" fontId="15" fillId="0" borderId="5" xfId="0" applyFont="1" applyBorder="1" applyAlignment="1">
      <alignment horizontal="center"/>
    </xf>
    <xf numFmtId="0" fontId="9" fillId="0" borderId="5" xfId="0" applyFont="1" applyBorder="1"/>
    <xf numFmtId="172" fontId="9" fillId="0" borderId="5" xfId="1" applyNumberFormat="1" applyFont="1" applyBorder="1"/>
    <xf numFmtId="164" fontId="9" fillId="0" borderId="0" xfId="1" applyFont="1"/>
    <xf numFmtId="172" fontId="15" fillId="0" borderId="5" xfId="0" applyNumberFormat="1" applyFont="1" applyBorder="1"/>
    <xf numFmtId="0" fontId="9" fillId="0" borderId="6" xfId="0" applyFont="1" applyBorder="1"/>
    <xf numFmtId="172" fontId="16" fillId="0" borderId="4" xfId="0" applyNumberFormat="1" applyFont="1" applyBorder="1"/>
    <xf numFmtId="172" fontId="14" fillId="0" borderId="4" xfId="0" applyNumberFormat="1" applyFont="1" applyBorder="1"/>
    <xf numFmtId="172" fontId="9" fillId="0" borderId="4" xfId="0" applyNumberFormat="1" applyFont="1" applyBorder="1"/>
    <xf numFmtId="172" fontId="16" fillId="0" borderId="4" xfId="1" applyNumberFormat="1" applyFont="1" applyBorder="1"/>
    <xf numFmtId="0" fontId="14" fillId="0" borderId="6" xfId="0" applyFont="1" applyBorder="1"/>
    <xf numFmtId="0" fontId="9" fillId="0" borderId="4" xfId="0" applyFont="1" applyBorder="1"/>
    <xf numFmtId="170" fontId="16" fillId="0" borderId="6" xfId="3" applyNumberFormat="1" applyFont="1" applyBorder="1"/>
    <xf numFmtId="0" fontId="9" fillId="0" borderId="4" xfId="0" applyFont="1" applyBorder="1" applyAlignment="1">
      <alignment vertical="center"/>
    </xf>
    <xf numFmtId="0" fontId="9" fillId="0" borderId="1" xfId="0" applyFont="1" applyBorder="1"/>
    <xf numFmtId="176" fontId="16" fillId="0" borderId="4" xfId="1" applyNumberFormat="1" applyFont="1" applyBorder="1"/>
    <xf numFmtId="176" fontId="14" fillId="0" borderId="6" xfId="1" applyNumberFormat="1" applyFont="1" applyBorder="1"/>
    <xf numFmtId="0" fontId="9" fillId="0" borderId="6" xfId="0" applyFont="1" applyBorder="1" applyAlignment="1">
      <alignment vertical="center"/>
    </xf>
    <xf numFmtId="0" fontId="22" fillId="0" borderId="14" xfId="0" applyFont="1" applyBorder="1" applyAlignment="1" applyProtection="1">
      <alignment horizontal="center" vertical="center"/>
      <protection locked="0"/>
    </xf>
    <xf numFmtId="0" fontId="22" fillId="0" borderId="15" xfId="0" applyFont="1" applyBorder="1" applyAlignment="1" applyProtection="1">
      <alignment horizontal="center" vertical="center"/>
      <protection locked="0"/>
    </xf>
    <xf numFmtId="0" fontId="0" fillId="10" borderId="0" xfId="0" applyFill="1"/>
    <xf numFmtId="172" fontId="9" fillId="0" borderId="4" xfId="1" applyNumberFormat="1" applyFont="1" applyBorder="1"/>
    <xf numFmtId="172" fontId="9" fillId="0" borderId="0" xfId="1" applyNumberFormat="1" applyFont="1" applyBorder="1"/>
    <xf numFmtId="172" fontId="9" fillId="0" borderId="0" xfId="0" applyNumberFormat="1" applyFont="1" applyBorder="1"/>
    <xf numFmtId="0" fontId="23" fillId="11" borderId="12" xfId="0" applyFont="1" applyFill="1" applyBorder="1" applyAlignment="1">
      <alignment horizontal="center" vertical="center"/>
    </xf>
    <xf numFmtId="0" fontId="9" fillId="9" borderId="4" xfId="0" applyFont="1" applyFill="1" applyBorder="1"/>
    <xf numFmtId="0" fontId="22" fillId="9" borderId="14" xfId="0" applyFont="1" applyFill="1" applyBorder="1" applyAlignment="1" applyProtection="1">
      <alignment horizontal="center" vertical="center"/>
    </xf>
    <xf numFmtId="0" fontId="22" fillId="9" borderId="16" xfId="0" applyFont="1" applyFill="1" applyBorder="1" applyAlignment="1" applyProtection="1">
      <alignment horizontal="center" vertical="center"/>
    </xf>
    <xf numFmtId="0" fontId="10" fillId="13" borderId="12" xfId="0" applyFont="1" applyFill="1" applyBorder="1" applyAlignment="1">
      <alignment vertical="center"/>
    </xf>
    <xf numFmtId="0" fontId="10" fillId="13" borderId="18" xfId="0" applyFont="1" applyFill="1" applyBorder="1" applyAlignment="1">
      <alignment vertical="center"/>
    </xf>
    <xf numFmtId="0" fontId="12" fillId="13" borderId="12" xfId="0" applyFont="1" applyFill="1" applyBorder="1" applyAlignment="1">
      <alignment horizontal="center" vertical="center"/>
    </xf>
    <xf numFmtId="0" fontId="16" fillId="11" borderId="3" xfId="0" applyFont="1" applyFill="1" applyBorder="1" applyAlignment="1">
      <alignment horizontal="center"/>
    </xf>
    <xf numFmtId="0" fontId="16" fillId="11" borderId="1" xfId="0" applyFont="1" applyFill="1" applyBorder="1" applyAlignment="1">
      <alignment horizontal="center"/>
    </xf>
    <xf numFmtId="0" fontId="12" fillId="12" borderId="1" xfId="0" applyFont="1" applyFill="1" applyBorder="1"/>
    <xf numFmtId="172" fontId="31" fillId="12" borderId="1" xfId="0" applyNumberFormat="1" applyFont="1" applyFill="1" applyBorder="1" applyAlignment="1">
      <alignment horizontal="center"/>
    </xf>
    <xf numFmtId="172" fontId="31" fillId="12" borderId="3" xfId="0" applyNumberFormat="1" applyFont="1" applyFill="1" applyBorder="1" applyAlignment="1">
      <alignment horizontal="center"/>
    </xf>
    <xf numFmtId="0" fontId="14" fillId="9" borderId="4" xfId="0" applyFont="1" applyFill="1" applyBorder="1"/>
    <xf numFmtId="0" fontId="16" fillId="9" borderId="4" xfId="0" applyFont="1" applyFill="1" applyBorder="1"/>
    <xf numFmtId="0" fontId="14" fillId="9" borderId="6" xfId="0" applyFont="1" applyFill="1" applyBorder="1"/>
    <xf numFmtId="0" fontId="13" fillId="0" borderId="0" xfId="0" applyFont="1" applyFill="1"/>
    <xf numFmtId="0" fontId="9" fillId="0" borderId="0" xfId="0" applyFont="1" applyFill="1"/>
    <xf numFmtId="0" fontId="13" fillId="0" borderId="0" xfId="0" applyFont="1" applyFill="1" applyAlignment="1">
      <alignment horizontal="center"/>
    </xf>
    <xf numFmtId="0" fontId="9" fillId="0" borderId="0" xfId="0" applyFont="1" applyFill="1" applyAlignment="1">
      <alignment horizontal="center" vertical="center"/>
    </xf>
    <xf numFmtId="177" fontId="18" fillId="11" borderId="5" xfId="1" applyNumberFormat="1" applyFont="1" applyFill="1" applyBorder="1"/>
    <xf numFmtId="0" fontId="32" fillId="12" borderId="1" xfId="0" applyFont="1" applyFill="1" applyBorder="1"/>
    <xf numFmtId="172" fontId="33" fillId="12" borderId="1" xfId="0" applyNumberFormat="1" applyFont="1" applyFill="1" applyBorder="1" applyAlignment="1">
      <alignment horizontal="center"/>
    </xf>
    <xf numFmtId="172" fontId="33" fillId="12" borderId="3" xfId="0" applyNumberFormat="1" applyFont="1" applyFill="1" applyBorder="1" applyAlignment="1">
      <alignment horizontal="center"/>
    </xf>
    <xf numFmtId="172" fontId="34" fillId="0" borderId="0" xfId="0" applyNumberFormat="1" applyFont="1" applyFill="1"/>
    <xf numFmtId="172" fontId="31" fillId="0" borderId="0" xfId="0" applyNumberFormat="1" applyFont="1" applyFill="1"/>
    <xf numFmtId="0" fontId="22" fillId="9" borderId="22" xfId="0" applyFont="1" applyFill="1" applyBorder="1" applyAlignment="1" applyProtection="1">
      <alignment horizontal="center" vertical="center"/>
    </xf>
    <xf numFmtId="0" fontId="22" fillId="9" borderId="0" xfId="0" applyFont="1" applyFill="1" applyBorder="1" applyAlignment="1" applyProtection="1">
      <alignment horizontal="center" vertical="center"/>
    </xf>
    <xf numFmtId="0" fontId="27" fillId="11" borderId="10" xfId="0" applyFont="1" applyFill="1" applyBorder="1" applyAlignment="1" applyProtection="1">
      <alignment horizontal="center" vertical="center"/>
    </xf>
    <xf numFmtId="0" fontId="27" fillId="11" borderId="12" xfId="0" applyFont="1" applyFill="1" applyBorder="1" applyAlignment="1" applyProtection="1">
      <alignment horizontal="center" vertical="center"/>
    </xf>
    <xf numFmtId="0" fontId="27" fillId="11" borderId="9" xfId="0" applyFont="1" applyFill="1" applyBorder="1" applyAlignment="1" applyProtection="1">
      <alignment horizontal="left" vertical="center"/>
    </xf>
    <xf numFmtId="0" fontId="9" fillId="9" borderId="4" xfId="0" applyFont="1" applyFill="1" applyBorder="1" applyAlignment="1">
      <alignment vertical="center"/>
    </xf>
    <xf numFmtId="0" fontId="28" fillId="12" borderId="10" xfId="0" applyFont="1" applyFill="1" applyBorder="1" applyAlignment="1" applyProtection="1">
      <alignment horizontal="center" vertical="center"/>
    </xf>
    <xf numFmtId="0" fontId="27" fillId="11" borderId="0" xfId="0" applyFont="1" applyFill="1" applyBorder="1" applyAlignment="1" applyProtection="1">
      <alignment horizontal="center" vertical="center"/>
    </xf>
    <xf numFmtId="0" fontId="15" fillId="0" borderId="4" xfId="0" applyFont="1" applyFill="1" applyBorder="1" applyAlignment="1">
      <alignment horizontal="center" vertical="center"/>
    </xf>
    <xf numFmtId="180" fontId="15" fillId="0" borderId="0" xfId="1" applyNumberFormat="1" applyFont="1" applyBorder="1"/>
    <xf numFmtId="9" fontId="22" fillId="10" borderId="23" xfId="4" applyFont="1" applyFill="1" applyBorder="1" applyAlignment="1" applyProtection="1">
      <alignment horizontal="center" vertical="center"/>
      <protection locked="0"/>
    </xf>
    <xf numFmtId="0" fontId="22" fillId="10" borderId="23" xfId="0" applyFont="1" applyFill="1" applyBorder="1" applyAlignment="1" applyProtection="1">
      <alignment horizontal="center" vertical="center"/>
      <protection locked="0"/>
    </xf>
    <xf numFmtId="0" fontId="9" fillId="0" borderId="0" xfId="0" applyFont="1" applyProtection="1"/>
    <xf numFmtId="0" fontId="22" fillId="8" borderId="31" xfId="0" applyFont="1" applyFill="1" applyBorder="1" applyAlignment="1" applyProtection="1">
      <alignment horizontal="center" vertical="center"/>
    </xf>
    <xf numFmtId="0" fontId="9" fillId="0" borderId="0" xfId="0" applyFont="1" applyAlignment="1" applyProtection="1">
      <alignment vertical="center"/>
    </xf>
    <xf numFmtId="0" fontId="23" fillId="8" borderId="25" xfId="0" applyFont="1" applyFill="1" applyBorder="1" applyAlignment="1" applyProtection="1">
      <alignment vertical="center"/>
    </xf>
    <xf numFmtId="0" fontId="22" fillId="8" borderId="26" xfId="0" applyFont="1" applyFill="1" applyBorder="1" applyAlignment="1" applyProtection="1">
      <alignment horizontal="center" vertical="center"/>
    </xf>
    <xf numFmtId="0" fontId="23" fillId="8" borderId="32" xfId="0" applyFont="1" applyFill="1" applyBorder="1" applyAlignment="1" applyProtection="1">
      <alignment vertical="center"/>
    </xf>
    <xf numFmtId="0" fontId="22" fillId="8" borderId="33" xfId="0" applyFont="1" applyFill="1" applyBorder="1" applyAlignment="1" applyProtection="1">
      <alignment horizontal="center" vertical="center"/>
    </xf>
    <xf numFmtId="0" fontId="23" fillId="8" borderId="27" xfId="0" applyFont="1" applyFill="1" applyBorder="1" applyAlignment="1" applyProtection="1">
      <alignment vertical="center"/>
    </xf>
    <xf numFmtId="0" fontId="23" fillId="10" borderId="0" xfId="0" applyFont="1" applyFill="1" applyAlignment="1" applyProtection="1">
      <alignment vertical="center"/>
    </xf>
    <xf numFmtId="0" fontId="22" fillId="10" borderId="0" xfId="0" applyFont="1" applyFill="1" applyAlignment="1" applyProtection="1">
      <alignment horizontal="center" vertical="center"/>
    </xf>
    <xf numFmtId="0" fontId="22" fillId="10" borderId="0" xfId="0" applyFont="1" applyFill="1" applyAlignment="1" applyProtection="1">
      <alignment vertical="center"/>
    </xf>
    <xf numFmtId="0" fontId="9" fillId="10" borderId="0" xfId="0" applyFont="1" applyFill="1" applyAlignment="1" applyProtection="1">
      <alignment vertical="center"/>
    </xf>
    <xf numFmtId="0" fontId="9" fillId="10" borderId="0" xfId="0" applyFont="1" applyFill="1" applyProtection="1"/>
    <xf numFmtId="0" fontId="14" fillId="9" borderId="6" xfId="0" applyFont="1" applyFill="1" applyBorder="1" applyProtection="1"/>
    <xf numFmtId="9" fontId="14" fillId="9" borderId="7" xfId="4" applyFont="1" applyFill="1" applyBorder="1" applyProtection="1"/>
    <xf numFmtId="0" fontId="14" fillId="9" borderId="8" xfId="0" applyFont="1" applyFill="1" applyBorder="1" applyProtection="1"/>
    <xf numFmtId="0" fontId="36" fillId="0" borderId="0" xfId="0" applyFont="1" applyProtection="1"/>
    <xf numFmtId="0" fontId="14" fillId="0" borderId="0" xfId="0" applyFont="1" applyProtection="1"/>
    <xf numFmtId="0" fontId="16" fillId="0" borderId="0" xfId="0" applyFont="1" applyProtection="1"/>
    <xf numFmtId="0" fontId="16" fillId="9" borderId="18" xfId="0" applyFont="1" applyFill="1" applyBorder="1" applyProtection="1"/>
    <xf numFmtId="0" fontId="14" fillId="9" borderId="3" xfId="0" applyFont="1" applyFill="1" applyBorder="1" applyProtection="1"/>
    <xf numFmtId="0" fontId="14" fillId="9" borderId="1" xfId="0" applyFont="1" applyFill="1" applyBorder="1" applyProtection="1"/>
    <xf numFmtId="168" fontId="14" fillId="9" borderId="2" xfId="0" applyNumberFormat="1" applyFont="1" applyFill="1" applyBorder="1" applyAlignment="1" applyProtection="1">
      <alignment horizontal="center"/>
    </xf>
    <xf numFmtId="0" fontId="14" fillId="9" borderId="4" xfId="0" applyFont="1" applyFill="1" applyBorder="1" applyProtection="1"/>
    <xf numFmtId="174" fontId="14" fillId="9" borderId="0" xfId="0" applyNumberFormat="1" applyFont="1" applyFill="1" applyBorder="1" applyAlignment="1" applyProtection="1">
      <alignment horizontal="center"/>
    </xf>
    <xf numFmtId="0" fontId="14" fillId="9" borderId="5" xfId="0" applyFont="1" applyFill="1" applyBorder="1" applyProtection="1"/>
    <xf numFmtId="0" fontId="14" fillId="9" borderId="0" xfId="0" applyFont="1" applyFill="1" applyBorder="1" applyAlignment="1" applyProtection="1">
      <alignment horizontal="center"/>
    </xf>
    <xf numFmtId="174" fontId="14" fillId="9" borderId="7" xfId="0" applyNumberFormat="1" applyFont="1" applyFill="1" applyBorder="1" applyAlignment="1" applyProtection="1">
      <alignment horizontal="center"/>
    </xf>
    <xf numFmtId="0" fontId="17" fillId="0" borderId="0" xfId="0" applyFont="1" applyProtection="1"/>
    <xf numFmtId="0" fontId="35" fillId="0" borderId="0" xfId="0" applyFont="1" applyProtection="1"/>
    <xf numFmtId="0" fontId="16" fillId="9" borderId="12" xfId="0" applyFont="1" applyFill="1" applyBorder="1" applyProtection="1"/>
    <xf numFmtId="0" fontId="14" fillId="9" borderId="0" xfId="0" applyFont="1" applyFill="1" applyBorder="1" applyProtection="1"/>
    <xf numFmtId="1" fontId="14" fillId="9" borderId="0" xfId="0" applyNumberFormat="1" applyFont="1" applyFill="1" applyBorder="1" applyProtection="1"/>
    <xf numFmtId="2" fontId="14" fillId="9" borderId="0" xfId="0" applyNumberFormat="1" applyFont="1" applyFill="1" applyBorder="1" applyProtection="1"/>
    <xf numFmtId="0" fontId="14" fillId="9" borderId="7" xfId="0" applyFont="1" applyFill="1" applyBorder="1" applyProtection="1"/>
    <xf numFmtId="0" fontId="16" fillId="0" borderId="0" xfId="0" applyFont="1" applyFill="1" applyBorder="1" applyAlignment="1" applyProtection="1">
      <alignment wrapText="1"/>
    </xf>
    <xf numFmtId="0" fontId="0" fillId="0" borderId="0" xfId="0" applyBorder="1" applyAlignment="1" applyProtection="1">
      <alignment wrapText="1"/>
    </xf>
    <xf numFmtId="0" fontId="14" fillId="0" borderId="0" xfId="0" applyFont="1" applyFill="1" applyBorder="1" applyProtection="1"/>
    <xf numFmtId="0" fontId="14" fillId="0" borderId="0" xfId="0" applyFont="1" applyAlignment="1" applyProtection="1"/>
    <xf numFmtId="0" fontId="14" fillId="0" borderId="0" xfId="0" applyFont="1" applyAlignment="1" applyProtection="1">
      <alignment horizontal="left"/>
    </xf>
    <xf numFmtId="0" fontId="14" fillId="9" borderId="18" xfId="0" applyFont="1" applyFill="1" applyBorder="1" applyProtection="1"/>
    <xf numFmtId="9" fontId="14" fillId="9" borderId="2" xfId="0" applyNumberFormat="1" applyFont="1" applyFill="1" applyBorder="1" applyProtection="1"/>
    <xf numFmtId="0" fontId="14" fillId="9" borderId="2" xfId="0" applyFont="1" applyFill="1" applyBorder="1" applyProtection="1"/>
    <xf numFmtId="0" fontId="9" fillId="9" borderId="2" xfId="0" applyFont="1" applyFill="1" applyBorder="1" applyProtection="1"/>
    <xf numFmtId="0" fontId="9" fillId="9" borderId="3" xfId="0" applyFont="1" applyFill="1" applyBorder="1" applyProtection="1"/>
    <xf numFmtId="0" fontId="14" fillId="9" borderId="13" xfId="0" applyFont="1" applyFill="1" applyBorder="1" applyProtection="1"/>
    <xf numFmtId="9" fontId="14" fillId="9" borderId="0" xfId="0" applyNumberFormat="1" applyFont="1" applyFill="1" applyProtection="1"/>
    <xf numFmtId="0" fontId="14" fillId="9" borderId="0" xfId="0" applyFont="1" applyFill="1" applyProtection="1"/>
    <xf numFmtId="0" fontId="9" fillId="9" borderId="0" xfId="0" applyFont="1" applyFill="1" applyProtection="1"/>
    <xf numFmtId="0" fontId="9" fillId="9" borderId="5" xfId="0" applyFont="1" applyFill="1" applyBorder="1" applyProtection="1"/>
    <xf numFmtId="0" fontId="16" fillId="9" borderId="13" xfId="0" applyFont="1" applyFill="1" applyBorder="1" applyProtection="1"/>
    <xf numFmtId="0" fontId="20" fillId="9" borderId="5" xfId="0" applyFont="1" applyFill="1" applyBorder="1" applyProtection="1"/>
    <xf numFmtId="43" fontId="14" fillId="9" borderId="0" xfId="3" applyFont="1" applyFill="1" applyProtection="1"/>
    <xf numFmtId="43" fontId="35" fillId="9" borderId="0" xfId="0" applyNumberFormat="1" applyFont="1" applyFill="1" applyProtection="1"/>
    <xf numFmtId="0" fontId="39" fillId="9" borderId="0" xfId="0" applyFont="1" applyFill="1" applyProtection="1"/>
    <xf numFmtId="0" fontId="14" fillId="9" borderId="17" xfId="0" applyFont="1" applyFill="1" applyBorder="1" applyProtection="1"/>
    <xf numFmtId="0" fontId="9" fillId="9" borderId="7" xfId="0" applyFont="1" applyFill="1" applyBorder="1" applyProtection="1"/>
    <xf numFmtId="0" fontId="9" fillId="9" borderId="8" xfId="0" applyFont="1" applyFill="1" applyBorder="1" applyProtection="1"/>
    <xf numFmtId="43" fontId="21" fillId="0" borderId="0" xfId="0" applyNumberFormat="1" applyFont="1" applyProtection="1"/>
    <xf numFmtId="9" fontId="14" fillId="0" borderId="0" xfId="0" applyNumberFormat="1" applyFont="1" applyProtection="1"/>
    <xf numFmtId="0" fontId="20" fillId="0" borderId="0" xfId="0" applyFont="1" applyProtection="1"/>
    <xf numFmtId="0" fontId="9" fillId="9" borderId="10" xfId="0" applyFont="1" applyFill="1" applyBorder="1" applyProtection="1"/>
    <xf numFmtId="0" fontId="9" fillId="9" borderId="11" xfId="0" applyFont="1" applyFill="1" applyBorder="1" applyProtection="1"/>
    <xf numFmtId="0" fontId="21" fillId="0" borderId="0" xfId="0" applyFont="1" applyAlignment="1" applyProtection="1">
      <alignment wrapText="1"/>
    </xf>
    <xf numFmtId="0" fontId="9" fillId="0" borderId="0" xfId="0" applyFont="1" applyAlignment="1" applyProtection="1">
      <alignment wrapText="1"/>
    </xf>
    <xf numFmtId="0" fontId="40" fillId="0" borderId="0" xfId="0" applyFont="1" applyProtection="1"/>
    <xf numFmtId="9" fontId="9" fillId="0" borderId="0" xfId="0" applyNumberFormat="1" applyFont="1" applyProtection="1"/>
    <xf numFmtId="49" fontId="9" fillId="0" borderId="0" xfId="0" applyNumberFormat="1" applyFont="1" applyProtection="1"/>
    <xf numFmtId="0" fontId="22" fillId="10" borderId="24" xfId="0" applyFont="1" applyFill="1" applyBorder="1" applyAlignment="1" applyProtection="1">
      <alignment horizontal="center" vertical="center"/>
      <protection locked="0"/>
    </xf>
    <xf numFmtId="0" fontId="22" fillId="0" borderId="22" xfId="0" applyFont="1" applyBorder="1" applyAlignment="1" applyProtection="1">
      <alignment horizontal="center" vertical="center"/>
      <protection locked="0"/>
    </xf>
    <xf numFmtId="0" fontId="21" fillId="15" borderId="4" xfId="0" applyFont="1" applyFill="1" applyBorder="1" applyAlignment="1">
      <alignment vertical="center"/>
    </xf>
    <xf numFmtId="0" fontId="16" fillId="11" borderId="4" xfId="0" applyFont="1" applyFill="1" applyBorder="1" applyAlignment="1">
      <alignment vertical="center"/>
    </xf>
    <xf numFmtId="0" fontId="9" fillId="0" borderId="13" xfId="0" applyFont="1" applyBorder="1" applyAlignment="1">
      <alignment horizontal="center" vertical="center"/>
    </xf>
    <xf numFmtId="0" fontId="27" fillId="11" borderId="38" xfId="0" applyFont="1" applyFill="1" applyBorder="1" applyAlignment="1" applyProtection="1">
      <alignment horizontal="center" vertical="center"/>
    </xf>
    <xf numFmtId="0" fontId="27" fillId="11" borderId="39" xfId="0" applyFont="1" applyFill="1" applyBorder="1" applyAlignment="1" applyProtection="1">
      <alignment horizontal="center" vertical="center"/>
    </xf>
    <xf numFmtId="0" fontId="22" fillId="9" borderId="34" xfId="0" applyFont="1" applyFill="1" applyBorder="1" applyAlignment="1" applyProtection="1">
      <alignment horizontal="center" vertical="center"/>
    </xf>
    <xf numFmtId="0" fontId="12" fillId="13" borderId="18" xfId="0" applyFont="1" applyFill="1" applyBorder="1" applyAlignment="1">
      <alignment horizontal="center" vertical="center"/>
    </xf>
    <xf numFmtId="0" fontId="16" fillId="11" borderId="18" xfId="0" applyFont="1" applyFill="1" applyBorder="1" applyAlignment="1">
      <alignment horizontal="center"/>
    </xf>
    <xf numFmtId="0" fontId="0" fillId="0" borderId="0" xfId="0" applyBorder="1"/>
    <xf numFmtId="0" fontId="27" fillId="11" borderId="18" xfId="0" applyFont="1" applyFill="1" applyBorder="1" applyAlignment="1" applyProtection="1">
      <alignment horizontal="center" vertical="center"/>
    </xf>
    <xf numFmtId="0" fontId="27" fillId="11" borderId="13" xfId="0" applyFont="1" applyFill="1" applyBorder="1" applyAlignment="1" applyProtection="1">
      <alignment horizontal="center" vertical="center"/>
    </xf>
    <xf numFmtId="0" fontId="27" fillId="11" borderId="17" xfId="0" applyFont="1" applyFill="1" applyBorder="1" applyAlignment="1" applyProtection="1">
      <alignment horizontal="center" vertical="center"/>
    </xf>
    <xf numFmtId="0" fontId="16" fillId="0" borderId="71" xfId="0" applyFont="1" applyBorder="1" applyAlignment="1">
      <alignment horizontal="center" vertical="center"/>
    </xf>
    <xf numFmtId="0" fontId="16" fillId="0" borderId="70" xfId="0" applyFont="1" applyBorder="1" applyAlignment="1">
      <alignment horizontal="center" vertical="center"/>
    </xf>
    <xf numFmtId="0" fontId="5" fillId="2" borderId="1" xfId="0" applyFont="1" applyFill="1" applyBorder="1"/>
    <xf numFmtId="0" fontId="5" fillId="2" borderId="4" xfId="0" applyFont="1" applyFill="1" applyBorder="1"/>
    <xf numFmtId="0" fontId="43" fillId="2" borderId="4" xfId="0" applyFont="1" applyFill="1" applyBorder="1"/>
    <xf numFmtId="0" fontId="43" fillId="2" borderId="6" xfId="0" applyFont="1" applyFill="1" applyBorder="1"/>
    <xf numFmtId="0" fontId="43" fillId="0" borderId="0" xfId="0" applyFont="1"/>
    <xf numFmtId="177" fontId="18" fillId="11" borderId="8" xfId="1" applyNumberFormat="1" applyFont="1" applyFill="1" applyBorder="1"/>
    <xf numFmtId="0" fontId="9" fillId="0" borderId="9" xfId="0" applyFont="1" applyBorder="1"/>
    <xf numFmtId="9" fontId="14" fillId="0" borderId="0" xfId="4" applyFont="1" applyProtection="1"/>
    <xf numFmtId="0" fontId="9" fillId="0" borderId="0" xfId="0" applyFont="1" applyAlignment="1" applyProtection="1">
      <alignment horizontal="left"/>
    </xf>
    <xf numFmtId="0" fontId="44" fillId="0" borderId="0" xfId="5" applyFont="1"/>
    <xf numFmtId="0" fontId="45" fillId="0" borderId="0" xfId="2" applyFont="1" applyProtection="1"/>
    <xf numFmtId="0" fontId="46" fillId="0" borderId="0" xfId="0" applyFont="1" applyProtection="1"/>
    <xf numFmtId="0" fontId="22" fillId="0" borderId="16" xfId="0" applyFont="1" applyBorder="1" applyAlignment="1" applyProtection="1">
      <alignment horizontal="center" vertical="center"/>
      <protection locked="0"/>
    </xf>
    <xf numFmtId="0" fontId="22" fillId="0" borderId="76" xfId="0" applyFont="1" applyBorder="1" applyAlignment="1" applyProtection="1">
      <alignment horizontal="center" vertical="center"/>
      <protection locked="0"/>
    </xf>
    <xf numFmtId="0" fontId="22" fillId="9" borderId="4" xfId="0" applyFont="1" applyFill="1" applyBorder="1" applyAlignment="1" applyProtection="1">
      <alignment horizontal="center" vertical="center"/>
    </xf>
    <xf numFmtId="0" fontId="22" fillId="9" borderId="5" xfId="0" applyFont="1" applyFill="1" applyBorder="1" applyAlignment="1" applyProtection="1">
      <alignment horizontal="center" vertical="center"/>
    </xf>
    <xf numFmtId="0" fontId="22" fillId="9" borderId="6" xfId="0" applyFont="1" applyFill="1" applyBorder="1" applyAlignment="1" applyProtection="1">
      <alignment horizontal="center" vertical="center"/>
    </xf>
    <xf numFmtId="0" fontId="22" fillId="0" borderId="1" xfId="0" applyFont="1" applyBorder="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2" fillId="0" borderId="34" xfId="0" applyFont="1" applyBorder="1" applyAlignment="1" applyProtection="1">
      <alignment horizontal="center" vertical="center"/>
      <protection locked="0"/>
    </xf>
    <xf numFmtId="0" fontId="22" fillId="9" borderId="72" xfId="0" applyFont="1" applyFill="1" applyBorder="1" applyAlignment="1" applyProtection="1">
      <alignment horizontal="center" vertical="center"/>
    </xf>
    <xf numFmtId="0" fontId="22" fillId="9" borderId="77" xfId="0" applyFont="1" applyFill="1" applyBorder="1" applyAlignment="1" applyProtection="1">
      <alignment horizontal="center" vertical="center"/>
    </xf>
    <xf numFmtId="0" fontId="22" fillId="9" borderId="78" xfId="0" applyFont="1" applyFill="1" applyBorder="1" applyAlignment="1" applyProtection="1">
      <alignment horizontal="center" vertical="center"/>
    </xf>
    <xf numFmtId="0" fontId="43" fillId="2" borderId="81" xfId="0" applyFont="1" applyFill="1" applyBorder="1"/>
    <xf numFmtId="0" fontId="22" fillId="0" borderId="82" xfId="0" applyFont="1" applyBorder="1" applyAlignment="1" applyProtection="1">
      <alignment horizontal="center" vertical="center"/>
      <protection locked="0"/>
    </xf>
    <xf numFmtId="0" fontId="22" fillId="9" borderId="83" xfId="0" applyFont="1" applyFill="1" applyBorder="1" applyAlignment="1" applyProtection="1">
      <alignment horizontal="center" vertical="center"/>
    </xf>
    <xf numFmtId="0" fontId="22" fillId="0" borderId="85" xfId="0" applyFont="1" applyBorder="1" applyAlignment="1" applyProtection="1">
      <alignment horizontal="center" vertical="center"/>
      <protection locked="0"/>
    </xf>
    <xf numFmtId="0" fontId="22" fillId="9" borderId="86" xfId="0" applyFont="1" applyFill="1" applyBorder="1" applyAlignment="1" applyProtection="1">
      <alignment horizontal="center" vertical="center"/>
    </xf>
    <xf numFmtId="0" fontId="22" fillId="0" borderId="0" xfId="0" applyFont="1" applyBorder="1" applyAlignment="1" applyProtection="1">
      <alignment horizontal="center" vertical="center"/>
      <protection locked="0"/>
    </xf>
    <xf numFmtId="0" fontId="9" fillId="5" borderId="9" xfId="0" applyFont="1" applyFill="1" applyBorder="1"/>
    <xf numFmtId="170" fontId="14" fillId="9" borderId="0" xfId="3" applyNumberFormat="1" applyFont="1" applyFill="1" applyProtection="1"/>
    <xf numFmtId="0" fontId="27" fillId="11" borderId="7" xfId="0" applyFont="1" applyFill="1" applyBorder="1" applyAlignment="1" applyProtection="1">
      <alignment horizontal="center" vertical="center"/>
    </xf>
    <xf numFmtId="0" fontId="43" fillId="0" borderId="0" xfId="0" applyFont="1" applyBorder="1" applyAlignment="1">
      <alignment horizontal="center"/>
    </xf>
    <xf numFmtId="49" fontId="14" fillId="0" borderId="0" xfId="0" applyNumberFormat="1" applyFont="1" applyProtection="1"/>
    <xf numFmtId="0" fontId="14" fillId="9" borderId="10" xfId="0" applyFont="1" applyFill="1" applyBorder="1" applyAlignment="1" applyProtection="1">
      <alignment horizontal="center" wrapText="1"/>
    </xf>
    <xf numFmtId="0" fontId="22" fillId="0" borderId="124" xfId="0" applyFont="1" applyBorder="1" applyAlignment="1" applyProtection="1">
      <alignment horizontal="center" vertical="center"/>
      <protection locked="0"/>
    </xf>
    <xf numFmtId="0" fontId="22" fillId="0" borderId="77" xfId="0" applyFont="1" applyBorder="1" applyAlignment="1" applyProtection="1">
      <alignment horizontal="center" vertical="center"/>
      <protection locked="0"/>
    </xf>
    <xf numFmtId="0" fontId="22" fillId="0" borderId="125" xfId="0" applyFont="1" applyBorder="1" applyAlignment="1" applyProtection="1">
      <alignment horizontal="center" vertical="center"/>
      <protection locked="0"/>
    </xf>
    <xf numFmtId="0" fontId="22" fillId="0" borderId="78" xfId="0" applyFont="1" applyBorder="1" applyAlignment="1" applyProtection="1">
      <alignment horizontal="center" vertical="center"/>
      <protection locked="0"/>
    </xf>
    <xf numFmtId="0" fontId="22" fillId="0" borderId="4" xfId="0" applyFont="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0" fontId="22" fillId="0" borderId="72" xfId="0" applyFont="1" applyBorder="1" applyAlignment="1" applyProtection="1">
      <alignment horizontal="center" vertical="center"/>
      <protection locked="0"/>
    </xf>
    <xf numFmtId="0" fontId="0" fillId="10" borderId="0" xfId="0" applyFill="1" applyBorder="1"/>
    <xf numFmtId="0" fontId="27" fillId="11" borderId="6" xfId="0" applyFont="1" applyFill="1" applyBorder="1" applyAlignment="1" applyProtection="1">
      <alignment horizontal="left" vertical="center"/>
    </xf>
    <xf numFmtId="0" fontId="15" fillId="0" borderId="0" xfId="0" applyFont="1" applyProtection="1"/>
    <xf numFmtId="180" fontId="14" fillId="0" borderId="0" xfId="1" applyNumberFormat="1" applyFont="1" applyProtection="1"/>
    <xf numFmtId="0" fontId="53" fillId="0" borderId="0" xfId="0" applyFont="1" applyAlignment="1" applyProtection="1">
      <alignment horizontal="left"/>
    </xf>
    <xf numFmtId="164" fontId="9" fillId="0" borderId="0" xfId="0" applyNumberFormat="1" applyFont="1" applyProtection="1"/>
    <xf numFmtId="0" fontId="54" fillId="2" borderId="9" xfId="5" applyFont="1" applyFill="1" applyBorder="1"/>
    <xf numFmtId="0" fontId="54" fillId="2" borderId="10" xfId="5" applyFont="1" applyFill="1" applyBorder="1"/>
    <xf numFmtId="0" fontId="54" fillId="2" borderId="11" xfId="5" applyFont="1" applyFill="1" applyBorder="1"/>
    <xf numFmtId="0" fontId="55" fillId="8" borderId="25" xfId="0" applyFont="1" applyFill="1" applyBorder="1" applyAlignment="1" applyProtection="1">
      <alignment vertical="center"/>
    </xf>
    <xf numFmtId="9" fontId="22" fillId="10" borderId="128" xfId="4" applyFont="1" applyFill="1" applyBorder="1" applyAlignment="1" applyProtection="1">
      <alignment horizontal="center" vertical="center"/>
      <protection locked="0"/>
    </xf>
    <xf numFmtId="0" fontId="23" fillId="8" borderId="25" xfId="0" applyFont="1" applyFill="1" applyBorder="1" applyAlignment="1" applyProtection="1">
      <alignment horizontal="left" vertical="center"/>
    </xf>
    <xf numFmtId="9" fontId="9" fillId="0" borderId="0" xfId="0" applyNumberFormat="1" applyFont="1" applyAlignment="1" applyProtection="1">
      <alignment vertical="center"/>
    </xf>
    <xf numFmtId="172" fontId="9" fillId="0" borderId="43" xfId="1" applyNumberFormat="1" applyFont="1" applyBorder="1"/>
    <xf numFmtId="180" fontId="9" fillId="0" borderId="43" xfId="0" applyNumberFormat="1" applyFont="1" applyBorder="1"/>
    <xf numFmtId="164" fontId="9" fillId="0" borderId="43" xfId="1" applyFont="1" applyBorder="1"/>
    <xf numFmtId="180" fontId="15" fillId="0" borderId="43" xfId="1" applyNumberFormat="1" applyFont="1" applyBorder="1"/>
    <xf numFmtId="0" fontId="9" fillId="0" borderId="0" xfId="0" applyFont="1" applyBorder="1" applyAlignment="1">
      <alignment horizontal="center" vertical="center"/>
    </xf>
    <xf numFmtId="0" fontId="15" fillId="0" borderId="0" xfId="0" applyFont="1" applyBorder="1" applyAlignment="1">
      <alignment horizontal="center"/>
    </xf>
    <xf numFmtId="172" fontId="15" fillId="0" borderId="0" xfId="0" applyNumberFormat="1" applyFont="1" applyBorder="1"/>
    <xf numFmtId="0" fontId="16" fillId="9" borderId="130" xfId="0" applyFont="1" applyFill="1" applyBorder="1" applyAlignment="1">
      <alignment horizontal="left" vertical="center"/>
    </xf>
    <xf numFmtId="0" fontId="9" fillId="0" borderId="40" xfId="0" applyFont="1" applyFill="1" applyBorder="1"/>
    <xf numFmtId="172" fontId="15" fillId="0" borderId="43" xfId="0" applyNumberFormat="1" applyFont="1" applyBorder="1"/>
    <xf numFmtId="172" fontId="15" fillId="0" borderId="131" xfId="0" applyNumberFormat="1" applyFont="1" applyBorder="1"/>
    <xf numFmtId="180" fontId="15" fillId="0" borderId="131" xfId="1" applyNumberFormat="1" applyFont="1" applyBorder="1"/>
    <xf numFmtId="180" fontId="9" fillId="0" borderId="0" xfId="1" applyNumberFormat="1" applyFont="1" applyBorder="1"/>
    <xf numFmtId="180" fontId="9" fillId="0" borderId="132" xfId="1" applyNumberFormat="1" applyFont="1" applyBorder="1"/>
    <xf numFmtId="9" fontId="15" fillId="0" borderId="43" xfId="4" applyFont="1" applyBorder="1"/>
    <xf numFmtId="0" fontId="9" fillId="9" borderId="133" xfId="0" applyFont="1" applyFill="1" applyBorder="1" applyAlignment="1">
      <alignment vertical="center"/>
    </xf>
    <xf numFmtId="180" fontId="9" fillId="0" borderId="5" xfId="0" applyNumberFormat="1" applyFont="1" applyBorder="1"/>
    <xf numFmtId="0" fontId="15" fillId="9" borderId="134" xfId="0" applyFont="1" applyFill="1" applyBorder="1" applyAlignment="1">
      <alignment vertical="center"/>
    </xf>
    <xf numFmtId="172" fontId="15" fillId="0" borderId="135" xfId="0" applyNumberFormat="1" applyFont="1" applyBorder="1"/>
    <xf numFmtId="0" fontId="15" fillId="9" borderId="133" xfId="0" applyFont="1" applyFill="1" applyBorder="1" applyAlignment="1">
      <alignment vertical="center"/>
    </xf>
    <xf numFmtId="0" fontId="57" fillId="9" borderId="133" xfId="0" applyFont="1" applyFill="1" applyBorder="1" applyAlignment="1">
      <alignment vertical="center"/>
    </xf>
    <xf numFmtId="180" fontId="15" fillId="0" borderId="5" xfId="1" applyNumberFormat="1" applyFont="1" applyBorder="1"/>
    <xf numFmtId="180" fontId="9" fillId="0" borderId="136" xfId="1" applyNumberFormat="1" applyFont="1" applyBorder="1"/>
    <xf numFmtId="180" fontId="15" fillId="0" borderId="135" xfId="1" applyNumberFormat="1" applyFont="1" applyBorder="1"/>
    <xf numFmtId="0" fontId="15" fillId="9" borderId="137" xfId="0" applyFont="1" applyFill="1" applyBorder="1" applyAlignment="1">
      <alignment vertical="center"/>
    </xf>
    <xf numFmtId="180" fontId="15" fillId="0" borderId="127" xfId="1" applyNumberFormat="1" applyFont="1" applyBorder="1"/>
    <xf numFmtId="180" fontId="15" fillId="0" borderId="8" xfId="1" applyNumberFormat="1" applyFont="1" applyBorder="1"/>
    <xf numFmtId="170" fontId="58" fillId="0" borderId="0" xfId="3" applyNumberFormat="1" applyFont="1"/>
    <xf numFmtId="0" fontId="15" fillId="9" borderId="6" xfId="0" applyFont="1" applyFill="1" applyBorder="1"/>
    <xf numFmtId="170" fontId="15" fillId="0" borderId="6" xfId="3" applyNumberFormat="1" applyFont="1" applyBorder="1"/>
    <xf numFmtId="170" fontId="15" fillId="0" borderId="0" xfId="3" applyNumberFormat="1" applyFont="1"/>
    <xf numFmtId="179" fontId="15" fillId="0" borderId="8" xfId="3" applyNumberFormat="1" applyFont="1" applyBorder="1"/>
    <xf numFmtId="0" fontId="15" fillId="9" borderId="4" xfId="0" applyFont="1" applyFill="1" applyBorder="1"/>
    <xf numFmtId="184" fontId="58" fillId="0" borderId="0" xfId="1" applyNumberFormat="1" applyFont="1"/>
    <xf numFmtId="184" fontId="15" fillId="0" borderId="6" xfId="1" applyNumberFormat="1" applyFont="1" applyBorder="1"/>
    <xf numFmtId="167" fontId="15" fillId="0" borderId="8" xfId="1" applyNumberFormat="1" applyFont="1" applyBorder="1"/>
    <xf numFmtId="184" fontId="15" fillId="0" borderId="0" xfId="1" applyNumberFormat="1" applyFont="1"/>
    <xf numFmtId="0" fontId="16" fillId="11" borderId="138" xfId="0" applyFont="1" applyFill="1" applyBorder="1" applyAlignment="1">
      <alignment horizontal="left" vertical="center"/>
    </xf>
    <xf numFmtId="0" fontId="16" fillId="11" borderId="139" xfId="0" applyFont="1" applyFill="1" applyBorder="1" applyAlignment="1">
      <alignment horizontal="center"/>
    </xf>
    <xf numFmtId="177" fontId="16" fillId="0" borderId="8" xfId="1" applyNumberFormat="1" applyFont="1" applyBorder="1"/>
    <xf numFmtId="180" fontId="15" fillId="0" borderId="4" xfId="1" applyNumberFormat="1" applyFont="1" applyBorder="1"/>
    <xf numFmtId="0" fontId="15" fillId="0" borderId="1" xfId="0" applyFont="1" applyBorder="1" applyAlignment="1">
      <alignment horizontal="center"/>
    </xf>
    <xf numFmtId="175" fontId="9" fillId="0" borderId="5" xfId="1" applyNumberFormat="1" applyFont="1" applyBorder="1"/>
    <xf numFmtId="175" fontId="9" fillId="0" borderId="5" xfId="0" applyNumberFormat="1" applyFont="1" applyBorder="1"/>
    <xf numFmtId="175" fontId="15" fillId="0" borderId="135" xfId="0" applyNumberFormat="1" applyFont="1" applyBorder="1"/>
    <xf numFmtId="175" fontId="15" fillId="0" borderId="5" xfId="0" applyNumberFormat="1" applyFont="1" applyBorder="1"/>
    <xf numFmtId="9" fontId="15" fillId="0" borderId="5" xfId="4" applyFont="1" applyBorder="1"/>
    <xf numFmtId="175" fontId="9" fillId="0" borderId="4" xfId="0" applyNumberFormat="1" applyFont="1" applyBorder="1"/>
    <xf numFmtId="164" fontId="14" fillId="0" borderId="4" xfId="0" applyNumberFormat="1" applyFont="1" applyBorder="1"/>
    <xf numFmtId="164" fontId="14" fillId="0" borderId="5" xfId="0" applyNumberFormat="1" applyFont="1" applyBorder="1"/>
    <xf numFmtId="172" fontId="15" fillId="0" borderId="4" xfId="0" applyNumberFormat="1" applyFont="1" applyBorder="1"/>
    <xf numFmtId="172" fontId="15" fillId="0" borderId="8" xfId="0" applyNumberFormat="1" applyFont="1" applyBorder="1"/>
    <xf numFmtId="172" fontId="15" fillId="0" borderId="6" xfId="0" applyNumberFormat="1" applyFont="1" applyBorder="1"/>
    <xf numFmtId="172" fontId="9" fillId="0" borderId="1" xfId="0" applyNumberFormat="1" applyFont="1" applyBorder="1"/>
    <xf numFmtId="172" fontId="9" fillId="0" borderId="3" xfId="0" applyNumberFormat="1" applyFont="1" applyBorder="1"/>
    <xf numFmtId="175" fontId="15" fillId="0" borderId="4" xfId="0" applyNumberFormat="1" applyFont="1" applyBorder="1"/>
    <xf numFmtId="175" fontId="15" fillId="0" borderId="6" xfId="0" applyNumberFormat="1" applyFont="1" applyBorder="1"/>
    <xf numFmtId="175" fontId="15" fillId="0" borderId="8" xfId="0" applyNumberFormat="1" applyFont="1" applyBorder="1"/>
    <xf numFmtId="172" fontId="15" fillId="0" borderId="140" xfId="0" applyNumberFormat="1" applyFont="1" applyBorder="1"/>
    <xf numFmtId="172" fontId="15" fillId="0" borderId="141" xfId="0" applyNumberFormat="1" applyFont="1" applyBorder="1"/>
    <xf numFmtId="175" fontId="15" fillId="0" borderId="141" xfId="0" applyNumberFormat="1" applyFont="1" applyBorder="1"/>
    <xf numFmtId="175" fontId="15" fillId="0" borderId="140" xfId="0" applyNumberFormat="1" applyFont="1" applyBorder="1"/>
    <xf numFmtId="0" fontId="0" fillId="10" borderId="22" xfId="0" applyFill="1" applyBorder="1"/>
    <xf numFmtId="0" fontId="0" fillId="10" borderId="16" xfId="0" applyFill="1" applyBorder="1"/>
    <xf numFmtId="0" fontId="0" fillId="10" borderId="144" xfId="0" applyFill="1" applyBorder="1"/>
    <xf numFmtId="0" fontId="0" fillId="10" borderId="145" xfId="0" applyFill="1" applyBorder="1"/>
    <xf numFmtId="0" fontId="0" fillId="10" borderId="146" xfId="0" applyFill="1" applyBorder="1"/>
    <xf numFmtId="0" fontId="0" fillId="0" borderId="145" xfId="0" applyBorder="1"/>
    <xf numFmtId="189" fontId="15" fillId="0" borderId="8" xfId="1" applyNumberFormat="1" applyFont="1" applyBorder="1"/>
    <xf numFmtId="0" fontId="16" fillId="11" borderId="18" xfId="0" applyFont="1" applyFill="1" applyBorder="1" applyAlignment="1">
      <alignment vertical="center"/>
    </xf>
    <xf numFmtId="0" fontId="57" fillId="9" borderId="13" xfId="0" applyFont="1" applyFill="1" applyBorder="1" applyAlignment="1">
      <alignment vertical="center"/>
    </xf>
    <xf numFmtId="0" fontId="9" fillId="9" borderId="13" xfId="0" applyFont="1" applyFill="1" applyBorder="1" applyAlignment="1">
      <alignment vertical="center"/>
    </xf>
    <xf numFmtId="0" fontId="15" fillId="9" borderId="150" xfId="0" applyFont="1" applyFill="1" applyBorder="1" applyAlignment="1">
      <alignment vertical="center"/>
    </xf>
    <xf numFmtId="0" fontId="15" fillId="9" borderId="13" xfId="0" applyFont="1" applyFill="1" applyBorder="1" applyAlignment="1">
      <alignment vertical="center"/>
    </xf>
    <xf numFmtId="0" fontId="15" fillId="9" borderId="17" xfId="0" applyFont="1" applyFill="1" applyBorder="1" applyAlignment="1">
      <alignment vertical="center"/>
    </xf>
    <xf numFmtId="172" fontId="9" fillId="0" borderId="6" xfId="1" applyNumberFormat="1" applyFont="1" applyBorder="1"/>
    <xf numFmtId="172" fontId="15" fillId="0" borderId="8" xfId="1" applyNumberFormat="1" applyFont="1" applyBorder="1"/>
    <xf numFmtId="178" fontId="15" fillId="0" borderId="4" xfId="3" applyNumberFormat="1" applyFont="1" applyBorder="1"/>
    <xf numFmtId="178" fontId="15" fillId="0" borderId="5" xfId="3" applyNumberFormat="1" applyFont="1" applyBorder="1"/>
    <xf numFmtId="190" fontId="16" fillId="0" borderId="4" xfId="3" applyNumberFormat="1" applyFont="1" applyBorder="1"/>
    <xf numFmtId="190" fontId="16" fillId="0" borderId="5" xfId="3" applyNumberFormat="1" applyFont="1" applyBorder="1"/>
    <xf numFmtId="168" fontId="15" fillId="0" borderId="8" xfId="3" applyNumberFormat="1" applyFont="1" applyBorder="1"/>
    <xf numFmtId="181" fontId="15" fillId="0" borderId="6" xfId="1" applyNumberFormat="1" applyFont="1" applyBorder="1"/>
    <xf numFmtId="181" fontId="15" fillId="0" borderId="8" xfId="1" applyNumberFormat="1" applyFont="1" applyBorder="1"/>
    <xf numFmtId="0" fontId="9" fillId="10" borderId="22" xfId="0" applyFont="1" applyFill="1" applyBorder="1"/>
    <xf numFmtId="0" fontId="9" fillId="10" borderId="0" xfId="0" applyFont="1" applyFill="1" applyBorder="1"/>
    <xf numFmtId="0" fontId="9" fillId="10" borderId="16" xfId="0" applyFont="1" applyFill="1" applyBorder="1"/>
    <xf numFmtId="0" fontId="15" fillId="10" borderId="0" xfId="0" applyFont="1" applyFill="1" applyBorder="1"/>
    <xf numFmtId="0" fontId="15" fillId="10" borderId="16" xfId="0" applyFont="1" applyFill="1" applyBorder="1"/>
    <xf numFmtId="0" fontId="9" fillId="0" borderId="22" xfId="0" applyFont="1" applyBorder="1"/>
    <xf numFmtId="172" fontId="15" fillId="0" borderId="43" xfId="4" applyNumberFormat="1" applyFont="1" applyBorder="1"/>
    <xf numFmtId="172" fontId="15" fillId="0" borderId="5" xfId="4" applyNumberFormat="1" applyFont="1" applyBorder="1"/>
    <xf numFmtId="9" fontId="9" fillId="0" borderId="0" xfId="4" applyFont="1"/>
    <xf numFmtId="170" fontId="14" fillId="0" borderId="0" xfId="3" applyNumberFormat="1" applyFont="1" applyProtection="1"/>
    <xf numFmtId="170" fontId="9" fillId="0" borderId="0" xfId="3" applyNumberFormat="1" applyFont="1" applyProtection="1"/>
    <xf numFmtId="9" fontId="9" fillId="0" borderId="0" xfId="4" applyFont="1" applyProtection="1"/>
    <xf numFmtId="0" fontId="0" fillId="10" borderId="0" xfId="0" applyFill="1" applyAlignment="1">
      <alignment vertical="center"/>
    </xf>
    <xf numFmtId="0" fontId="28" fillId="12" borderId="12" xfId="0" applyFont="1" applyFill="1" applyBorder="1" applyAlignment="1" applyProtection="1">
      <alignment horizontal="center" vertical="center"/>
    </xf>
    <xf numFmtId="0" fontId="52" fillId="36" borderId="12" xfId="0" applyFont="1" applyFill="1" applyBorder="1" applyAlignment="1" applyProtection="1">
      <alignment horizontal="center" vertical="center" wrapText="1"/>
    </xf>
    <xf numFmtId="0" fontId="14" fillId="36" borderId="12" xfId="0" applyFont="1" applyFill="1" applyBorder="1" applyAlignment="1" applyProtection="1">
      <alignment horizontal="center" vertical="center"/>
    </xf>
    <xf numFmtId="0" fontId="27" fillId="36" borderId="39" xfId="0" applyFont="1" applyFill="1" applyBorder="1" applyAlignment="1" applyProtection="1">
      <alignment horizontal="center" vertical="center"/>
    </xf>
    <xf numFmtId="0" fontId="27" fillId="36" borderId="126" xfId="0" applyFont="1" applyFill="1" applyBorder="1" applyAlignment="1" applyProtection="1">
      <alignment horizontal="center" vertical="center"/>
    </xf>
    <xf numFmtId="169" fontId="14" fillId="9" borderId="4" xfId="0" applyNumberFormat="1" applyFont="1" applyFill="1" applyBorder="1" applyProtection="1"/>
    <xf numFmtId="169" fontId="14" fillId="9" borderId="0" xfId="0" applyNumberFormat="1" applyFont="1" applyFill="1" applyBorder="1" applyProtection="1"/>
    <xf numFmtId="169" fontId="14" fillId="9" borderId="1" xfId="0" applyNumberFormat="1" applyFont="1" applyFill="1" applyBorder="1" applyProtection="1"/>
    <xf numFmtId="169" fontId="14" fillId="9" borderId="2" xfId="0" applyNumberFormat="1" applyFont="1" applyFill="1" applyBorder="1" applyProtection="1"/>
    <xf numFmtId="169" fontId="14" fillId="9" borderId="6" xfId="0" applyNumberFormat="1" applyFont="1" applyFill="1" applyBorder="1" applyProtection="1"/>
    <xf numFmtId="169" fontId="14" fillId="9" borderId="7" xfId="0" applyNumberFormat="1" applyFont="1" applyFill="1" applyBorder="1" applyProtection="1"/>
    <xf numFmtId="0" fontId="9" fillId="9" borderId="0" xfId="0" applyFont="1" applyFill="1" applyBorder="1" applyProtection="1"/>
    <xf numFmtId="175" fontId="14" fillId="37" borderId="4" xfId="1" applyNumberFormat="1" applyFont="1" applyFill="1" applyBorder="1" applyProtection="1"/>
    <xf numFmtId="175" fontId="14" fillId="37" borderId="6" xfId="1" applyNumberFormat="1" applyFont="1" applyFill="1" applyBorder="1" applyProtection="1"/>
    <xf numFmtId="10" fontId="9" fillId="0" borderId="0" xfId="4" applyNumberFormat="1" applyFont="1" applyBorder="1" applyAlignment="1">
      <alignment horizontal="center" vertical="center"/>
    </xf>
    <xf numFmtId="10" fontId="9" fillId="0" borderId="0" xfId="0" applyNumberFormat="1" applyFont="1" applyBorder="1" applyAlignment="1">
      <alignment horizontal="center" vertical="center"/>
    </xf>
    <xf numFmtId="10" fontId="9" fillId="0" borderId="0" xfId="0" applyNumberFormat="1" applyFont="1" applyAlignment="1">
      <alignment vertical="center"/>
    </xf>
    <xf numFmtId="190" fontId="15" fillId="0" borderId="4" xfId="3" applyNumberFormat="1" applyFont="1" applyBorder="1"/>
    <xf numFmtId="189" fontId="16" fillId="0" borderId="4" xfId="1" applyNumberFormat="1" applyFont="1" applyBorder="1"/>
    <xf numFmtId="189" fontId="16" fillId="0" borderId="5" xfId="1" applyNumberFormat="1" applyFont="1" applyBorder="1"/>
    <xf numFmtId="194" fontId="18" fillId="11" borderId="5" xfId="1" applyNumberFormat="1" applyFont="1" applyFill="1" applyBorder="1"/>
    <xf numFmtId="194" fontId="18" fillId="11" borderId="8" xfId="1" applyNumberFormat="1" applyFont="1" applyFill="1" applyBorder="1"/>
    <xf numFmtId="0" fontId="14" fillId="0" borderId="0" xfId="0" applyFont="1" applyAlignment="1" applyProtection="1">
      <alignment horizontal="left" indent="1"/>
    </xf>
    <xf numFmtId="0" fontId="3" fillId="0" borderId="0" xfId="2" applyProtection="1"/>
    <xf numFmtId="0" fontId="59" fillId="0" borderId="0" xfId="0" applyFont="1" applyBorder="1" applyAlignment="1">
      <alignment horizontal="center" vertical="center"/>
    </xf>
    <xf numFmtId="0" fontId="5" fillId="2" borderId="18" xfId="0" applyFont="1" applyFill="1" applyBorder="1"/>
    <xf numFmtId="0" fontId="5" fillId="2" borderId="13" xfId="0" applyFont="1" applyFill="1" applyBorder="1"/>
    <xf numFmtId="0" fontId="43" fillId="2" borderId="13" xfId="0" applyFont="1" applyFill="1" applyBorder="1"/>
    <xf numFmtId="0" fontId="43" fillId="2" borderId="154" xfId="0" applyFont="1" applyFill="1" applyBorder="1"/>
    <xf numFmtId="0" fontId="43" fillId="2" borderId="17" xfId="0" applyFont="1" applyFill="1" applyBorder="1"/>
    <xf numFmtId="0" fontId="0" fillId="0" borderId="0" xfId="0" applyAlignment="1">
      <alignment vertical="center"/>
    </xf>
    <xf numFmtId="49" fontId="63" fillId="0" borderId="6" xfId="0" applyNumberFormat="1" applyFont="1" applyBorder="1" applyAlignment="1">
      <alignment horizontal="right" vertical="center"/>
    </xf>
    <xf numFmtId="0" fontId="65" fillId="0" borderId="0" xfId="0" applyFont="1" applyBorder="1"/>
    <xf numFmtId="0" fontId="35" fillId="0" borderId="0" xfId="0" applyFont="1" applyAlignment="1" applyProtection="1">
      <alignment wrapText="1"/>
    </xf>
    <xf numFmtId="0" fontId="14" fillId="0" borderId="0" xfId="0" applyFont="1" applyAlignment="1" applyProtection="1">
      <alignment wrapText="1"/>
    </xf>
    <xf numFmtId="0" fontId="9" fillId="9" borderId="0" xfId="0" applyFont="1" applyFill="1" applyBorder="1" applyAlignment="1" applyProtection="1">
      <alignment horizontal="center" vertical="center" wrapText="1"/>
    </xf>
    <xf numFmtId="0" fontId="22" fillId="9" borderId="174" xfId="0" applyFont="1" applyFill="1" applyBorder="1" applyAlignment="1" applyProtection="1">
      <alignment horizontal="center" vertical="center" wrapText="1"/>
    </xf>
    <xf numFmtId="0" fontId="24" fillId="9" borderId="58" xfId="0" applyFont="1" applyFill="1" applyBorder="1" applyAlignment="1" applyProtection="1">
      <alignment horizontal="center" vertical="center" wrapText="1"/>
    </xf>
    <xf numFmtId="0" fontId="24" fillId="9" borderId="175" xfId="0" applyFont="1" applyFill="1" applyBorder="1" applyAlignment="1" applyProtection="1">
      <alignment horizontal="center" vertical="center" wrapText="1"/>
    </xf>
    <xf numFmtId="0" fontId="27" fillId="11" borderId="11" xfId="0" applyFont="1" applyFill="1" applyBorder="1" applyAlignment="1" applyProtection="1">
      <alignment horizontal="center" vertical="center"/>
    </xf>
    <xf numFmtId="0" fontId="27" fillId="36" borderId="11" xfId="0" applyFont="1" applyFill="1" applyBorder="1" applyAlignment="1" applyProtection="1">
      <alignment horizontal="center" vertical="center"/>
    </xf>
    <xf numFmtId="0" fontId="27" fillId="36" borderId="44" xfId="0" applyFont="1" applyFill="1" applyBorder="1" applyAlignment="1" applyProtection="1">
      <alignment horizontal="center" vertical="center"/>
    </xf>
    <xf numFmtId="0" fontId="22" fillId="0" borderId="176" xfId="0" applyFont="1" applyBorder="1" applyAlignment="1" applyProtection="1">
      <alignment horizontal="center" vertical="center"/>
      <protection locked="0"/>
    </xf>
    <xf numFmtId="0" fontId="22" fillId="0" borderId="177" xfId="0" applyFont="1" applyBorder="1" applyAlignment="1" applyProtection="1">
      <alignment horizontal="center" vertical="center"/>
      <protection locked="0"/>
    </xf>
    <xf numFmtId="0" fontId="25" fillId="9" borderId="2" xfId="0" applyFont="1" applyFill="1" applyBorder="1" applyAlignment="1" applyProtection="1">
      <alignment horizontal="left" vertical="center"/>
    </xf>
    <xf numFmtId="0" fontId="25" fillId="9" borderId="3" xfId="0" applyFont="1" applyFill="1" applyBorder="1" applyAlignment="1" applyProtection="1">
      <alignment horizontal="left" vertical="center"/>
    </xf>
    <xf numFmtId="0" fontId="16" fillId="9" borderId="1" xfId="0" applyFont="1" applyFill="1" applyBorder="1" applyProtection="1"/>
    <xf numFmtId="9" fontId="14" fillId="9" borderId="0" xfId="4" applyFont="1" applyFill="1" applyBorder="1" applyProtection="1"/>
    <xf numFmtId="0" fontId="16" fillId="9" borderId="4" xfId="0" applyFont="1" applyFill="1" applyBorder="1" applyProtection="1"/>
    <xf numFmtId="0" fontId="9" fillId="0" borderId="0" xfId="0" applyFont="1" applyAlignment="1" applyProtection="1"/>
    <xf numFmtId="0" fontId="14" fillId="0" borderId="0" xfId="0" applyFont="1" applyAlignment="1" applyProtection="1">
      <alignment vertical="top" wrapText="1"/>
    </xf>
    <xf numFmtId="49" fontId="14" fillId="0" borderId="0" xfId="0" applyNumberFormat="1" applyFont="1" applyAlignment="1" applyProtection="1">
      <alignment vertical="top" wrapText="1"/>
    </xf>
    <xf numFmtId="0" fontId="16" fillId="5" borderId="9" xfId="0" applyFont="1" applyFill="1" applyBorder="1" applyAlignment="1" applyProtection="1"/>
    <xf numFmtId="0" fontId="16" fillId="5" borderId="10" xfId="0" applyFont="1" applyFill="1" applyBorder="1" applyAlignment="1" applyProtection="1"/>
    <xf numFmtId="0" fontId="16" fillId="5" borderId="11" xfId="0" applyFont="1" applyFill="1" applyBorder="1" applyAlignment="1" applyProtection="1"/>
    <xf numFmtId="0" fontId="25" fillId="12" borderId="9" xfId="0" applyFont="1" applyFill="1" applyBorder="1" applyAlignment="1" applyProtection="1">
      <alignment vertical="center"/>
    </xf>
    <xf numFmtId="0" fontId="25" fillId="12" borderId="10" xfId="0" applyFont="1" applyFill="1" applyBorder="1" applyAlignment="1" applyProtection="1">
      <alignment vertical="center"/>
    </xf>
    <xf numFmtId="0" fontId="25" fillId="12" borderId="11" xfId="0" applyFont="1" applyFill="1" applyBorder="1" applyAlignment="1" applyProtection="1">
      <alignment vertical="center"/>
    </xf>
    <xf numFmtId="0" fontId="14" fillId="9" borderId="9" xfId="0" applyFont="1" applyFill="1" applyBorder="1" applyAlignment="1" applyProtection="1"/>
    <xf numFmtId="0" fontId="14" fillId="9" borderId="10" xfId="0" applyFont="1" applyFill="1" applyBorder="1" applyAlignment="1" applyProtection="1"/>
    <xf numFmtId="0" fontId="16" fillId="9" borderId="9" xfId="0" applyFont="1" applyFill="1" applyBorder="1" applyAlignment="1" applyProtection="1"/>
    <xf numFmtId="0" fontId="16" fillId="9" borderId="10" xfId="0" applyFont="1" applyFill="1" applyBorder="1" applyAlignment="1" applyProtection="1"/>
    <xf numFmtId="0" fontId="16" fillId="9" borderId="11" xfId="0" applyFont="1" applyFill="1" applyBorder="1" applyAlignment="1" applyProtection="1"/>
    <xf numFmtId="0" fontId="25" fillId="12" borderId="1" xfId="0" applyFont="1" applyFill="1" applyBorder="1" applyAlignment="1" applyProtection="1">
      <alignment vertical="center"/>
    </xf>
    <xf numFmtId="0" fontId="25" fillId="12" borderId="2" xfId="0" applyFont="1" applyFill="1" applyBorder="1" applyAlignment="1" applyProtection="1">
      <alignment vertical="center"/>
    </xf>
    <xf numFmtId="0" fontId="25" fillId="12" borderId="3" xfId="0" applyFont="1" applyFill="1" applyBorder="1" applyAlignment="1" applyProtection="1">
      <alignment vertical="center"/>
    </xf>
    <xf numFmtId="1" fontId="14" fillId="9" borderId="7" xfId="0" applyNumberFormat="1" applyFont="1" applyFill="1" applyBorder="1" applyProtection="1"/>
    <xf numFmtId="175" fontId="14" fillId="9" borderId="4" xfId="1" applyNumberFormat="1" applyFont="1" applyFill="1" applyBorder="1" applyProtection="1"/>
    <xf numFmtId="164" fontId="14" fillId="9" borderId="4" xfId="1" applyNumberFormat="1" applyFont="1" applyFill="1" applyBorder="1" applyProtection="1"/>
    <xf numFmtId="176" fontId="14" fillId="9" borderId="4" xfId="1" applyNumberFormat="1" applyFont="1" applyFill="1" applyBorder="1" applyProtection="1"/>
    <xf numFmtId="164" fontId="14" fillId="9" borderId="6" xfId="1" applyNumberFormat="1" applyFont="1" applyFill="1" applyBorder="1" applyProtection="1"/>
    <xf numFmtId="0" fontId="2" fillId="0" borderId="0" xfId="5" applyFont="1" applyAlignment="1" applyProtection="1">
      <alignment horizontal="right" wrapText="1"/>
    </xf>
    <xf numFmtId="43" fontId="2" fillId="0" borderId="0" xfId="5" applyNumberFormat="1" applyFont="1" applyAlignment="1" applyProtection="1">
      <alignment horizontal="right" wrapText="1"/>
    </xf>
    <xf numFmtId="49" fontId="60" fillId="0" borderId="0" xfId="0" applyNumberFormat="1" applyFont="1" applyProtection="1"/>
    <xf numFmtId="49" fontId="61" fillId="0" borderId="0" xfId="0" applyNumberFormat="1" applyFont="1" applyProtection="1"/>
    <xf numFmtId="0" fontId="22" fillId="10" borderId="128" xfId="0" applyFont="1" applyFill="1" applyBorder="1" applyAlignment="1" applyProtection="1">
      <alignment horizontal="center" vertical="center"/>
      <protection locked="0"/>
    </xf>
    <xf numFmtId="9" fontId="22" fillId="10" borderId="24" xfId="4" applyFont="1" applyFill="1" applyBorder="1" applyAlignment="1" applyProtection="1">
      <alignment horizontal="center" vertical="center"/>
      <protection locked="0"/>
    </xf>
    <xf numFmtId="0" fontId="0" fillId="0" borderId="0" xfId="0" applyProtection="1"/>
    <xf numFmtId="0" fontId="23" fillId="11" borderId="12" xfId="0" applyFont="1" applyFill="1" applyBorder="1" applyAlignment="1" applyProtection="1">
      <alignment horizontal="center" vertical="center"/>
    </xf>
    <xf numFmtId="0" fontId="23" fillId="11" borderId="12" xfId="0" applyFont="1" applyFill="1" applyBorder="1" applyAlignment="1" applyProtection="1">
      <alignment horizontal="left" vertical="center"/>
    </xf>
    <xf numFmtId="0" fontId="14" fillId="11" borderId="12" xfId="0" applyFont="1" applyFill="1" applyBorder="1" applyAlignment="1" applyProtection="1">
      <alignment horizontal="center" vertical="center"/>
    </xf>
    <xf numFmtId="0" fontId="14" fillId="11" borderId="9" xfId="0" applyFont="1" applyFill="1" applyBorder="1" applyAlignment="1" applyProtection="1">
      <alignment horizontal="center" vertical="center"/>
    </xf>
    <xf numFmtId="0" fontId="26" fillId="11" borderId="12" xfId="0" applyFont="1" applyFill="1" applyBorder="1" applyAlignment="1" applyProtection="1">
      <alignment horizontal="center" vertical="center"/>
    </xf>
    <xf numFmtId="0" fontId="11" fillId="12" borderId="35" xfId="0" applyFont="1" applyFill="1" applyBorder="1" applyAlignment="1" applyProtection="1">
      <alignment horizontal="center" vertical="center"/>
    </xf>
    <xf numFmtId="0" fontId="30" fillId="12" borderId="35" xfId="0" applyFont="1" applyFill="1" applyBorder="1" applyAlignment="1" applyProtection="1">
      <alignment horizontal="left" vertical="center"/>
    </xf>
    <xf numFmtId="0" fontId="11" fillId="12" borderId="37" xfId="0" applyFont="1" applyFill="1" applyBorder="1" applyAlignment="1" applyProtection="1">
      <alignment horizontal="center" vertical="center"/>
    </xf>
    <xf numFmtId="0" fontId="30" fillId="12" borderId="37" xfId="0" applyFont="1" applyFill="1" applyBorder="1" applyAlignment="1" applyProtection="1">
      <alignment horizontal="left" vertical="center"/>
    </xf>
    <xf numFmtId="0" fontId="11" fillId="12" borderId="36" xfId="0" applyFont="1" applyFill="1" applyBorder="1" applyAlignment="1" applyProtection="1">
      <alignment horizontal="center" vertical="center"/>
    </xf>
    <xf numFmtId="0" fontId="30" fillId="12" borderId="36" xfId="0" applyFont="1" applyFill="1" applyBorder="1" applyAlignment="1" applyProtection="1">
      <alignment horizontal="left" vertical="center"/>
    </xf>
    <xf numFmtId="0" fontId="11" fillId="12" borderId="13" xfId="0" applyFont="1" applyFill="1" applyBorder="1" applyAlignment="1" applyProtection="1">
      <alignment horizontal="center" vertical="center"/>
    </xf>
    <xf numFmtId="0" fontId="30" fillId="12" borderId="13" xfId="0" applyFont="1" applyFill="1" applyBorder="1" applyAlignment="1" applyProtection="1">
      <alignment horizontal="left" vertical="center"/>
    </xf>
    <xf numFmtId="0" fontId="9" fillId="5" borderId="12" xfId="0" applyFont="1" applyFill="1" applyBorder="1" applyProtection="1"/>
    <xf numFmtId="0" fontId="23" fillId="12" borderId="9" xfId="0" applyFont="1" applyFill="1" applyBorder="1" applyAlignment="1" applyProtection="1">
      <alignment horizontal="center" vertical="center"/>
    </xf>
    <xf numFmtId="0" fontId="22" fillId="12" borderId="10" xfId="0" applyFont="1" applyFill="1" applyBorder="1" applyProtection="1"/>
    <xf numFmtId="0" fontId="22" fillId="12" borderId="2" xfId="0" applyFont="1" applyFill="1" applyBorder="1" applyAlignment="1" applyProtection="1">
      <alignment horizontal="center" vertical="center"/>
    </xf>
    <xf numFmtId="0" fontId="22" fillId="12" borderId="10" xfId="0" applyFont="1" applyFill="1" applyBorder="1" applyAlignment="1" applyProtection="1">
      <alignment horizontal="center" vertical="center"/>
    </xf>
    <xf numFmtId="0" fontId="22" fillId="12" borderId="12" xfId="0" applyFont="1" applyFill="1" applyBorder="1" applyAlignment="1" applyProtection="1">
      <alignment horizontal="center" vertical="center"/>
    </xf>
    <xf numFmtId="0" fontId="30" fillId="12" borderId="75" xfId="0" applyFont="1" applyFill="1" applyBorder="1" applyAlignment="1" applyProtection="1">
      <alignment horizontal="left" vertical="center"/>
    </xf>
    <xf numFmtId="0" fontId="30" fillId="12" borderId="74" xfId="0" applyFont="1" applyFill="1" applyBorder="1" applyAlignment="1" applyProtection="1">
      <alignment horizontal="left" vertical="center"/>
    </xf>
    <xf numFmtId="0" fontId="30" fillId="12" borderId="4" xfId="0" applyFont="1" applyFill="1" applyBorder="1" applyAlignment="1" applyProtection="1">
      <alignment horizontal="left" vertical="center"/>
    </xf>
    <xf numFmtId="0" fontId="22" fillId="12" borderId="7" xfId="0" applyFont="1" applyFill="1" applyBorder="1" applyAlignment="1" applyProtection="1">
      <alignment horizontal="center" vertical="center"/>
    </xf>
    <xf numFmtId="0" fontId="11" fillId="12" borderId="17" xfId="0" applyFont="1" applyFill="1" applyBorder="1" applyAlignment="1" applyProtection="1">
      <alignment horizontal="center" vertical="center"/>
    </xf>
    <xf numFmtId="0" fontId="30" fillId="12" borderId="17" xfId="0" applyFont="1" applyFill="1" applyBorder="1" applyAlignment="1" applyProtection="1">
      <alignment horizontal="left" vertical="center"/>
    </xf>
    <xf numFmtId="0" fontId="26" fillId="11" borderId="18" xfId="0" applyFont="1" applyFill="1" applyBorder="1" applyAlignment="1" applyProtection="1">
      <alignment horizontal="center" vertical="center"/>
    </xf>
    <xf numFmtId="0" fontId="0" fillId="0" borderId="0" xfId="0" applyBorder="1" applyAlignment="1" applyProtection="1"/>
    <xf numFmtId="0" fontId="7" fillId="0" borderId="0" xfId="5" applyProtection="1"/>
    <xf numFmtId="0" fontId="9" fillId="0" borderId="0" xfId="0" applyFont="1" applyBorder="1" applyAlignment="1" applyProtection="1"/>
    <xf numFmtId="0" fontId="0" fillId="0" borderId="0" xfId="0" applyAlignment="1" applyProtection="1"/>
    <xf numFmtId="0" fontId="14" fillId="0" borderId="43" xfId="0" applyFont="1" applyBorder="1" applyAlignment="1" applyProtection="1">
      <alignment horizontal="left"/>
    </xf>
    <xf numFmtId="0" fontId="14" fillId="0" borderId="44" xfId="0" applyFont="1" applyBorder="1" applyAlignment="1" applyProtection="1">
      <alignment horizontal="left"/>
    </xf>
    <xf numFmtId="0" fontId="3" fillId="0" borderId="43" xfId="2" applyBorder="1" applyAlignment="1" applyProtection="1">
      <alignment horizontal="left"/>
    </xf>
    <xf numFmtId="0" fontId="3" fillId="0" borderId="0" xfId="2" applyBorder="1" applyAlignment="1" applyProtection="1">
      <alignment horizontal="left"/>
    </xf>
    <xf numFmtId="0" fontId="3" fillId="0" borderId="44" xfId="2" applyBorder="1" applyAlignment="1" applyProtection="1">
      <alignment horizontal="left"/>
    </xf>
    <xf numFmtId="0" fontId="24" fillId="0" borderId="0" xfId="0" applyFont="1" applyProtection="1"/>
    <xf numFmtId="0" fontId="22" fillId="10" borderId="84" xfId="0" applyFont="1" applyFill="1" applyBorder="1" applyAlignment="1" applyProtection="1">
      <alignment horizontal="center" vertical="center"/>
      <protection locked="0"/>
    </xf>
    <xf numFmtId="0" fontId="22" fillId="10" borderId="87" xfId="0" applyFont="1" applyFill="1" applyBorder="1" applyAlignment="1" applyProtection="1">
      <alignment horizontal="center" vertical="center"/>
      <protection locked="0"/>
    </xf>
    <xf numFmtId="0" fontId="22" fillId="10" borderId="8" xfId="0" applyFont="1" applyFill="1" applyBorder="1" applyAlignment="1" applyProtection="1">
      <alignment horizontal="center" vertical="center"/>
      <protection locked="0"/>
    </xf>
    <xf numFmtId="0" fontId="30" fillId="12" borderId="103" xfId="0" applyFont="1" applyFill="1" applyBorder="1" applyAlignment="1" applyProtection="1">
      <alignment horizontal="left" vertical="center"/>
    </xf>
    <xf numFmtId="0" fontId="9" fillId="36" borderId="12" xfId="0" applyFont="1" applyFill="1" applyBorder="1" applyProtection="1"/>
    <xf numFmtId="0" fontId="22" fillId="12" borderId="0" xfId="0" applyFont="1" applyFill="1" applyBorder="1" applyAlignment="1" applyProtection="1">
      <alignment horizontal="center" vertical="center"/>
    </xf>
    <xf numFmtId="0" fontId="30" fillId="12" borderId="6" xfId="0" applyFont="1" applyFill="1" applyBorder="1" applyAlignment="1" applyProtection="1">
      <alignment horizontal="left" vertical="center"/>
    </xf>
    <xf numFmtId="0" fontId="22" fillId="12" borderId="11" xfId="0" applyFont="1" applyFill="1" applyBorder="1" applyAlignment="1" applyProtection="1">
      <alignment horizontal="center" vertical="center"/>
    </xf>
    <xf numFmtId="0" fontId="14" fillId="11" borderId="72" xfId="0" applyFont="1" applyFill="1" applyBorder="1" applyAlignment="1" applyProtection="1">
      <alignment horizontal="center" vertical="center"/>
    </xf>
    <xf numFmtId="0" fontId="14" fillId="11" borderId="125" xfId="0" applyFont="1" applyFill="1" applyBorder="1" applyAlignment="1" applyProtection="1">
      <alignment horizontal="center" vertical="center"/>
    </xf>
    <xf numFmtId="0" fontId="14" fillId="11" borderId="78" xfId="0" applyFont="1" applyFill="1" applyBorder="1" applyAlignment="1" applyProtection="1">
      <alignment horizontal="center" vertical="center"/>
    </xf>
    <xf numFmtId="0" fontId="23" fillId="36" borderId="12" xfId="0" applyFont="1" applyFill="1" applyBorder="1" applyAlignment="1" applyProtection="1">
      <alignment horizontal="center" vertical="center"/>
    </xf>
    <xf numFmtId="0" fontId="23" fillId="36" borderId="12" xfId="0" applyFont="1" applyFill="1" applyBorder="1" applyAlignment="1" applyProtection="1">
      <alignment horizontal="left" vertical="center"/>
    </xf>
    <xf numFmtId="0" fontId="11" fillId="12" borderId="39" xfId="0" applyFont="1" applyFill="1" applyBorder="1" applyAlignment="1" applyProtection="1">
      <alignment horizontal="center" vertical="center"/>
    </xf>
    <xf numFmtId="0" fontId="30" fillId="12" borderId="5" xfId="0" applyFont="1" applyFill="1" applyBorder="1" applyAlignment="1" applyProtection="1">
      <alignment horizontal="left" vertical="center"/>
    </xf>
    <xf numFmtId="0" fontId="9" fillId="36" borderId="9" xfId="0" applyFont="1" applyFill="1" applyBorder="1" applyProtection="1"/>
    <xf numFmtId="0" fontId="11" fillId="12" borderId="108" xfId="0" applyFont="1" applyFill="1" applyBorder="1" applyAlignment="1" applyProtection="1">
      <alignment horizontal="center" vertical="center"/>
    </xf>
    <xf numFmtId="0" fontId="30" fillId="12" borderId="104" xfId="0" applyFont="1" applyFill="1" applyBorder="1" applyAlignment="1" applyProtection="1">
      <alignment horizontal="left" vertical="center"/>
    </xf>
    <xf numFmtId="0" fontId="11" fillId="12" borderId="109" xfId="0" applyFont="1" applyFill="1" applyBorder="1" applyAlignment="1" applyProtection="1">
      <alignment horizontal="center" vertical="center"/>
    </xf>
    <xf numFmtId="0" fontId="11" fillId="12" borderId="110" xfId="0" applyFont="1" applyFill="1" applyBorder="1" applyAlignment="1" applyProtection="1">
      <alignment horizontal="center" vertical="center"/>
    </xf>
    <xf numFmtId="0" fontId="11" fillId="12" borderId="111" xfId="0" applyFont="1" applyFill="1" applyBorder="1" applyAlignment="1" applyProtection="1">
      <alignment horizontal="center" vertical="center"/>
    </xf>
    <xf numFmtId="0" fontId="30" fillId="12" borderId="112" xfId="0" applyFont="1" applyFill="1" applyBorder="1" applyAlignment="1" applyProtection="1">
      <alignment horizontal="left" vertical="center"/>
    </xf>
    <xf numFmtId="0" fontId="29" fillId="10" borderId="0" xfId="0" applyFont="1" applyFill="1" applyBorder="1" applyAlignment="1" applyProtection="1">
      <alignment vertical="center"/>
    </xf>
    <xf numFmtId="0" fontId="0" fillId="10" borderId="0" xfId="0" applyFill="1" applyBorder="1" applyProtection="1"/>
    <xf numFmtId="0" fontId="22" fillId="10" borderId="0" xfId="0" applyFont="1" applyFill="1" applyBorder="1" applyAlignment="1" applyProtection="1">
      <alignment vertical="center" wrapText="1"/>
    </xf>
    <xf numFmtId="0" fontId="22" fillId="9" borderId="22" xfId="0" applyFont="1" applyFill="1" applyBorder="1" applyAlignment="1" applyProtection="1">
      <alignment horizontal="center" vertical="center"/>
      <protection locked="0"/>
    </xf>
    <xf numFmtId="0" fontId="22" fillId="9" borderId="77" xfId="0" applyFont="1" applyFill="1" applyBorder="1" applyAlignment="1" applyProtection="1">
      <alignment horizontal="center" vertical="center"/>
      <protection locked="0"/>
    </xf>
    <xf numFmtId="0" fontId="22" fillId="10" borderId="34" xfId="0" applyFont="1" applyFill="1" applyBorder="1" applyAlignment="1" applyProtection="1">
      <alignment horizontal="center" vertical="center"/>
      <protection locked="0"/>
    </xf>
    <xf numFmtId="0" fontId="22" fillId="10" borderId="124" xfId="0" applyFont="1" applyFill="1" applyBorder="1" applyAlignment="1" applyProtection="1">
      <alignment horizontal="center" vertical="center"/>
      <protection locked="0"/>
    </xf>
    <xf numFmtId="0" fontId="22" fillId="10" borderId="76" xfId="0" applyFont="1" applyFill="1" applyBorder="1" applyAlignment="1" applyProtection="1">
      <alignment horizontal="center" vertical="center"/>
      <protection locked="0"/>
    </xf>
    <xf numFmtId="0" fontId="22" fillId="10" borderId="72" xfId="0" applyFont="1" applyFill="1" applyBorder="1" applyAlignment="1" applyProtection="1">
      <alignment horizontal="center" vertical="center"/>
      <protection locked="0"/>
    </xf>
    <xf numFmtId="0" fontId="22" fillId="10" borderId="125" xfId="0" applyFont="1" applyFill="1" applyBorder="1" applyAlignment="1" applyProtection="1">
      <alignment horizontal="center" vertical="center"/>
      <protection locked="0"/>
    </xf>
    <xf numFmtId="0" fontId="22" fillId="10" borderId="78" xfId="0" applyFont="1" applyFill="1" applyBorder="1" applyAlignment="1" applyProtection="1">
      <alignment horizontal="center" vertical="center"/>
      <protection locked="0"/>
    </xf>
    <xf numFmtId="0" fontId="22" fillId="10" borderId="9" xfId="0" applyFont="1" applyFill="1" applyBorder="1" applyAlignment="1" applyProtection="1">
      <alignment horizontal="center" vertical="center"/>
      <protection locked="0"/>
    </xf>
    <xf numFmtId="0" fontId="22" fillId="10" borderId="179" xfId="0" applyFont="1" applyFill="1" applyBorder="1" applyAlignment="1" applyProtection="1">
      <alignment horizontal="center" vertical="center"/>
      <protection locked="0"/>
    </xf>
    <xf numFmtId="0" fontId="22" fillId="10" borderId="178" xfId="0" applyFont="1" applyFill="1" applyBorder="1" applyAlignment="1" applyProtection="1">
      <alignment horizontal="center" vertical="center"/>
      <protection locked="0"/>
    </xf>
    <xf numFmtId="175" fontId="9" fillId="0" borderId="4" xfId="0" applyNumberFormat="1" applyFont="1" applyFill="1" applyBorder="1"/>
    <xf numFmtId="175" fontId="9" fillId="0" borderId="5" xfId="0" applyNumberFormat="1" applyFont="1" applyFill="1" applyBorder="1"/>
    <xf numFmtId="189" fontId="15" fillId="0" borderId="5" xfId="1" applyNumberFormat="1" applyFont="1" applyBorder="1"/>
    <xf numFmtId="175" fontId="9" fillId="0" borderId="4" xfId="1" applyNumberFormat="1" applyFont="1" applyBorder="1"/>
    <xf numFmtId="175" fontId="15" fillId="0" borderId="181" xfId="0" applyNumberFormat="1" applyFont="1" applyBorder="1"/>
    <xf numFmtId="164" fontId="9" fillId="0" borderId="4" xfId="1" applyFont="1" applyBorder="1"/>
    <xf numFmtId="180" fontId="9" fillId="0" borderId="182" xfId="1" applyNumberFormat="1" applyFont="1" applyBorder="1"/>
    <xf numFmtId="180" fontId="15" fillId="0" borderId="181" xfId="1" applyNumberFormat="1" applyFont="1" applyBorder="1"/>
    <xf numFmtId="180" fontId="15" fillId="0" borderId="6" xfId="1" applyNumberFormat="1" applyFont="1" applyBorder="1"/>
    <xf numFmtId="189" fontId="9" fillId="0" borderId="183" xfId="1" applyNumberFormat="1" applyFont="1" applyBorder="1"/>
    <xf numFmtId="164" fontId="14" fillId="0" borderId="5" xfId="1" applyFont="1" applyBorder="1"/>
    <xf numFmtId="0" fontId="0" fillId="0" borderId="0" xfId="0" applyAlignment="1">
      <alignment horizontal="left" indent="1"/>
    </xf>
    <xf numFmtId="0" fontId="22" fillId="10" borderId="1" xfId="0" applyFont="1" applyFill="1" applyBorder="1" applyAlignment="1">
      <alignment horizontal="left" vertical="top" indent="1"/>
    </xf>
    <xf numFmtId="0" fontId="25" fillId="10" borderId="2" xfId="0" applyFont="1" applyFill="1" applyBorder="1" applyAlignment="1">
      <alignment horizontal="left" vertical="center" indent="1"/>
    </xf>
    <xf numFmtId="0" fontId="10" fillId="10" borderId="3" xfId="0" applyFont="1" applyFill="1" applyBorder="1" applyAlignment="1">
      <alignment horizontal="left" vertical="center" indent="1"/>
    </xf>
    <xf numFmtId="0" fontId="64" fillId="10" borderId="4" xfId="2" applyFont="1" applyFill="1" applyBorder="1" applyAlignment="1">
      <alignment horizontal="left" vertical="top" indent="1"/>
    </xf>
    <xf numFmtId="0" fontId="25" fillId="10" borderId="0" xfId="0" applyFont="1" applyFill="1" applyBorder="1" applyAlignment="1">
      <alignment horizontal="left" vertical="center" indent="1"/>
    </xf>
    <xf numFmtId="0" fontId="10" fillId="10" borderId="5" xfId="0" applyFont="1" applyFill="1" applyBorder="1" applyAlignment="1">
      <alignment horizontal="left" vertical="center" indent="1"/>
    </xf>
    <xf numFmtId="0" fontId="14" fillId="14" borderId="32" xfId="0" applyFont="1" applyFill="1" applyBorder="1" applyAlignment="1" applyProtection="1">
      <alignment horizontal="left" wrapText="1" indent="1"/>
    </xf>
    <xf numFmtId="0" fontId="14" fillId="14" borderId="73" xfId="0" applyFont="1" applyFill="1" applyBorder="1" applyAlignment="1" applyProtection="1">
      <alignment horizontal="left" wrapText="1" indent="1"/>
    </xf>
    <xf numFmtId="0" fontId="14" fillId="14" borderId="33" xfId="0" applyFont="1" applyFill="1" applyBorder="1" applyAlignment="1" applyProtection="1">
      <alignment horizontal="left" wrapText="1" indent="1"/>
    </xf>
    <xf numFmtId="0" fontId="9" fillId="9" borderId="43" xfId="0" applyFont="1" applyFill="1" applyBorder="1" applyAlignment="1" applyProtection="1">
      <alignment horizontal="center" vertical="center" wrapText="1"/>
    </xf>
    <xf numFmtId="0" fontId="9" fillId="9" borderId="43" xfId="0" applyFont="1" applyFill="1" applyBorder="1" applyAlignment="1" applyProtection="1">
      <alignment horizontal="center" vertical="center" wrapText="1"/>
    </xf>
    <xf numFmtId="0" fontId="44" fillId="2" borderId="1" xfId="5" applyFont="1" applyFill="1" applyBorder="1" applyAlignment="1">
      <alignment horizontal="center"/>
    </xf>
    <xf numFmtId="0" fontId="5" fillId="22" borderId="53" xfId="0" applyFont="1" applyFill="1" applyBorder="1" applyAlignment="1">
      <alignment horizontal="center"/>
    </xf>
    <xf numFmtId="2" fontId="14" fillId="9" borderId="4" xfId="0" applyNumberFormat="1" applyFont="1" applyFill="1" applyBorder="1" applyProtection="1"/>
    <xf numFmtId="0" fontId="25" fillId="10" borderId="0" xfId="0" applyFont="1" applyFill="1" applyBorder="1" applyAlignment="1" applyProtection="1">
      <alignment vertical="center"/>
    </xf>
    <xf numFmtId="0" fontId="9" fillId="10" borderId="0" xfId="0" applyFont="1" applyFill="1" applyBorder="1" applyProtection="1"/>
    <xf numFmtId="0" fontId="8" fillId="10" borderId="0" xfId="0" applyFont="1" applyFill="1" applyBorder="1" applyAlignment="1" applyProtection="1">
      <alignment wrapText="1"/>
    </xf>
    <xf numFmtId="0" fontId="10" fillId="13" borderId="3" xfId="0" applyFont="1" applyFill="1" applyBorder="1" applyAlignment="1">
      <alignment vertical="center" wrapText="1"/>
    </xf>
    <xf numFmtId="0" fontId="9" fillId="0" borderId="3" xfId="0" applyFont="1" applyBorder="1" applyAlignment="1">
      <alignment horizontal="center" vertical="center" wrapText="1"/>
    </xf>
    <xf numFmtId="0" fontId="9" fillId="0" borderId="5" xfId="0" applyFont="1" applyBorder="1" applyAlignment="1">
      <alignment vertical="center" wrapText="1"/>
    </xf>
    <xf numFmtId="0" fontId="9" fillId="0" borderId="8" xfId="0" applyFont="1" applyBorder="1" applyAlignment="1">
      <alignment vertical="center" wrapText="1"/>
    </xf>
    <xf numFmtId="0" fontId="25" fillId="10" borderId="0" xfId="0" applyFont="1" applyFill="1" applyBorder="1" applyAlignment="1">
      <alignment vertical="center"/>
    </xf>
    <xf numFmtId="0" fontId="10" fillId="12" borderId="185" xfId="0" applyFont="1" applyFill="1" applyBorder="1" applyAlignment="1" applyProtection="1">
      <alignment horizontal="center" vertical="center"/>
    </xf>
    <xf numFmtId="0" fontId="22" fillId="8" borderId="30" xfId="0" applyFont="1" applyFill="1" applyBorder="1" applyAlignment="1" applyProtection="1">
      <alignment vertical="center"/>
    </xf>
    <xf numFmtId="0" fontId="22" fillId="8" borderId="25" xfId="0" applyFont="1" applyFill="1" applyBorder="1" applyAlignment="1" applyProtection="1">
      <alignment vertical="center"/>
    </xf>
    <xf numFmtId="0" fontId="23" fillId="10" borderId="23" xfId="0" applyFont="1" applyFill="1" applyBorder="1" applyAlignment="1" applyProtection="1">
      <alignment horizontal="center" vertical="center"/>
      <protection locked="0"/>
    </xf>
    <xf numFmtId="0" fontId="23" fillId="8" borderId="26" xfId="0" applyFont="1" applyFill="1" applyBorder="1" applyAlignment="1" applyProtection="1">
      <alignment horizontal="center" vertical="center"/>
    </xf>
    <xf numFmtId="9" fontId="23" fillId="10" borderId="23" xfId="0" applyNumberFormat="1" applyFont="1" applyFill="1" applyBorder="1" applyAlignment="1" applyProtection="1">
      <alignment horizontal="center" vertical="center"/>
      <protection locked="0"/>
    </xf>
    <xf numFmtId="0" fontId="26" fillId="12" borderId="6" xfId="0" applyFont="1" applyFill="1" applyBorder="1" applyAlignment="1" applyProtection="1">
      <alignment horizontal="left" vertical="center" wrapText="1"/>
    </xf>
    <xf numFmtId="0" fontId="26" fillId="12" borderId="7" xfId="0" applyFont="1" applyFill="1" applyBorder="1" applyAlignment="1" applyProtection="1">
      <alignment horizontal="left" vertical="center" wrapText="1"/>
    </xf>
    <xf numFmtId="0" fontId="26" fillId="12" borderId="8" xfId="0" applyFont="1" applyFill="1" applyBorder="1" applyAlignment="1" applyProtection="1">
      <alignment horizontal="left" vertical="center" wrapText="1"/>
    </xf>
    <xf numFmtId="0" fontId="22" fillId="8" borderId="25" xfId="0" applyFont="1" applyFill="1" applyBorder="1" applyAlignment="1" applyProtection="1">
      <alignment horizontal="left" vertical="center"/>
    </xf>
    <xf numFmtId="0" fontId="14" fillId="5" borderId="12" xfId="0" applyFont="1" applyFill="1" applyBorder="1" applyProtection="1"/>
    <xf numFmtId="2" fontId="35" fillId="5" borderId="10" xfId="0" applyNumberFormat="1" applyFont="1" applyFill="1" applyBorder="1" applyProtection="1"/>
    <xf numFmtId="0" fontId="14" fillId="5" borderId="11" xfId="0" applyFont="1" applyFill="1" applyBorder="1" applyProtection="1"/>
    <xf numFmtId="164" fontId="16" fillId="0" borderId="1" xfId="0" applyNumberFormat="1" applyFont="1" applyBorder="1"/>
    <xf numFmtId="164" fontId="16" fillId="0" borderId="3" xfId="1" applyNumberFormat="1" applyFont="1" applyBorder="1"/>
    <xf numFmtId="0" fontId="9" fillId="0" borderId="0" xfId="0" applyFont="1" applyAlignment="1">
      <alignment vertical="center" wrapText="1"/>
    </xf>
    <xf numFmtId="0" fontId="15" fillId="0" borderId="5" xfId="0" applyFont="1" applyBorder="1" applyAlignment="1">
      <alignment horizontal="center" vertical="center" wrapText="1"/>
    </xf>
    <xf numFmtId="0" fontId="15" fillId="0" borderId="3" xfId="0" applyFont="1" applyBorder="1" applyAlignment="1">
      <alignment horizontal="center" vertical="center" wrapText="1"/>
    </xf>
    <xf numFmtId="164" fontId="9" fillId="0" borderId="5" xfId="0" applyNumberFormat="1" applyFont="1" applyBorder="1" applyAlignment="1">
      <alignment vertical="center" wrapText="1"/>
    </xf>
    <xf numFmtId="0" fontId="9" fillId="0" borderId="5" xfId="0" applyFont="1" applyFill="1" applyBorder="1" applyAlignment="1">
      <alignment vertical="center" wrapText="1"/>
    </xf>
    <xf numFmtId="0" fontId="9" fillId="0" borderId="3" xfId="0" applyFont="1" applyBorder="1" applyAlignment="1">
      <alignment vertical="center" wrapText="1"/>
    </xf>
    <xf numFmtId="0" fontId="9" fillId="0" borderId="11" xfId="0" applyFont="1" applyBorder="1" applyAlignment="1">
      <alignment vertical="center" wrapText="1"/>
    </xf>
    <xf numFmtId="0" fontId="0" fillId="37" borderId="18" xfId="0" applyFill="1" applyBorder="1"/>
    <xf numFmtId="0" fontId="0" fillId="37" borderId="13" xfId="0" applyFill="1" applyBorder="1"/>
    <xf numFmtId="0" fontId="0" fillId="37" borderId="17" xfId="0" applyFill="1" applyBorder="1"/>
    <xf numFmtId="9" fontId="23" fillId="10" borderId="23" xfId="4" applyFont="1" applyFill="1" applyBorder="1" applyAlignment="1" applyProtection="1">
      <alignment horizontal="center" vertical="center"/>
      <protection locked="0"/>
    </xf>
    <xf numFmtId="0" fontId="23" fillId="8" borderId="33" xfId="0" applyFont="1" applyFill="1" applyBorder="1" applyAlignment="1" applyProtection="1">
      <alignment horizontal="center" vertical="center"/>
    </xf>
    <xf numFmtId="9" fontId="23" fillId="10" borderId="128" xfId="4" applyFont="1" applyFill="1" applyBorder="1" applyAlignment="1" applyProtection="1">
      <alignment horizontal="center" vertical="center"/>
      <protection locked="0"/>
    </xf>
    <xf numFmtId="9" fontId="23" fillId="10" borderId="24" xfId="4" applyFont="1" applyFill="1" applyBorder="1" applyAlignment="1" applyProtection="1">
      <alignment horizontal="center" vertical="center"/>
      <protection locked="0"/>
    </xf>
    <xf numFmtId="0" fontId="23" fillId="10" borderId="24" xfId="0" applyFont="1" applyFill="1" applyBorder="1" applyAlignment="1" applyProtection="1">
      <alignment horizontal="center" vertical="center"/>
      <protection locked="0"/>
    </xf>
    <xf numFmtId="0" fontId="22" fillId="9" borderId="176" xfId="0" applyFont="1" applyFill="1" applyBorder="1" applyAlignment="1" applyProtection="1">
      <alignment horizontal="center" vertical="center"/>
    </xf>
    <xf numFmtId="0" fontId="22" fillId="9" borderId="193" xfId="0" applyFont="1" applyFill="1" applyBorder="1" applyAlignment="1" applyProtection="1">
      <alignment horizontal="center" vertical="center"/>
    </xf>
    <xf numFmtId="0" fontId="22" fillId="9" borderId="2" xfId="0" applyFont="1" applyFill="1" applyBorder="1" applyAlignment="1" applyProtection="1">
      <alignment horizontal="center" vertical="center"/>
    </xf>
    <xf numFmtId="0" fontId="22" fillId="9" borderId="76" xfId="0" applyFont="1" applyFill="1" applyBorder="1" applyAlignment="1" applyProtection="1">
      <alignment horizontal="center" vertical="center"/>
    </xf>
    <xf numFmtId="0" fontId="22" fillId="9" borderId="4" xfId="0" applyFont="1" applyFill="1" applyBorder="1" applyAlignment="1" applyProtection="1">
      <alignment horizontal="center" vertical="center"/>
      <protection locked="0"/>
    </xf>
    <xf numFmtId="0" fontId="23" fillId="10" borderId="23" xfId="0" applyFont="1" applyFill="1" applyBorder="1" applyAlignment="1" applyProtection="1">
      <alignment horizontal="center" vertical="center"/>
    </xf>
    <xf numFmtId="9" fontId="22" fillId="10" borderId="128" xfId="4" applyFont="1" applyFill="1" applyBorder="1" applyAlignment="1" applyProtection="1">
      <alignment horizontal="center" vertical="center"/>
    </xf>
    <xf numFmtId="0" fontId="43" fillId="27" borderId="0" xfId="0" applyFont="1" applyFill="1"/>
    <xf numFmtId="0" fontId="43" fillId="0" borderId="0" xfId="0" applyFont="1" applyFill="1"/>
    <xf numFmtId="0" fontId="5" fillId="2" borderId="2" xfId="0" applyFont="1" applyFill="1" applyBorder="1"/>
    <xf numFmtId="0" fontId="5" fillId="4" borderId="4" xfId="0" applyFont="1" applyFill="1" applyBorder="1"/>
    <xf numFmtId="0" fontId="5" fillId="4" borderId="0" xfId="0" applyFont="1" applyFill="1" applyBorder="1"/>
    <xf numFmtId="0" fontId="43" fillId="3" borderId="0" xfId="0" applyFont="1" applyFill="1" applyBorder="1" applyAlignment="1">
      <alignment horizontal="center"/>
    </xf>
    <xf numFmtId="0" fontId="43" fillId="0" borderId="0" xfId="0" applyFont="1" applyBorder="1"/>
    <xf numFmtId="0" fontId="5" fillId="3" borderId="0" xfId="0" applyFont="1" applyFill="1" applyBorder="1" applyAlignment="1">
      <alignment horizontal="center"/>
    </xf>
    <xf numFmtId="0" fontId="5" fillId="3" borderId="4" xfId="0" applyFont="1" applyFill="1" applyBorder="1"/>
    <xf numFmtId="0" fontId="5" fillId="3" borderId="0" xfId="0" applyFont="1" applyFill="1" applyBorder="1" applyAlignment="1">
      <alignment horizontal="center" wrapText="1"/>
    </xf>
    <xf numFmtId="0" fontId="5" fillId="3" borderId="5" xfId="0" applyFont="1" applyFill="1" applyBorder="1" applyAlignment="1">
      <alignment horizontal="center"/>
    </xf>
    <xf numFmtId="0" fontId="43" fillId="3" borderId="5" xfId="0" applyFont="1" applyFill="1" applyBorder="1" applyAlignment="1">
      <alignment horizontal="center"/>
    </xf>
    <xf numFmtId="0" fontId="43" fillId="0" borderId="0" xfId="0" applyFont="1" applyFill="1" applyBorder="1" applyAlignment="1">
      <alignment horizontal="left"/>
    </xf>
    <xf numFmtId="1" fontId="43" fillId="8" borderId="4" xfId="0" applyNumberFormat="1" applyFont="1" applyFill="1" applyBorder="1" applyAlignment="1">
      <alignment horizontal="center"/>
    </xf>
    <xf numFmtId="1" fontId="43" fillId="8" borderId="0" xfId="0" applyNumberFormat="1" applyFont="1" applyFill="1" applyBorder="1" applyAlignment="1">
      <alignment horizontal="center"/>
    </xf>
    <xf numFmtId="169" fontId="43" fillId="8" borderId="0" xfId="0" applyNumberFormat="1" applyFont="1" applyFill="1" applyBorder="1" applyAlignment="1">
      <alignment horizontal="center"/>
    </xf>
    <xf numFmtId="0" fontId="43" fillId="8" borderId="0" xfId="0" applyFont="1" applyFill="1" applyBorder="1" applyAlignment="1">
      <alignment horizontal="center"/>
    </xf>
    <xf numFmtId="172" fontId="43" fillId="8" borderId="0" xfId="1" applyNumberFormat="1" applyFont="1" applyFill="1" applyBorder="1" applyAlignment="1">
      <alignment horizontal="center"/>
    </xf>
    <xf numFmtId="172" fontId="43" fillId="8" borderId="0" xfId="0" applyNumberFormat="1" applyFont="1" applyFill="1" applyBorder="1" applyAlignment="1">
      <alignment horizontal="center"/>
    </xf>
    <xf numFmtId="3" fontId="43" fillId="8" borderId="0" xfId="0" applyNumberFormat="1" applyFont="1" applyFill="1" applyBorder="1"/>
    <xf numFmtId="175" fontId="43" fillId="8" borderId="0" xfId="0" applyNumberFormat="1" applyFont="1" applyFill="1" applyBorder="1" applyAlignment="1">
      <alignment horizontal="center"/>
    </xf>
    <xf numFmtId="0" fontId="43" fillId="8" borderId="5" xfId="0" applyFont="1" applyFill="1" applyBorder="1" applyAlignment="1">
      <alignment horizontal="center"/>
    </xf>
    <xf numFmtId="0" fontId="43" fillId="0" borderId="4" xfId="0" applyFont="1" applyBorder="1"/>
    <xf numFmtId="1" fontId="43" fillId="0" borderId="0" xfId="0" applyNumberFormat="1" applyFont="1" applyBorder="1" applyAlignment="1">
      <alignment horizontal="center"/>
    </xf>
    <xf numFmtId="169" fontId="43" fillId="0" borderId="0" xfId="0" applyNumberFormat="1" applyFont="1" applyBorder="1" applyAlignment="1">
      <alignment horizontal="center"/>
    </xf>
    <xf numFmtId="2" fontId="43" fillId="0" borderId="0" xfId="0" applyNumberFormat="1" applyFont="1" applyBorder="1" applyAlignment="1">
      <alignment horizontal="center"/>
    </xf>
    <xf numFmtId="172" fontId="43" fillId="0" borderId="0" xfId="1" applyNumberFormat="1" applyFont="1" applyBorder="1" applyAlignment="1">
      <alignment horizontal="center"/>
    </xf>
    <xf numFmtId="172" fontId="43" fillId="0" borderId="0" xfId="0" applyNumberFormat="1" applyFont="1" applyBorder="1" applyAlignment="1">
      <alignment horizontal="center"/>
    </xf>
    <xf numFmtId="172" fontId="43" fillId="0" borderId="0" xfId="1" applyNumberFormat="1" applyFont="1" applyBorder="1"/>
    <xf numFmtId="175" fontId="43" fillId="0" borderId="0" xfId="1" applyNumberFormat="1" applyFont="1" applyBorder="1" applyAlignment="1">
      <alignment horizontal="center"/>
    </xf>
    <xf numFmtId="9" fontId="43" fillId="0" borderId="0" xfId="4" applyFont="1" applyBorder="1" applyAlignment="1">
      <alignment horizontal="center"/>
    </xf>
    <xf numFmtId="172" fontId="43" fillId="0" borderId="5" xfId="1" applyNumberFormat="1" applyFont="1" applyBorder="1" applyAlignment="1">
      <alignment horizontal="center"/>
    </xf>
    <xf numFmtId="9" fontId="43" fillId="0" borderId="0" xfId="4" applyFont="1"/>
    <xf numFmtId="175" fontId="43" fillId="0" borderId="0" xfId="0" applyNumberFormat="1" applyFont="1" applyBorder="1"/>
    <xf numFmtId="0" fontId="43" fillId="0" borderId="81" xfId="0" applyFont="1" applyBorder="1"/>
    <xf numFmtId="1" fontId="43" fillId="0" borderId="80" xfId="0" applyNumberFormat="1" applyFont="1" applyBorder="1" applyAlignment="1">
      <alignment horizontal="center"/>
    </xf>
    <xf numFmtId="169" fontId="43" fillId="0" borderId="80" xfId="0" applyNumberFormat="1" applyFont="1" applyBorder="1" applyAlignment="1">
      <alignment horizontal="center"/>
    </xf>
    <xf numFmtId="0" fontId="43" fillId="0" borderId="80" xfId="0" applyFont="1" applyBorder="1" applyAlignment="1">
      <alignment horizontal="center"/>
    </xf>
    <xf numFmtId="2" fontId="43" fillId="0" borderId="80" xfId="0" applyNumberFormat="1" applyFont="1" applyBorder="1" applyAlignment="1">
      <alignment horizontal="center"/>
    </xf>
    <xf numFmtId="172" fontId="43" fillId="0" borderId="80" xfId="1" applyNumberFormat="1" applyFont="1" applyBorder="1" applyAlignment="1">
      <alignment horizontal="center"/>
    </xf>
    <xf numFmtId="172" fontId="43" fillId="0" borderId="80" xfId="0" applyNumberFormat="1" applyFont="1" applyBorder="1" applyAlignment="1">
      <alignment horizontal="center"/>
    </xf>
    <xf numFmtId="172" fontId="43" fillId="0" borderId="80" xfId="1" applyNumberFormat="1" applyFont="1" applyBorder="1"/>
    <xf numFmtId="175" fontId="43" fillId="0" borderId="80" xfId="1" applyNumberFormat="1" applyFont="1" applyBorder="1" applyAlignment="1">
      <alignment horizontal="center"/>
    </xf>
    <xf numFmtId="9" fontId="43" fillId="0" borderId="80" xfId="4" applyFont="1" applyBorder="1" applyAlignment="1">
      <alignment horizontal="center"/>
    </xf>
    <xf numFmtId="172" fontId="43" fillId="0" borderId="79" xfId="1" applyNumberFormat="1" applyFont="1" applyBorder="1" applyAlignment="1">
      <alignment horizontal="center"/>
    </xf>
    <xf numFmtId="1" fontId="43" fillId="0" borderId="0" xfId="0" applyNumberFormat="1" applyFont="1" applyFill="1" applyBorder="1" applyAlignment="1">
      <alignment horizontal="center"/>
    </xf>
    <xf numFmtId="1" fontId="43" fillId="0" borderId="80" xfId="0" applyNumberFormat="1" applyFont="1" applyFill="1" applyBorder="1" applyAlignment="1">
      <alignment horizontal="center"/>
    </xf>
    <xf numFmtId="175" fontId="43" fillId="0" borderId="80" xfId="0" applyNumberFormat="1" applyFont="1" applyBorder="1"/>
    <xf numFmtId="172" fontId="43" fillId="0" borderId="0" xfId="0" applyNumberFormat="1" applyFont="1" applyFill="1" applyBorder="1" applyAlignment="1">
      <alignment horizontal="center"/>
    </xf>
    <xf numFmtId="175" fontId="43" fillId="0" borderId="0" xfId="0" applyNumberFormat="1" applyFont="1" applyBorder="1" applyAlignment="1">
      <alignment horizontal="center"/>
    </xf>
    <xf numFmtId="0" fontId="43" fillId="0" borderId="6" xfId="0" applyFont="1" applyBorder="1"/>
    <xf numFmtId="1" fontId="43" fillId="0" borderId="7" xfId="0" applyNumberFormat="1" applyFont="1" applyBorder="1" applyAlignment="1">
      <alignment horizontal="center"/>
    </xf>
    <xf numFmtId="169" fontId="43" fillId="0" borderId="7" xfId="0" applyNumberFormat="1" applyFont="1" applyBorder="1" applyAlignment="1">
      <alignment horizontal="center"/>
    </xf>
    <xf numFmtId="0" fontId="43" fillId="0" borderId="7" xfId="0" applyFont="1" applyBorder="1" applyAlignment="1">
      <alignment horizontal="center"/>
    </xf>
    <xf numFmtId="2" fontId="43" fillId="0" borderId="7" xfId="0" applyNumberFormat="1" applyFont="1" applyBorder="1" applyAlignment="1">
      <alignment horizontal="center"/>
    </xf>
    <xf numFmtId="172" fontId="43" fillId="0" borderId="7" xfId="1" applyNumberFormat="1" applyFont="1" applyBorder="1" applyAlignment="1">
      <alignment horizontal="center"/>
    </xf>
    <xf numFmtId="172" fontId="43" fillId="0" borderId="7" xfId="0" applyNumberFormat="1" applyFont="1" applyBorder="1" applyAlignment="1">
      <alignment horizontal="center"/>
    </xf>
    <xf numFmtId="172" fontId="43" fillId="0" borderId="7" xfId="1" applyNumberFormat="1" applyFont="1" applyBorder="1"/>
    <xf numFmtId="172" fontId="43" fillId="0" borderId="7" xfId="0" applyNumberFormat="1" applyFont="1" applyFill="1" applyBorder="1" applyAlignment="1">
      <alignment horizontal="center"/>
    </xf>
    <xf numFmtId="175" fontId="43" fillId="0" borderId="7" xfId="0" applyNumberFormat="1" applyFont="1" applyBorder="1" applyAlignment="1">
      <alignment horizontal="center"/>
    </xf>
    <xf numFmtId="9" fontId="43" fillId="0" borderId="7" xfId="4" applyFont="1" applyBorder="1" applyAlignment="1">
      <alignment horizontal="center"/>
    </xf>
    <xf numFmtId="175" fontId="43" fillId="0" borderId="0" xfId="1" applyNumberFormat="1" applyFont="1" applyFill="1" applyBorder="1" applyAlignment="1">
      <alignment horizontal="center"/>
    </xf>
    <xf numFmtId="175" fontId="43" fillId="0" borderId="0" xfId="0" applyNumberFormat="1" applyFont="1" applyFill="1" applyBorder="1"/>
    <xf numFmtId="1" fontId="43" fillId="27" borderId="7" xfId="0" applyNumberFormat="1" applyFont="1" applyFill="1" applyBorder="1" applyAlignment="1">
      <alignment horizontal="center"/>
    </xf>
    <xf numFmtId="169" fontId="43" fillId="27" borderId="7" xfId="0" applyNumberFormat="1" applyFont="1" applyFill="1" applyBorder="1" applyAlignment="1">
      <alignment horizontal="center"/>
    </xf>
    <xf numFmtId="176" fontId="43" fillId="27" borderId="7" xfId="1" applyNumberFormat="1" applyFont="1" applyFill="1" applyBorder="1" applyAlignment="1">
      <alignment horizontal="center"/>
    </xf>
    <xf numFmtId="176" fontId="43" fillId="27" borderId="7" xfId="0" applyNumberFormat="1" applyFont="1" applyFill="1" applyBorder="1"/>
    <xf numFmtId="172" fontId="43" fillId="0" borderId="8" xfId="1" applyNumberFormat="1" applyFont="1" applyBorder="1" applyAlignment="1">
      <alignment horizontal="center"/>
    </xf>
    <xf numFmtId="0" fontId="43" fillId="0" borderId="0" xfId="0" applyFont="1" applyAlignment="1">
      <alignment vertical="center"/>
    </xf>
    <xf numFmtId="0" fontId="5" fillId="3" borderId="0" xfId="0" applyFont="1" applyFill="1" applyBorder="1"/>
    <xf numFmtId="169" fontId="43" fillId="0" borderId="0" xfId="0" applyNumberFormat="1" applyFont="1" applyFill="1" applyBorder="1" applyAlignment="1">
      <alignment horizontal="center"/>
    </xf>
    <xf numFmtId="0" fontId="43" fillId="0" borderId="0" xfId="0" applyFont="1" applyFill="1" applyBorder="1" applyAlignment="1">
      <alignment horizontal="center"/>
    </xf>
    <xf numFmtId="2" fontId="43" fillId="0" borderId="0" xfId="0" applyNumberFormat="1" applyFont="1" applyFill="1" applyBorder="1" applyAlignment="1">
      <alignment horizontal="center"/>
    </xf>
    <xf numFmtId="172" fontId="43" fillId="0" borderId="0" xfId="1" applyNumberFormat="1" applyFont="1" applyFill="1" applyBorder="1" applyAlignment="1">
      <alignment horizontal="center"/>
    </xf>
    <xf numFmtId="172" fontId="43" fillId="0" borderId="0" xfId="1" applyNumberFormat="1" applyFont="1" applyFill="1" applyBorder="1"/>
    <xf numFmtId="9" fontId="43" fillId="0" borderId="0" xfId="4" applyFont="1" applyFill="1" applyBorder="1" applyAlignment="1">
      <alignment horizontal="center"/>
    </xf>
    <xf numFmtId="2" fontId="43" fillId="0" borderId="0" xfId="0" applyNumberFormat="1" applyFont="1"/>
    <xf numFmtId="0" fontId="43" fillId="0" borderId="0" xfId="0" applyFont="1" applyFill="1" applyBorder="1"/>
    <xf numFmtId="0" fontId="43" fillId="0" borderId="80" xfId="7" applyFont="1" applyFill="1" applyBorder="1"/>
    <xf numFmtId="1" fontId="43" fillId="0" borderId="80" xfId="7" applyNumberFormat="1" applyFont="1" applyFill="1" applyBorder="1" applyAlignment="1">
      <alignment horizontal="center"/>
    </xf>
    <xf numFmtId="169" fontId="43" fillId="0" borderId="80" xfId="7" applyNumberFormat="1" applyFont="1" applyFill="1" applyBorder="1" applyAlignment="1">
      <alignment horizontal="center"/>
    </xf>
    <xf numFmtId="0" fontId="43" fillId="0" borderId="80" xfId="7" applyFont="1" applyFill="1" applyBorder="1" applyAlignment="1">
      <alignment horizontal="center"/>
    </xf>
    <xf numFmtId="2" fontId="43" fillId="0" borderId="80" xfId="7" applyNumberFormat="1" applyFont="1" applyFill="1" applyBorder="1" applyAlignment="1">
      <alignment horizontal="center"/>
    </xf>
    <xf numFmtId="172" fontId="43" fillId="0" borderId="80" xfId="7" applyNumberFormat="1" applyFont="1" applyFill="1" applyBorder="1" applyAlignment="1">
      <alignment horizontal="center"/>
    </xf>
    <xf numFmtId="172" fontId="43" fillId="0" borderId="80" xfId="7" applyNumberFormat="1" applyFont="1" applyFill="1" applyBorder="1"/>
    <xf numFmtId="175" fontId="43" fillId="0" borderId="80" xfId="7" applyNumberFormat="1" applyFont="1" applyFill="1" applyBorder="1" applyAlignment="1">
      <alignment horizontal="center"/>
    </xf>
    <xf numFmtId="9" fontId="43" fillId="0" borderId="80" xfId="7" applyNumberFormat="1" applyFont="1" applyFill="1" applyBorder="1" applyAlignment="1">
      <alignment horizontal="center"/>
    </xf>
    <xf numFmtId="172" fontId="43" fillId="0" borderId="79" xfId="7" applyNumberFormat="1" applyFont="1" applyFill="1" applyBorder="1" applyAlignment="1">
      <alignment horizontal="center"/>
    </xf>
    <xf numFmtId="0" fontId="43" fillId="0" borderId="0" xfId="0" applyFont="1" applyFill="1" applyBorder="1" applyAlignment="1">
      <alignment horizontal="center" wrapText="1"/>
    </xf>
    <xf numFmtId="164" fontId="43" fillId="8" borderId="0" xfId="1" applyFont="1" applyFill="1" applyBorder="1" applyAlignment="1">
      <alignment horizontal="center"/>
    </xf>
    <xf numFmtId="172" fontId="43" fillId="8" borderId="0" xfId="1" applyNumberFormat="1" applyFont="1" applyFill="1" applyBorder="1"/>
    <xf numFmtId="180" fontId="43" fillId="0" borderId="0" xfId="1" applyNumberFormat="1" applyFont="1" applyFill="1" applyBorder="1" applyAlignment="1">
      <alignment horizontal="center"/>
    </xf>
    <xf numFmtId="172" fontId="43" fillId="0" borderId="5" xfId="1" applyNumberFormat="1" applyFont="1" applyFill="1" applyBorder="1" applyAlignment="1">
      <alignment horizontal="center"/>
    </xf>
    <xf numFmtId="0" fontId="43" fillId="8" borderId="7" xfId="0" applyFont="1" applyFill="1" applyBorder="1" applyAlignment="1">
      <alignment horizontal="center"/>
    </xf>
    <xf numFmtId="169" fontId="43" fillId="8" borderId="7" xfId="0" applyNumberFormat="1" applyFont="1" applyFill="1" applyBorder="1" applyAlignment="1">
      <alignment horizontal="center"/>
    </xf>
    <xf numFmtId="172" fontId="43" fillId="8" borderId="7" xfId="1" applyNumberFormat="1" applyFont="1" applyFill="1" applyBorder="1" applyAlignment="1">
      <alignment horizontal="center"/>
    </xf>
    <xf numFmtId="164" fontId="43" fillId="8" borderId="7" xfId="1" applyFont="1" applyFill="1" applyBorder="1" applyAlignment="1">
      <alignment horizontal="center"/>
    </xf>
    <xf numFmtId="172" fontId="43" fillId="8" borderId="7" xfId="0" applyNumberFormat="1" applyFont="1" applyFill="1" applyBorder="1" applyAlignment="1">
      <alignment horizontal="center"/>
    </xf>
    <xf numFmtId="172" fontId="43" fillId="8" borderId="7" xfId="1" applyNumberFormat="1" applyFont="1" applyFill="1" applyBorder="1"/>
    <xf numFmtId="0" fontId="43" fillId="8" borderId="8" xfId="0" applyFont="1" applyFill="1" applyBorder="1" applyAlignment="1">
      <alignment horizontal="center"/>
    </xf>
    <xf numFmtId="0" fontId="43" fillId="0" borderId="0" xfId="0" applyFont="1" applyBorder="1" applyAlignment="1">
      <alignment horizontal="center" wrapText="1"/>
    </xf>
    <xf numFmtId="9" fontId="43" fillId="8" borderId="0" xfId="0" applyNumberFormat="1" applyFont="1" applyFill="1" applyBorder="1" applyAlignment="1">
      <alignment horizontal="center"/>
    </xf>
    <xf numFmtId="172" fontId="43" fillId="8" borderId="5" xfId="1" applyNumberFormat="1" applyFont="1" applyFill="1" applyBorder="1" applyAlignment="1">
      <alignment horizontal="center"/>
    </xf>
    <xf numFmtId="172" fontId="43" fillId="0" borderId="7" xfId="1" applyNumberFormat="1" applyFont="1" applyFill="1" applyBorder="1" applyAlignment="1">
      <alignment horizontal="center"/>
    </xf>
    <xf numFmtId="0" fontId="5" fillId="4" borderId="2" xfId="0" applyFont="1" applyFill="1" applyBorder="1"/>
    <xf numFmtId="0" fontId="43" fillId="3" borderId="2" xfId="0" applyFont="1" applyFill="1" applyBorder="1" applyAlignment="1">
      <alignment horizontal="center"/>
    </xf>
    <xf numFmtId="0" fontId="43" fillId="0" borderId="2" xfId="0" applyFont="1" applyBorder="1"/>
    <xf numFmtId="0" fontId="5" fillId="3" borderId="2" xfId="0" applyFont="1" applyFill="1" applyBorder="1" applyAlignment="1">
      <alignment horizontal="center"/>
    </xf>
    <xf numFmtId="0" fontId="43" fillId="3" borderId="4" xfId="0" applyFont="1" applyFill="1" applyBorder="1"/>
    <xf numFmtId="0" fontId="43" fillId="3" borderId="0" xfId="0" applyFont="1" applyFill="1" applyBorder="1"/>
    <xf numFmtId="0" fontId="43" fillId="3" borderId="5" xfId="0" applyFont="1" applyFill="1" applyBorder="1"/>
    <xf numFmtId="0" fontId="5" fillId="3" borderId="4" xfId="0" applyFont="1" applyFill="1" applyBorder="1" applyAlignment="1">
      <alignment horizontal="center"/>
    </xf>
    <xf numFmtId="0" fontId="5" fillId="0" borderId="0" xfId="0" applyFont="1"/>
    <xf numFmtId="0" fontId="43" fillId="0" borderId="4" xfId="0" applyFont="1" applyBorder="1" applyAlignment="1">
      <alignment vertical="center"/>
    </xf>
    <xf numFmtId="0" fontId="43" fillId="0" borderId="5" xfId="0" applyFont="1" applyBorder="1" applyAlignment="1">
      <alignment horizontal="center"/>
    </xf>
    <xf numFmtId="0" fontId="5" fillId="0" borderId="4" xfId="0" applyFont="1" applyBorder="1" applyAlignment="1">
      <alignment vertical="center"/>
    </xf>
    <xf numFmtId="0" fontId="43" fillId="8" borderId="0" xfId="0" applyFont="1" applyFill="1" applyBorder="1" applyAlignment="1">
      <alignment horizontal="center" wrapText="1"/>
    </xf>
    <xf numFmtId="2" fontId="43" fillId="8" borderId="0" xfId="0" applyNumberFormat="1" applyFont="1" applyFill="1" applyBorder="1" applyAlignment="1">
      <alignment horizontal="center"/>
    </xf>
    <xf numFmtId="9" fontId="43" fillId="8" borderId="0" xfId="4" applyFont="1" applyFill="1" applyBorder="1" applyAlignment="1">
      <alignment horizontal="center"/>
    </xf>
    <xf numFmtId="9" fontId="5" fillId="0" borderId="0" xfId="0" applyNumberFormat="1" applyFont="1"/>
    <xf numFmtId="175" fontId="43" fillId="0" borderId="0" xfId="0" applyNumberFormat="1" applyFont="1" applyFill="1" applyBorder="1" applyAlignment="1">
      <alignment horizontal="center"/>
    </xf>
    <xf numFmtId="1" fontId="43" fillId="0" borderId="5" xfId="0" applyNumberFormat="1" applyFont="1" applyBorder="1" applyAlignment="1">
      <alignment horizontal="center"/>
    </xf>
    <xf numFmtId="0" fontId="43" fillId="0" borderId="6" xfId="0" applyFont="1" applyBorder="1" applyAlignment="1">
      <alignment vertical="center"/>
    </xf>
    <xf numFmtId="0" fontId="43" fillId="0" borderId="8" xfId="0" applyFont="1" applyBorder="1" applyAlignment="1">
      <alignment horizontal="center"/>
    </xf>
    <xf numFmtId="172" fontId="43" fillId="0" borderId="183" xfId="7" applyNumberFormat="1" applyFont="1" applyFill="1" applyBorder="1" applyAlignment="1">
      <alignment horizontal="center"/>
    </xf>
    <xf numFmtId="9" fontId="43" fillId="0" borderId="0" xfId="4" applyFont="1" applyFill="1"/>
    <xf numFmtId="175" fontId="43" fillId="27" borderId="7" xfId="0" applyNumberFormat="1" applyFont="1" applyFill="1" applyBorder="1" applyAlignment="1">
      <alignment horizontal="center"/>
    </xf>
    <xf numFmtId="172" fontId="43" fillId="0" borderId="8" xfId="1" applyNumberFormat="1" applyFont="1" applyFill="1" applyBorder="1" applyAlignment="1">
      <alignment horizontal="center"/>
    </xf>
    <xf numFmtId="0" fontId="43" fillId="3" borderId="1" xfId="0" applyFont="1" applyFill="1" applyBorder="1"/>
    <xf numFmtId="0" fontId="43" fillId="3" borderId="2" xfId="0" applyFont="1" applyFill="1" applyBorder="1"/>
    <xf numFmtId="0" fontId="43" fillId="3" borderId="3" xfId="0" applyFont="1" applyFill="1" applyBorder="1"/>
    <xf numFmtId="0" fontId="5" fillId="3" borderId="5" xfId="0" applyFont="1" applyFill="1" applyBorder="1" applyAlignment="1">
      <alignment horizontal="center" wrapText="1"/>
    </xf>
    <xf numFmtId="0" fontId="43" fillId="0" borderId="5" xfId="0" applyFont="1" applyBorder="1"/>
    <xf numFmtId="9" fontId="43" fillId="0" borderId="0" xfId="4" applyFont="1" applyBorder="1"/>
    <xf numFmtId="9" fontId="43" fillId="0" borderId="5" xfId="0" applyNumberFormat="1" applyFont="1" applyBorder="1"/>
    <xf numFmtId="0" fontId="43" fillId="0" borderId="4" xfId="0" applyFont="1" applyFill="1" applyBorder="1"/>
    <xf numFmtId="0" fontId="43" fillId="0" borderId="5" xfId="0" applyFont="1" applyFill="1" applyBorder="1"/>
    <xf numFmtId="0" fontId="43" fillId="33" borderId="0" xfId="0" applyFont="1" applyFill="1" applyBorder="1" applyAlignment="1">
      <alignment horizontal="center"/>
    </xf>
    <xf numFmtId="1" fontId="43" fillId="33" borderId="0" xfId="0" applyNumberFormat="1" applyFont="1" applyFill="1" applyBorder="1" applyAlignment="1">
      <alignment horizontal="center"/>
    </xf>
    <xf numFmtId="169" fontId="43" fillId="33" borderId="0" xfId="0" applyNumberFormat="1" applyFont="1" applyFill="1" applyBorder="1" applyAlignment="1">
      <alignment horizontal="center"/>
    </xf>
    <xf numFmtId="2" fontId="43" fillId="33" borderId="0" xfId="0" applyNumberFormat="1" applyFont="1" applyFill="1" applyBorder="1" applyAlignment="1">
      <alignment horizontal="center"/>
    </xf>
    <xf numFmtId="172" fontId="43" fillId="33" borderId="0" xfId="0" applyNumberFormat="1" applyFont="1" applyFill="1" applyBorder="1" applyAlignment="1">
      <alignment horizontal="center"/>
    </xf>
    <xf numFmtId="172" fontId="43" fillId="33" borderId="0" xfId="0" applyNumberFormat="1" applyFont="1" applyFill="1" applyBorder="1"/>
    <xf numFmtId="175" fontId="43" fillId="33" borderId="0" xfId="0" applyNumberFormat="1" applyFont="1" applyFill="1" applyBorder="1" applyAlignment="1">
      <alignment horizontal="center"/>
    </xf>
    <xf numFmtId="9" fontId="43" fillId="33" borderId="0" xfId="0" applyNumberFormat="1" applyFont="1" applyFill="1" applyBorder="1" applyAlignment="1">
      <alignment horizontal="center"/>
    </xf>
    <xf numFmtId="172" fontId="43" fillId="33" borderId="5" xfId="0" applyNumberFormat="1" applyFont="1" applyFill="1" applyBorder="1" applyAlignment="1">
      <alignment horizontal="center"/>
    </xf>
    <xf numFmtId="1" fontId="43" fillId="0" borderId="0" xfId="0" applyNumberFormat="1" applyFont="1" applyBorder="1"/>
    <xf numFmtId="0" fontId="43" fillId="0" borderId="7" xfId="0" applyFont="1" applyBorder="1"/>
    <xf numFmtId="0" fontId="43" fillId="0" borderId="7" xfId="0" applyFont="1" applyFill="1" applyBorder="1"/>
    <xf numFmtId="9" fontId="43" fillId="0" borderId="7" xfId="4" applyFont="1" applyBorder="1"/>
    <xf numFmtId="9" fontId="43" fillId="0" borderId="8" xfId="0" applyNumberFormat="1" applyFont="1" applyBorder="1"/>
    <xf numFmtId="1" fontId="43" fillId="0" borderId="0" xfId="0" applyNumberFormat="1" applyFont="1" applyFill="1" applyBorder="1"/>
    <xf numFmtId="9" fontId="43" fillId="0" borderId="0" xfId="4" applyFont="1" applyFill="1" applyBorder="1"/>
    <xf numFmtId="9" fontId="43" fillId="0" borderId="5" xfId="0" applyNumberFormat="1" applyFont="1" applyFill="1" applyBorder="1"/>
    <xf numFmtId="169" fontId="43" fillId="0" borderId="7" xfId="0" applyNumberFormat="1" applyFont="1" applyFill="1" applyBorder="1" applyAlignment="1">
      <alignment horizontal="center"/>
    </xf>
    <xf numFmtId="175" fontId="43" fillId="27" borderId="7" xfId="0" applyNumberFormat="1" applyFont="1" applyFill="1" applyBorder="1"/>
    <xf numFmtId="1" fontId="43" fillId="0" borderId="7" xfId="0" applyNumberFormat="1" applyFont="1" applyFill="1" applyBorder="1"/>
    <xf numFmtId="9" fontId="43" fillId="0" borderId="7" xfId="4" applyFont="1" applyFill="1" applyBorder="1"/>
    <xf numFmtId="9" fontId="43" fillId="0" borderId="8" xfId="0" applyNumberFormat="1" applyFont="1" applyFill="1" applyBorder="1"/>
    <xf numFmtId="0" fontId="5" fillId="0" borderId="9" xfId="0" applyFont="1" applyBorder="1"/>
    <xf numFmtId="170" fontId="5" fillId="0" borderId="10" xfId="3" applyNumberFormat="1" applyFont="1" applyBorder="1"/>
    <xf numFmtId="9" fontId="5" fillId="0" borderId="10" xfId="0" applyNumberFormat="1" applyFont="1" applyBorder="1"/>
    <xf numFmtId="9" fontId="5" fillId="0" borderId="11" xfId="0" applyNumberFormat="1" applyFont="1" applyBorder="1"/>
    <xf numFmtId="0" fontId="72" fillId="0" borderId="0" xfId="2" applyFont="1"/>
    <xf numFmtId="0" fontId="43" fillId="0" borderId="0" xfId="0" applyFont="1" applyAlignment="1">
      <alignment wrapText="1"/>
    </xf>
    <xf numFmtId="9" fontId="43" fillId="0" borderId="0" xfId="0" applyNumberFormat="1" applyFont="1"/>
    <xf numFmtId="172" fontId="43" fillId="0" borderId="0" xfId="1" applyNumberFormat="1" applyFont="1"/>
    <xf numFmtId="180" fontId="43" fillId="0" borderId="0" xfId="1" applyNumberFormat="1" applyFont="1"/>
    <xf numFmtId="0" fontId="5" fillId="0" borderId="0" xfId="0" applyFont="1" applyAlignment="1">
      <alignment wrapText="1"/>
    </xf>
    <xf numFmtId="168" fontId="43" fillId="0" borderId="0" xfId="0" applyNumberFormat="1" applyFont="1"/>
    <xf numFmtId="174" fontId="43" fillId="0" borderId="0" xfId="0" applyNumberFormat="1" applyFont="1"/>
    <xf numFmtId="9" fontId="43" fillId="0" borderId="0" xfId="0" applyNumberFormat="1" applyFont="1" applyAlignment="1">
      <alignment wrapText="1"/>
    </xf>
    <xf numFmtId="43" fontId="43" fillId="0" borderId="0" xfId="3" applyFont="1"/>
    <xf numFmtId="190" fontId="43" fillId="0" borderId="0" xfId="3" applyNumberFormat="1" applyFont="1"/>
    <xf numFmtId="43" fontId="43" fillId="0" borderId="0" xfId="3" applyNumberFormat="1" applyFont="1"/>
    <xf numFmtId="43" fontId="43" fillId="0" borderId="0" xfId="0" applyNumberFormat="1" applyFont="1"/>
    <xf numFmtId="0" fontId="5" fillId="0" borderId="0" xfId="0" applyFont="1" applyAlignment="1">
      <alignment horizontal="right"/>
    </xf>
    <xf numFmtId="0" fontId="5" fillId="0" borderId="0" xfId="0" applyFont="1" applyAlignment="1">
      <alignment horizontal="center" wrapText="1"/>
    </xf>
    <xf numFmtId="9" fontId="5" fillId="0" borderId="0" xfId="0" applyNumberFormat="1" applyFont="1" applyAlignment="1">
      <alignment wrapText="1"/>
    </xf>
    <xf numFmtId="0" fontId="43" fillId="0" borderId="0" xfId="0" applyFont="1" applyAlignment="1">
      <alignment horizontal="right"/>
    </xf>
    <xf numFmtId="164" fontId="43" fillId="0" borderId="0" xfId="1" applyFont="1"/>
    <xf numFmtId="189" fontId="43" fillId="0" borderId="0" xfId="1" applyNumberFormat="1" applyFont="1"/>
    <xf numFmtId="0" fontId="5" fillId="0" borderId="9" xfId="0" applyFont="1" applyBorder="1" applyAlignment="1">
      <alignment horizontal="right"/>
    </xf>
    <xf numFmtId="164" fontId="5" fillId="0" borderId="10" xfId="1" applyFont="1" applyBorder="1"/>
    <xf numFmtId="189" fontId="5" fillId="0" borderId="10" xfId="1" applyNumberFormat="1" applyFont="1" applyBorder="1"/>
    <xf numFmtId="0" fontId="5" fillId="0" borderId="10" xfId="0" applyFont="1" applyBorder="1"/>
    <xf numFmtId="189" fontId="5" fillId="0" borderId="11" xfId="1" applyNumberFormat="1" applyFont="1" applyBorder="1"/>
    <xf numFmtId="167" fontId="43" fillId="0" borderId="0" xfId="0" applyNumberFormat="1" applyFont="1"/>
    <xf numFmtId="170" fontId="43" fillId="0" borderId="0" xfId="3" applyNumberFormat="1" applyFont="1"/>
    <xf numFmtId="0" fontId="73" fillId="0" borderId="0" xfId="0" applyFont="1"/>
    <xf numFmtId="0" fontId="5" fillId="0" borderId="0" xfId="0" applyFont="1" applyAlignment="1">
      <alignment horizontal="center"/>
    </xf>
    <xf numFmtId="167" fontId="43" fillId="0" borderId="0" xfId="0" applyNumberFormat="1" applyFont="1" applyFill="1"/>
    <xf numFmtId="0" fontId="43" fillId="0" borderId="0" xfId="0" applyFont="1" applyAlignment="1">
      <alignment horizontal="center"/>
    </xf>
    <xf numFmtId="166" fontId="43" fillId="0" borderId="0" xfId="0" applyNumberFormat="1" applyFont="1"/>
    <xf numFmtId="173" fontId="43" fillId="0" borderId="0" xfId="0" applyNumberFormat="1" applyFont="1"/>
    <xf numFmtId="173" fontId="43" fillId="0" borderId="0" xfId="0" applyNumberFormat="1" applyFont="1" applyAlignment="1">
      <alignment horizontal="center"/>
    </xf>
    <xf numFmtId="180" fontId="43" fillId="0" borderId="0" xfId="1" applyNumberFormat="1" applyFont="1" applyAlignment="1">
      <alignment horizontal="center"/>
    </xf>
    <xf numFmtId="9" fontId="43" fillId="0" borderId="0" xfId="0" applyNumberFormat="1" applyFont="1" applyAlignment="1">
      <alignment horizontal="center"/>
    </xf>
    <xf numFmtId="180" fontId="5" fillId="0" borderId="0" xfId="1" applyNumberFormat="1" applyFont="1" applyAlignment="1">
      <alignment horizontal="left"/>
    </xf>
    <xf numFmtId="43" fontId="43" fillId="8" borderId="0" xfId="3" applyFont="1" applyFill="1" applyAlignment="1">
      <alignment horizontal="center"/>
    </xf>
    <xf numFmtId="170" fontId="43" fillId="0" borderId="0" xfId="3" applyNumberFormat="1" applyFont="1" applyAlignment="1">
      <alignment horizontal="center"/>
    </xf>
    <xf numFmtId="180" fontId="5" fillId="0" borderId="0" xfId="1" applyNumberFormat="1" applyFont="1" applyAlignment="1">
      <alignment horizontal="center"/>
    </xf>
    <xf numFmtId="1" fontId="43" fillId="0" borderId="0" xfId="0" applyNumberFormat="1" applyFont="1"/>
    <xf numFmtId="173" fontId="5" fillId="0" borderId="10" xfId="0" applyNumberFormat="1" applyFont="1" applyBorder="1" applyAlignment="1">
      <alignment horizontal="center"/>
    </xf>
    <xf numFmtId="180" fontId="5" fillId="0" borderId="10" xfId="1" applyNumberFormat="1" applyFont="1" applyBorder="1" applyAlignment="1">
      <alignment horizontal="center"/>
    </xf>
    <xf numFmtId="180" fontId="5" fillId="0" borderId="11" xfId="1" applyNumberFormat="1" applyFont="1" applyBorder="1" applyAlignment="1">
      <alignment horizontal="center"/>
    </xf>
    <xf numFmtId="0" fontId="76" fillId="0" borderId="0" xfId="0" applyFont="1"/>
    <xf numFmtId="0" fontId="5" fillId="0" borderId="0" xfId="0" applyFont="1" applyFill="1"/>
    <xf numFmtId="175" fontId="43" fillId="0" borderId="0" xfId="1" applyNumberFormat="1" applyFont="1"/>
    <xf numFmtId="175" fontId="43" fillId="0" borderId="0" xfId="1" applyNumberFormat="1" applyFont="1" applyAlignment="1">
      <alignment wrapText="1"/>
    </xf>
    <xf numFmtId="175" fontId="5" fillId="0" borderId="0" xfId="0" applyNumberFormat="1" applyFont="1"/>
    <xf numFmtId="175" fontId="43" fillId="0" borderId="0" xfId="0" applyNumberFormat="1" applyFont="1"/>
    <xf numFmtId="175" fontId="43" fillId="0" borderId="0" xfId="1" applyNumberFormat="1" applyFont="1" applyAlignment="1"/>
    <xf numFmtId="0" fontId="31" fillId="39" borderId="0" xfId="0" applyFont="1" applyFill="1" applyBorder="1" applyAlignment="1">
      <alignment horizontal="center"/>
    </xf>
    <xf numFmtId="0" fontId="31" fillId="39" borderId="5" xfId="0" applyFont="1" applyFill="1" applyBorder="1" applyAlignment="1">
      <alignment horizontal="center"/>
    </xf>
    <xf numFmtId="0" fontId="31" fillId="39" borderId="4" xfId="0" applyFont="1" applyFill="1" applyBorder="1" applyAlignment="1">
      <alignment horizontal="center"/>
    </xf>
    <xf numFmtId="0" fontId="31" fillId="39" borderId="44" xfId="0" applyFont="1" applyFill="1" applyBorder="1" applyAlignment="1">
      <alignment horizontal="center"/>
    </xf>
    <xf numFmtId="0" fontId="13" fillId="39" borderId="41" xfId="0" applyFont="1" applyFill="1" applyBorder="1" applyAlignment="1">
      <alignment horizontal="left"/>
    </xf>
    <xf numFmtId="0" fontId="13" fillId="10" borderId="168" xfId="0" applyFont="1" applyFill="1" applyBorder="1"/>
    <xf numFmtId="0" fontId="13" fillId="10" borderId="161" xfId="0" applyFont="1" applyFill="1" applyBorder="1"/>
    <xf numFmtId="0" fontId="13" fillId="10" borderId="162" xfId="0" applyFont="1" applyFill="1" applyBorder="1"/>
    <xf numFmtId="0" fontId="13" fillId="10" borderId="160" xfId="0" applyFont="1" applyFill="1" applyBorder="1"/>
    <xf numFmtId="0" fontId="13" fillId="39" borderId="129" xfId="0" applyFont="1" applyFill="1" applyBorder="1" applyAlignment="1">
      <alignment horizontal="left"/>
    </xf>
    <xf numFmtId="164" fontId="13" fillId="10" borderId="155" xfId="1" applyFont="1" applyFill="1" applyBorder="1"/>
    <xf numFmtId="164" fontId="13" fillId="0" borderId="156" xfId="1" applyFont="1" applyFill="1" applyBorder="1"/>
    <xf numFmtId="164" fontId="13" fillId="0" borderId="157" xfId="1" applyFont="1" applyFill="1" applyBorder="1"/>
    <xf numFmtId="0" fontId="13" fillId="0" borderId="133" xfId="0" applyFont="1" applyBorder="1" applyAlignment="1">
      <alignment vertical="center"/>
    </xf>
    <xf numFmtId="164" fontId="13" fillId="10" borderId="156" xfId="1" applyFont="1" applyFill="1" applyBorder="1"/>
    <xf numFmtId="164" fontId="13" fillId="10" borderId="157" xfId="1" applyFont="1" applyFill="1" applyBorder="1"/>
    <xf numFmtId="172" fontId="13" fillId="10" borderId="155" xfId="1" applyNumberFormat="1" applyFont="1" applyFill="1" applyBorder="1"/>
    <xf numFmtId="172" fontId="13" fillId="10" borderId="156" xfId="1" applyNumberFormat="1" applyFont="1" applyFill="1" applyBorder="1"/>
    <xf numFmtId="172" fontId="13" fillId="10" borderId="157" xfId="1" applyNumberFormat="1" applyFont="1" applyFill="1" applyBorder="1"/>
    <xf numFmtId="172" fontId="13" fillId="10" borderId="155" xfId="0" applyNumberFormat="1" applyFont="1" applyFill="1" applyBorder="1"/>
    <xf numFmtId="177" fontId="13" fillId="10" borderId="156" xfId="0" applyNumberFormat="1" applyFont="1" applyFill="1" applyBorder="1"/>
    <xf numFmtId="177" fontId="13" fillId="10" borderId="157" xfId="0" applyNumberFormat="1" applyFont="1" applyFill="1" applyBorder="1"/>
    <xf numFmtId="9" fontId="13" fillId="10" borderId="156" xfId="4" applyFont="1" applyFill="1" applyBorder="1"/>
    <xf numFmtId="0" fontId="13" fillId="10" borderId="157" xfId="0" applyFont="1" applyFill="1" applyBorder="1"/>
    <xf numFmtId="175" fontId="5" fillId="0" borderId="0" xfId="1" applyNumberFormat="1" applyFont="1" applyAlignment="1">
      <alignment wrapText="1"/>
    </xf>
    <xf numFmtId="0" fontId="31" fillId="39" borderId="0" xfId="0" applyFont="1" applyFill="1" applyBorder="1" applyAlignment="1"/>
    <xf numFmtId="0" fontId="78" fillId="39" borderId="4" xfId="0" applyFont="1" applyFill="1" applyBorder="1" applyAlignment="1">
      <alignment horizontal="center"/>
    </xf>
    <xf numFmtId="0" fontId="78" fillId="39" borderId="0" xfId="0" applyFont="1" applyFill="1" applyBorder="1" applyAlignment="1">
      <alignment horizontal="center"/>
    </xf>
    <xf numFmtId="0" fontId="78" fillId="39" borderId="5" xfId="0" applyFont="1" applyFill="1" applyBorder="1" applyAlignment="1">
      <alignment horizontal="center"/>
    </xf>
    <xf numFmtId="164" fontId="13" fillId="0" borderId="159" xfId="1" applyNumberFormat="1" applyFont="1" applyFill="1" applyBorder="1"/>
    <xf numFmtId="2" fontId="13" fillId="0" borderId="160" xfId="0" applyNumberFormat="1" applyFont="1" applyFill="1" applyBorder="1"/>
    <xf numFmtId="0" fontId="13" fillId="0" borderId="160" xfId="0" applyFont="1" applyFill="1" applyBorder="1"/>
    <xf numFmtId="0" fontId="13" fillId="0" borderId="161" xfId="0" applyFont="1" applyFill="1" applyBorder="1"/>
    <xf numFmtId="0" fontId="13" fillId="0" borderId="162" xfId="0" applyFont="1" applyFill="1" applyBorder="1"/>
    <xf numFmtId="164" fontId="13" fillId="0" borderId="163" xfId="1" applyFont="1" applyFill="1" applyBorder="1"/>
    <xf numFmtId="164" fontId="13" fillId="0" borderId="164" xfId="1" applyFont="1" applyFill="1" applyBorder="1"/>
    <xf numFmtId="189" fontId="13" fillId="0" borderId="164" xfId="1" applyNumberFormat="1" applyFont="1" applyFill="1" applyBorder="1"/>
    <xf numFmtId="189" fontId="13" fillId="0" borderId="165" xfId="1" applyNumberFormat="1" applyFont="1" applyFill="1" applyBorder="1"/>
    <xf numFmtId="0" fontId="13" fillId="0" borderId="43" xfId="0" applyFont="1" applyBorder="1" applyAlignment="1">
      <alignment vertical="center"/>
    </xf>
    <xf numFmtId="0" fontId="13" fillId="39" borderId="32" xfId="0" applyFont="1" applyFill="1" applyBorder="1" applyAlignment="1">
      <alignment horizontal="left"/>
    </xf>
    <xf numFmtId="172" fontId="13" fillId="0" borderId="163" xfId="1" applyNumberFormat="1" applyFont="1" applyFill="1" applyBorder="1"/>
    <xf numFmtId="164" fontId="13" fillId="0" borderId="158" xfId="1" applyFont="1" applyFill="1" applyBorder="1"/>
    <xf numFmtId="172" fontId="13" fillId="0" borderId="156" xfId="1" applyNumberFormat="1" applyFont="1" applyFill="1" applyBorder="1"/>
    <xf numFmtId="172" fontId="13" fillId="0" borderId="157" xfId="1" applyNumberFormat="1" applyFont="1" applyFill="1" applyBorder="1"/>
    <xf numFmtId="10" fontId="5" fillId="0" borderId="0" xfId="4" applyNumberFormat="1" applyFont="1"/>
    <xf numFmtId="0" fontId="13" fillId="10" borderId="0" xfId="0" applyFont="1" applyFill="1"/>
    <xf numFmtId="0" fontId="78" fillId="39" borderId="43" xfId="0" applyFont="1" applyFill="1" applyBorder="1" applyAlignment="1">
      <alignment horizontal="center"/>
    </xf>
    <xf numFmtId="0" fontId="78" fillId="39" borderId="44" xfId="0" applyFont="1" applyFill="1" applyBorder="1" applyAlignment="1">
      <alignment horizontal="center"/>
    </xf>
    <xf numFmtId="0" fontId="78" fillId="39" borderId="41" xfId="0" applyFont="1" applyFill="1" applyBorder="1" applyAlignment="1">
      <alignment horizontal="center"/>
    </xf>
    <xf numFmtId="0" fontId="78" fillId="39" borderId="40" xfId="0" applyFont="1" applyFill="1" applyBorder="1" applyAlignment="1">
      <alignment horizontal="center"/>
    </xf>
    <xf numFmtId="0" fontId="78" fillId="39" borderId="42" xfId="0" applyFont="1" applyFill="1" applyBorder="1" applyAlignment="1">
      <alignment horizontal="center"/>
    </xf>
    <xf numFmtId="0" fontId="13" fillId="10" borderId="166" xfId="0" applyFont="1" applyFill="1" applyBorder="1"/>
    <xf numFmtId="0" fontId="13" fillId="10" borderId="167" xfId="0" applyFont="1" applyFill="1" applyBorder="1"/>
    <xf numFmtId="164" fontId="13" fillId="10" borderId="169" xfId="1" applyFont="1" applyFill="1" applyBorder="1"/>
    <xf numFmtId="164" fontId="13" fillId="0" borderId="170" xfId="1" applyFont="1" applyFill="1" applyBorder="1"/>
    <xf numFmtId="164" fontId="13" fillId="0" borderId="155" xfId="1" applyFont="1" applyFill="1" applyBorder="1"/>
    <xf numFmtId="0" fontId="13" fillId="0" borderId="4" xfId="0" applyFont="1" applyBorder="1" applyAlignment="1">
      <alignment vertical="center"/>
    </xf>
    <xf numFmtId="172" fontId="13" fillId="10" borderId="169" xfId="1" applyNumberFormat="1" applyFont="1" applyFill="1" applyBorder="1"/>
    <xf numFmtId="172" fontId="13" fillId="10" borderId="170" xfId="1" applyNumberFormat="1" applyFont="1" applyFill="1" applyBorder="1"/>
    <xf numFmtId="180" fontId="13" fillId="0" borderId="156" xfId="1" applyNumberFormat="1" applyFont="1" applyFill="1" applyBorder="1"/>
    <xf numFmtId="169" fontId="43" fillId="0" borderId="0" xfId="0" applyNumberFormat="1" applyFont="1"/>
    <xf numFmtId="175" fontId="5" fillId="0" borderId="0" xfId="1" applyNumberFormat="1" applyFont="1"/>
    <xf numFmtId="0" fontId="43" fillId="0" borderId="0" xfId="2" applyFont="1"/>
    <xf numFmtId="0" fontId="43" fillId="0" borderId="0" xfId="0" applyFont="1" applyAlignment="1">
      <alignment horizontal="left"/>
    </xf>
    <xf numFmtId="189" fontId="43" fillId="0" borderId="22" xfId="1" applyNumberFormat="1" applyFont="1" applyBorder="1"/>
    <xf numFmtId="181" fontId="43" fillId="0" borderId="0" xfId="0" applyNumberFormat="1" applyFont="1" applyBorder="1"/>
    <xf numFmtId="0" fontId="79" fillId="0" borderId="0" xfId="0" applyFont="1"/>
    <xf numFmtId="0" fontId="79" fillId="0" borderId="0" xfId="0" applyFont="1" applyBorder="1"/>
    <xf numFmtId="9" fontId="43" fillId="0" borderId="0" xfId="0" applyNumberFormat="1" applyFont="1" applyBorder="1"/>
    <xf numFmtId="3" fontId="43" fillId="0" borderId="0" xfId="0" applyNumberFormat="1" applyFont="1"/>
    <xf numFmtId="2" fontId="43" fillId="27" borderId="0" xfId="0" applyNumberFormat="1" applyFont="1" applyFill="1" applyBorder="1"/>
    <xf numFmtId="180" fontId="43" fillId="0" borderId="0" xfId="1" applyNumberFormat="1" applyFont="1" applyBorder="1"/>
    <xf numFmtId="180" fontId="43" fillId="0" borderId="0" xfId="1" applyNumberFormat="1" applyFont="1" applyBorder="1" applyAlignment="1">
      <alignment horizontal="center"/>
    </xf>
    <xf numFmtId="43" fontId="43" fillId="0" borderId="0" xfId="3" applyFont="1" applyBorder="1" applyAlignment="1">
      <alignment horizontal="center"/>
    </xf>
    <xf numFmtId="9" fontId="5" fillId="0" borderId="0" xfId="4" applyFont="1" applyBorder="1" applyAlignment="1">
      <alignment horizontal="center"/>
    </xf>
    <xf numFmtId="43" fontId="43" fillId="0" borderId="0" xfId="3" applyNumberFormat="1" applyFont="1" applyBorder="1" applyAlignment="1">
      <alignment horizontal="center"/>
    </xf>
    <xf numFmtId="0" fontId="43" fillId="0" borderId="0" xfId="0" applyFont="1" applyAlignment="1"/>
    <xf numFmtId="0" fontId="78" fillId="0" borderId="0" xfId="0" applyFont="1" applyProtection="1"/>
    <xf numFmtId="0" fontId="13" fillId="0" borderId="0" xfId="0" applyFont="1" applyAlignment="1" applyProtection="1">
      <alignment horizontal="left"/>
    </xf>
    <xf numFmtId="0" fontId="13" fillId="0" borderId="0" xfId="0" applyFont="1" applyProtection="1"/>
    <xf numFmtId="0" fontId="72" fillId="0" borderId="0" xfId="2" applyFont="1" applyProtection="1"/>
    <xf numFmtId="0" fontId="74" fillId="0" borderId="0" xfId="0" applyFont="1"/>
    <xf numFmtId="0" fontId="72" fillId="0" borderId="0" xfId="0" applyFont="1" applyAlignment="1">
      <alignment horizontal="right"/>
    </xf>
    <xf numFmtId="180" fontId="43" fillId="0" borderId="0" xfId="0" applyNumberFormat="1" applyFont="1"/>
    <xf numFmtId="0" fontId="43" fillId="0" borderId="0" xfId="5" applyFont="1" applyAlignment="1">
      <alignment horizontal="right" wrapText="1"/>
    </xf>
    <xf numFmtId="180" fontId="13" fillId="0" borderId="0" xfId="1" applyNumberFormat="1" applyFont="1" applyProtection="1"/>
    <xf numFmtId="0" fontId="44" fillId="0" borderId="1" xfId="5" applyFont="1" applyBorder="1"/>
    <xf numFmtId="0" fontId="44" fillId="0" borderId="2" xfId="5" applyFont="1" applyBorder="1"/>
    <xf numFmtId="0" fontId="44" fillId="0" borderId="3" xfId="5" applyFont="1" applyBorder="1"/>
    <xf numFmtId="0" fontId="43" fillId="0" borderId="0" xfId="0" applyFont="1" applyBorder="1" applyAlignment="1"/>
    <xf numFmtId="0" fontId="44" fillId="0" borderId="10" xfId="5" applyFont="1" applyBorder="1"/>
    <xf numFmtId="0" fontId="54" fillId="0" borderId="0" xfId="5" applyFont="1"/>
    <xf numFmtId="0" fontId="54" fillId="0" borderId="4" xfId="5" applyFont="1" applyBorder="1"/>
    <xf numFmtId="0" fontId="54" fillId="0" borderId="0" xfId="5" applyFont="1" applyBorder="1"/>
    <xf numFmtId="0" fontId="54" fillId="0" borderId="0" xfId="5" applyFont="1" applyBorder="1" applyAlignment="1">
      <alignment wrapText="1"/>
    </xf>
    <xf numFmtId="0" fontId="54" fillId="0" borderId="5" xfId="5" applyFont="1" applyBorder="1" applyAlignment="1">
      <alignment wrapText="1"/>
    </xf>
    <xf numFmtId="0" fontId="54" fillId="0" borderId="0" xfId="5" applyFont="1" applyAlignment="1">
      <alignment wrapText="1"/>
    </xf>
    <xf numFmtId="0" fontId="54" fillId="0" borderId="5" xfId="5" applyFont="1" applyBorder="1"/>
    <xf numFmtId="0" fontId="54" fillId="0" borderId="18" xfId="5" applyFont="1" applyBorder="1" applyAlignment="1">
      <alignment horizontal="center" wrapText="1"/>
    </xf>
    <xf numFmtId="0" fontId="54" fillId="0" borderId="1" xfId="5" applyFont="1" applyBorder="1" applyAlignment="1">
      <alignment wrapText="1"/>
    </xf>
    <xf numFmtId="0" fontId="54" fillId="0" borderId="2" xfId="5" applyFont="1" applyBorder="1" applyAlignment="1">
      <alignment wrapText="1"/>
    </xf>
    <xf numFmtId="0" fontId="54" fillId="0" borderId="2" xfId="5" applyFont="1" applyBorder="1"/>
    <xf numFmtId="0" fontId="54" fillId="0" borderId="3" xfId="5" applyFont="1" applyBorder="1" applyAlignment="1">
      <alignment wrapText="1"/>
    </xf>
    <xf numFmtId="0" fontId="54" fillId="0" borderId="4" xfId="5" applyFont="1" applyBorder="1" applyAlignment="1">
      <alignment wrapText="1"/>
    </xf>
    <xf numFmtId="0" fontId="54" fillId="0" borderId="0" xfId="5" applyFont="1" applyFill="1" applyBorder="1" applyAlignment="1">
      <alignment wrapText="1"/>
    </xf>
    <xf numFmtId="0" fontId="54" fillId="0" borderId="5" xfId="5" applyFont="1" applyFill="1" applyBorder="1" applyAlignment="1">
      <alignment wrapText="1"/>
    </xf>
    <xf numFmtId="0" fontId="54" fillId="0" borderId="2" xfId="5" applyFont="1" applyFill="1" applyBorder="1" applyAlignment="1">
      <alignment wrapText="1"/>
    </xf>
    <xf numFmtId="0" fontId="54" fillId="0" borderId="124" xfId="5" applyFont="1" applyBorder="1" applyAlignment="1">
      <alignment wrapText="1"/>
    </xf>
    <xf numFmtId="0" fontId="54" fillId="0" borderId="124" xfId="5" applyFont="1" applyFill="1" applyBorder="1" applyAlignment="1">
      <alignment wrapText="1"/>
    </xf>
    <xf numFmtId="0" fontId="54" fillId="0" borderId="3" xfId="5" applyFont="1" applyFill="1" applyBorder="1" applyAlignment="1">
      <alignment wrapText="1"/>
    </xf>
    <xf numFmtId="0" fontId="54" fillId="0" borderId="1" xfId="5" applyFont="1" applyFill="1" applyBorder="1"/>
    <xf numFmtId="0" fontId="54" fillId="0" borderId="2" xfId="5" applyFont="1" applyFill="1" applyBorder="1"/>
    <xf numFmtId="0" fontId="54" fillId="0" borderId="3" xfId="5" applyFont="1" applyFill="1" applyBorder="1"/>
    <xf numFmtId="0" fontId="54" fillId="0" borderId="0" xfId="5" applyFont="1" applyFill="1" applyBorder="1"/>
    <xf numFmtId="0" fontId="44" fillId="0" borderId="4" xfId="5" applyFont="1" applyBorder="1"/>
    <xf numFmtId="0" fontId="44" fillId="0" borderId="0" xfId="5" applyFont="1" applyBorder="1" applyAlignment="1">
      <alignment horizontal="right"/>
    </xf>
    <xf numFmtId="0" fontId="44" fillId="0" borderId="5" xfId="5" applyFont="1" applyBorder="1"/>
    <xf numFmtId="0" fontId="44" fillId="0" borderId="4" xfId="5" applyFont="1" applyBorder="1" applyAlignment="1">
      <alignment horizontal="right"/>
    </xf>
    <xf numFmtId="0" fontId="44" fillId="27" borderId="0" xfId="5" applyFont="1" applyFill="1" applyBorder="1" applyAlignment="1">
      <alignment horizontal="right"/>
    </xf>
    <xf numFmtId="0" fontId="44" fillId="0" borderId="5" xfId="5" applyFont="1" applyBorder="1" applyAlignment="1">
      <alignment horizontal="right"/>
    </xf>
    <xf numFmtId="0" fontId="44" fillId="0" borderId="0" xfId="5" applyFont="1" applyAlignment="1">
      <alignment horizontal="right"/>
    </xf>
    <xf numFmtId="0" fontId="44" fillId="27" borderId="5" xfId="5" applyFont="1" applyFill="1" applyBorder="1" applyAlignment="1">
      <alignment horizontal="right"/>
    </xf>
    <xf numFmtId="170" fontId="44" fillId="0" borderId="13" xfId="3" applyNumberFormat="1" applyFont="1" applyBorder="1"/>
    <xf numFmtId="172" fontId="44" fillId="0" borderId="4" xfId="1" applyNumberFormat="1" applyFont="1" applyBorder="1"/>
    <xf numFmtId="164" fontId="44" fillId="0" borderId="0" xfId="1" applyNumberFormat="1" applyFont="1" applyBorder="1"/>
    <xf numFmtId="172" fontId="44" fillId="0" borderId="0" xfId="1" applyNumberFormat="1" applyFont="1" applyBorder="1"/>
    <xf numFmtId="172" fontId="44" fillId="0" borderId="0" xfId="5" applyNumberFormat="1" applyFont="1" applyBorder="1"/>
    <xf numFmtId="175" fontId="44" fillId="0" borderId="5" xfId="5" applyNumberFormat="1" applyFont="1" applyBorder="1"/>
    <xf numFmtId="180" fontId="44" fillId="0" borderId="0" xfId="1" applyNumberFormat="1" applyFont="1" applyBorder="1"/>
    <xf numFmtId="175" fontId="44" fillId="0" borderId="0" xfId="5" applyNumberFormat="1" applyFont="1" applyBorder="1"/>
    <xf numFmtId="171" fontId="44" fillId="0" borderId="0" xfId="5" applyNumberFormat="1" applyFont="1" applyBorder="1"/>
    <xf numFmtId="192" fontId="44" fillId="0" borderId="5" xfId="5" applyNumberFormat="1" applyFont="1" applyBorder="1"/>
    <xf numFmtId="172" fontId="44" fillId="0" borderId="15" xfId="1" applyNumberFormat="1" applyFont="1" applyBorder="1"/>
    <xf numFmtId="170" fontId="44" fillId="0" borderId="4" xfId="3" applyNumberFormat="1" applyFont="1" applyBorder="1"/>
    <xf numFmtId="170" fontId="44" fillId="0" borderId="0" xfId="3" applyNumberFormat="1" applyFont="1" applyBorder="1"/>
    <xf numFmtId="43" fontId="44" fillId="0" borderId="5" xfId="3" applyNumberFormat="1" applyFont="1" applyBorder="1"/>
    <xf numFmtId="0" fontId="44" fillId="0" borderId="0" xfId="5" applyFont="1" applyBorder="1"/>
    <xf numFmtId="0" fontId="44" fillId="0" borderId="5" xfId="5" applyFont="1" applyFill="1" applyBorder="1"/>
    <xf numFmtId="0" fontId="44" fillId="0" borderId="0" xfId="5" applyFont="1" applyAlignment="1">
      <alignment horizontal="left"/>
    </xf>
    <xf numFmtId="0" fontId="44" fillId="0" borderId="15" xfId="5" applyFont="1" applyBorder="1"/>
    <xf numFmtId="180" fontId="44" fillId="0" borderId="0" xfId="5" applyNumberFormat="1" applyFont="1" applyBorder="1"/>
    <xf numFmtId="0" fontId="44" fillId="0" borderId="4" xfId="5" applyFont="1" applyBorder="1" applyAlignment="1">
      <alignment horizontal="left"/>
    </xf>
    <xf numFmtId="0" fontId="44" fillId="28" borderId="5" xfId="5" applyFont="1" applyFill="1" applyBorder="1" applyAlignment="1">
      <alignment horizontal="right"/>
    </xf>
    <xf numFmtId="172" fontId="44" fillId="0" borderId="0" xfId="1" applyNumberFormat="1" applyFont="1" applyFill="1" applyBorder="1"/>
    <xf numFmtId="0" fontId="44" fillId="0" borderId="5" xfId="5" applyFont="1" applyFill="1" applyBorder="1" applyAlignment="1">
      <alignment horizontal="right"/>
    </xf>
    <xf numFmtId="172" fontId="44" fillId="0" borderId="4" xfId="1" applyNumberFormat="1" applyFont="1" applyFill="1" applyBorder="1"/>
    <xf numFmtId="0" fontId="80" fillId="0" borderId="0" xfId="5" applyFont="1" applyBorder="1" applyAlignment="1">
      <alignment horizontal="right"/>
    </xf>
    <xf numFmtId="0" fontId="44" fillId="0" borderId="6" xfId="5" applyFont="1" applyBorder="1" applyAlignment="1">
      <alignment horizontal="left"/>
    </xf>
    <xf numFmtId="0" fontId="44" fillId="0" borderId="7" xfId="5" applyFont="1" applyBorder="1" applyAlignment="1">
      <alignment horizontal="right"/>
    </xf>
    <xf numFmtId="0" fontId="44" fillId="0" borderId="8" xfId="5" applyFont="1" applyFill="1" applyBorder="1"/>
    <xf numFmtId="0" fontId="44" fillId="0" borderId="6" xfId="5" applyFont="1" applyBorder="1" applyAlignment="1">
      <alignment horizontal="right"/>
    </xf>
    <xf numFmtId="0" fontId="44" fillId="27" borderId="7" xfId="5" applyFont="1" applyFill="1" applyBorder="1" applyAlignment="1">
      <alignment horizontal="right"/>
    </xf>
    <xf numFmtId="0" fontId="44" fillId="27" borderId="8" xfId="5" applyFont="1" applyFill="1" applyBorder="1" applyAlignment="1">
      <alignment horizontal="right"/>
    </xf>
    <xf numFmtId="0" fontId="44" fillId="0" borderId="8" xfId="5" applyFont="1" applyBorder="1" applyAlignment="1">
      <alignment horizontal="right"/>
    </xf>
    <xf numFmtId="170" fontId="44" fillId="0" borderId="17" xfId="3" applyNumberFormat="1" applyFont="1" applyBorder="1"/>
    <xf numFmtId="172" fontId="44" fillId="0" borderId="6" xfId="1" applyNumberFormat="1" applyFont="1" applyFill="1" applyBorder="1"/>
    <xf numFmtId="164" fontId="44" fillId="0" borderId="7" xfId="1" applyNumberFormat="1" applyFont="1" applyBorder="1"/>
    <xf numFmtId="172" fontId="44" fillId="0" borderId="7" xfId="1" applyNumberFormat="1" applyFont="1" applyFill="1" applyBorder="1"/>
    <xf numFmtId="172" fontId="44" fillId="0" borderId="7" xfId="5" applyNumberFormat="1" applyFont="1" applyBorder="1"/>
    <xf numFmtId="175" fontId="44" fillId="0" borderId="8" xfId="5" applyNumberFormat="1" applyFont="1" applyBorder="1"/>
    <xf numFmtId="172" fontId="44" fillId="0" borderId="7" xfId="1" applyNumberFormat="1" applyFont="1" applyBorder="1"/>
    <xf numFmtId="175" fontId="44" fillId="0" borderId="7" xfId="5" applyNumberFormat="1" applyFont="1" applyBorder="1"/>
    <xf numFmtId="180" fontId="44" fillId="0" borderId="7" xfId="1" applyNumberFormat="1" applyFont="1" applyBorder="1"/>
    <xf numFmtId="172" fontId="44" fillId="0" borderId="6" xfId="1" applyNumberFormat="1" applyFont="1" applyBorder="1"/>
    <xf numFmtId="171" fontId="44" fillId="0" borderId="7" xfId="5" applyNumberFormat="1" applyFont="1" applyBorder="1"/>
    <xf numFmtId="192" fontId="44" fillId="0" borderId="8" xfId="5" applyNumberFormat="1" applyFont="1" applyBorder="1"/>
    <xf numFmtId="172" fontId="44" fillId="0" borderId="125" xfId="1" applyNumberFormat="1" applyFont="1" applyBorder="1"/>
    <xf numFmtId="170" fontId="44" fillId="0" borderId="6" xfId="3" applyNumberFormat="1" applyFont="1" applyBorder="1"/>
    <xf numFmtId="170" fontId="44" fillId="0" borderId="7" xfId="3" applyNumberFormat="1" applyFont="1" applyBorder="1"/>
    <xf numFmtId="43" fontId="44" fillId="0" borderId="8" xfId="3" applyNumberFormat="1" applyFont="1" applyBorder="1"/>
    <xf numFmtId="172" fontId="44" fillId="0" borderId="0" xfId="1" applyNumberFormat="1" applyFont="1"/>
    <xf numFmtId="0" fontId="54" fillId="0" borderId="9" xfId="5" applyFont="1" applyBorder="1"/>
    <xf numFmtId="0" fontId="54" fillId="0" borderId="10" xfId="5" applyFont="1" applyBorder="1"/>
    <xf numFmtId="0" fontId="54" fillId="0" borderId="11" xfId="5" applyFont="1" applyBorder="1"/>
    <xf numFmtId="170" fontId="54" fillId="0" borderId="12" xfId="3" applyNumberFormat="1" applyFont="1" applyBorder="1"/>
    <xf numFmtId="183" fontId="54" fillId="0" borderId="9" xfId="5" applyNumberFormat="1" applyFont="1" applyBorder="1"/>
    <xf numFmtId="175" fontId="54" fillId="0" borderId="10" xfId="5" applyNumberFormat="1" applyFont="1" applyBorder="1"/>
    <xf numFmtId="183" fontId="54" fillId="0" borderId="10" xfId="5" applyNumberFormat="1" applyFont="1" applyBorder="1"/>
    <xf numFmtId="175" fontId="54" fillId="0" borderId="11" xfId="5" applyNumberFormat="1" applyFont="1" applyBorder="1"/>
    <xf numFmtId="171" fontId="54" fillId="0" borderId="9" xfId="5" applyNumberFormat="1" applyFont="1" applyBorder="1"/>
    <xf numFmtId="171" fontId="54" fillId="0" borderId="10" xfId="5" applyNumberFormat="1" applyFont="1" applyBorder="1"/>
    <xf numFmtId="164" fontId="54" fillId="0" borderId="10" xfId="5" applyNumberFormat="1" applyFont="1" applyBorder="1"/>
    <xf numFmtId="170" fontId="54" fillId="0" borderId="9" xfId="5" applyNumberFormat="1" applyFont="1" applyBorder="1"/>
    <xf numFmtId="170" fontId="54" fillId="0" borderId="10" xfId="5" applyNumberFormat="1" applyFont="1" applyBorder="1"/>
    <xf numFmtId="43" fontId="54" fillId="0" borderId="11" xfId="3" applyFont="1" applyBorder="1"/>
    <xf numFmtId="193" fontId="44" fillId="0" borderId="0" xfId="5" applyNumberFormat="1" applyFont="1"/>
    <xf numFmtId="0" fontId="44" fillId="0" borderId="9" xfId="5" applyFont="1" applyBorder="1"/>
    <xf numFmtId="0" fontId="44" fillId="0" borderId="11" xfId="5" applyFont="1" applyBorder="1"/>
    <xf numFmtId="164" fontId="44" fillId="0" borderId="0" xfId="5" applyNumberFormat="1" applyFont="1"/>
    <xf numFmtId="0" fontId="54" fillId="0" borderId="1" xfId="5" applyFont="1" applyBorder="1"/>
    <xf numFmtId="0" fontId="54" fillId="0" borderId="3" xfId="5" applyFont="1" applyBorder="1"/>
    <xf numFmtId="0" fontId="44" fillId="27" borderId="0" xfId="5" applyFont="1" applyFill="1"/>
    <xf numFmtId="0" fontId="54" fillId="0" borderId="6" xfId="5" applyFont="1" applyBorder="1"/>
    <xf numFmtId="0" fontId="54" fillId="0" borderId="7" xfId="5" applyFont="1" applyBorder="1"/>
    <xf numFmtId="0" fontId="54" fillId="0" borderId="8" xfId="5" applyFont="1" applyBorder="1"/>
    <xf numFmtId="171" fontId="44" fillId="0" borderId="5" xfId="5" applyNumberFormat="1" applyFont="1" applyBorder="1"/>
    <xf numFmtId="183" fontId="44" fillId="0" borderId="0" xfId="5" applyNumberFormat="1" applyFont="1" applyBorder="1"/>
    <xf numFmtId="0" fontId="44" fillId="0" borderId="6" xfId="5" applyFont="1" applyBorder="1"/>
    <xf numFmtId="0" fontId="44" fillId="0" borderId="7" xfId="5" applyFont="1" applyBorder="1"/>
    <xf numFmtId="0" fontId="44" fillId="0" borderId="8" xfId="5" applyFont="1" applyBorder="1"/>
    <xf numFmtId="0" fontId="54" fillId="0" borderId="12" xfId="5" applyFont="1" applyBorder="1"/>
    <xf numFmtId="0" fontId="44" fillId="0" borderId="13" xfId="5" applyFont="1" applyBorder="1"/>
    <xf numFmtId="0" fontId="44" fillId="0" borderId="17" xfId="5" applyFont="1" applyBorder="1"/>
    <xf numFmtId="0" fontId="54" fillId="0" borderId="18" xfId="5" applyFont="1" applyBorder="1"/>
    <xf numFmtId="9" fontId="44" fillId="0" borderId="1" xfId="5" applyNumberFormat="1" applyFont="1" applyBorder="1"/>
    <xf numFmtId="9" fontId="44" fillId="0" borderId="2" xfId="5" applyNumberFormat="1" applyFont="1" applyBorder="1"/>
    <xf numFmtId="9" fontId="44" fillId="0" borderId="4" xfId="5" applyNumberFormat="1" applyFont="1" applyBorder="1"/>
    <xf numFmtId="9" fontId="44" fillId="0" borderId="0" xfId="5" applyNumberFormat="1" applyFont="1" applyBorder="1"/>
    <xf numFmtId="9" fontId="44" fillId="0" borderId="6" xfId="5" applyNumberFormat="1" applyFont="1" applyBorder="1"/>
    <xf numFmtId="9" fontId="44" fillId="0" borderId="7" xfId="5" applyNumberFormat="1" applyFont="1" applyBorder="1"/>
    <xf numFmtId="0" fontId="81" fillId="26" borderId="0" xfId="0" applyFont="1" applyFill="1"/>
    <xf numFmtId="0" fontId="43" fillId="26" borderId="0" xfId="0" applyFont="1" applyFill="1"/>
    <xf numFmtId="0" fontId="81" fillId="0" borderId="0" xfId="0" applyFont="1"/>
    <xf numFmtId="1" fontId="5" fillId="0" borderId="10" xfId="0" applyNumberFormat="1" applyFont="1" applyFill="1" applyBorder="1"/>
    <xf numFmtId="169" fontId="5" fillId="0" borderId="10" xfId="0" applyNumberFormat="1" applyFont="1" applyFill="1" applyBorder="1"/>
    <xf numFmtId="1" fontId="5" fillId="0" borderId="10" xfId="0" applyNumberFormat="1" applyFont="1" applyBorder="1"/>
    <xf numFmtId="172" fontId="5" fillId="0" borderId="10" xfId="1" applyNumberFormat="1" applyFont="1" applyBorder="1"/>
    <xf numFmtId="0" fontId="5" fillId="0" borderId="11" xfId="0" applyFont="1" applyBorder="1"/>
    <xf numFmtId="0" fontId="43" fillId="0" borderId="0" xfId="0" applyFont="1" applyFill="1" applyBorder="1" applyAlignment="1">
      <alignment horizontal="right"/>
    </xf>
    <xf numFmtId="0" fontId="5" fillId="0" borderId="0" xfId="0" applyFont="1" applyBorder="1"/>
    <xf numFmtId="2" fontId="43" fillId="0" borderId="0" xfId="0" applyNumberFormat="1" applyFont="1" applyBorder="1"/>
    <xf numFmtId="169" fontId="5" fillId="0" borderId="0" xfId="0" applyNumberFormat="1" applyFont="1" applyFill="1" applyBorder="1"/>
    <xf numFmtId="1" fontId="5" fillId="0" borderId="0" xfId="0" applyNumberFormat="1" applyFont="1" applyBorder="1"/>
    <xf numFmtId="172" fontId="5" fillId="0" borderId="0" xfId="1" applyNumberFormat="1" applyFont="1" applyBorder="1"/>
    <xf numFmtId="1" fontId="5" fillId="0" borderId="0" xfId="0" applyNumberFormat="1" applyFont="1"/>
    <xf numFmtId="1" fontId="43" fillId="0" borderId="0" xfId="0" applyNumberFormat="1" applyFont="1" applyFill="1"/>
    <xf numFmtId="3" fontId="43" fillId="0" borderId="0" xfId="0" applyNumberFormat="1" applyFont="1" applyFill="1"/>
    <xf numFmtId="0" fontId="81" fillId="0" borderId="0" xfId="0" applyFont="1" applyFill="1"/>
    <xf numFmtId="0" fontId="5" fillId="0" borderId="0" xfId="0" applyFont="1" applyFill="1" applyAlignment="1">
      <alignment horizontal="center"/>
    </xf>
    <xf numFmtId="1" fontId="5" fillId="0" borderId="11" xfId="0" applyNumberFormat="1" applyFont="1" applyFill="1" applyBorder="1"/>
    <xf numFmtId="180" fontId="5" fillId="0" borderId="0" xfId="1" applyNumberFormat="1" applyFont="1" applyFill="1" applyBorder="1"/>
    <xf numFmtId="49" fontId="5" fillId="0" borderId="0" xfId="0" applyNumberFormat="1" applyFont="1"/>
    <xf numFmtId="170" fontId="43" fillId="0" borderId="0" xfId="3" applyNumberFormat="1" applyFont="1" applyBorder="1"/>
    <xf numFmtId="172" fontId="43" fillId="0" borderId="0" xfId="0" applyNumberFormat="1" applyFont="1" applyBorder="1"/>
    <xf numFmtId="0" fontId="78" fillId="19" borderId="54" xfId="0" applyFont="1" applyFill="1" applyBorder="1" applyAlignment="1">
      <alignment horizontal="left" vertical="center" wrapText="1" readingOrder="1"/>
    </xf>
    <xf numFmtId="0" fontId="78" fillId="19" borderId="54" xfId="0" applyFont="1" applyFill="1" applyBorder="1" applyAlignment="1">
      <alignment horizontal="right" vertical="center" wrapText="1" readingOrder="1"/>
    </xf>
    <xf numFmtId="0" fontId="78" fillId="19" borderId="54" xfId="0" applyFont="1" applyFill="1" applyBorder="1" applyAlignment="1">
      <alignment horizontal="center" vertical="center" wrapText="1" readingOrder="1"/>
    </xf>
    <xf numFmtId="0" fontId="78" fillId="20" borderId="54" xfId="0" applyFont="1" applyFill="1" applyBorder="1" applyAlignment="1">
      <alignment horizontal="center" vertical="center" wrapText="1" readingOrder="1"/>
    </xf>
    <xf numFmtId="0" fontId="78" fillId="16" borderId="54" xfId="0" applyFont="1" applyFill="1" applyBorder="1" applyAlignment="1">
      <alignment horizontal="center" vertical="center" wrapText="1" readingOrder="1"/>
    </xf>
    <xf numFmtId="0" fontId="78" fillId="16" borderId="56" xfId="0" applyFont="1" applyFill="1" applyBorder="1" applyAlignment="1">
      <alignment horizontal="center" vertical="center" wrapText="1" readingOrder="1"/>
    </xf>
    <xf numFmtId="0" fontId="78" fillId="16" borderId="55" xfId="0" applyFont="1" applyFill="1" applyBorder="1" applyAlignment="1">
      <alignment horizontal="center" vertical="center" wrapText="1" readingOrder="1"/>
    </xf>
    <xf numFmtId="0" fontId="78" fillId="17" borderId="55" xfId="0" applyFont="1" applyFill="1" applyBorder="1" applyAlignment="1">
      <alignment horizontal="center" vertical="center" wrapText="1" readingOrder="1"/>
    </xf>
    <xf numFmtId="172" fontId="78" fillId="19" borderId="54" xfId="0" applyNumberFormat="1" applyFont="1" applyFill="1" applyBorder="1" applyAlignment="1">
      <alignment horizontal="left" vertical="center" wrapText="1" readingOrder="1"/>
    </xf>
    <xf numFmtId="0" fontId="78" fillId="17" borderId="54" xfId="0" applyFont="1" applyFill="1" applyBorder="1" applyAlignment="1">
      <alignment horizontal="center" vertical="center" wrapText="1" readingOrder="1"/>
    </xf>
    <xf numFmtId="0" fontId="78" fillId="20" borderId="54" xfId="0" applyFont="1" applyFill="1" applyBorder="1" applyAlignment="1">
      <alignment horizontal="left" vertical="center" wrapText="1" readingOrder="1"/>
    </xf>
    <xf numFmtId="186" fontId="43" fillId="0" borderId="0" xfId="0" applyNumberFormat="1" applyFont="1"/>
    <xf numFmtId="1" fontId="43" fillId="38" borderId="0" xfId="0" applyNumberFormat="1" applyFont="1" applyFill="1"/>
    <xf numFmtId="0" fontId="43" fillId="38" borderId="0" xfId="0" applyFont="1" applyFill="1"/>
    <xf numFmtId="172" fontId="43" fillId="0" borderId="0" xfId="0" applyNumberFormat="1" applyFont="1"/>
    <xf numFmtId="172" fontId="43" fillId="38" borderId="0" xfId="0" applyNumberFormat="1" applyFont="1" applyFill="1"/>
    <xf numFmtId="1" fontId="43" fillId="34" borderId="0" xfId="0" applyNumberFormat="1" applyFont="1" applyFill="1"/>
    <xf numFmtId="0" fontId="82" fillId="0" borderId="0" xfId="0" applyFont="1"/>
    <xf numFmtId="0" fontId="82" fillId="0" borderId="0" xfId="0" applyFont="1" applyAlignment="1">
      <alignment wrapText="1"/>
    </xf>
    <xf numFmtId="0" fontId="71" fillId="0" borderId="0" xfId="2" applyFont="1"/>
    <xf numFmtId="164" fontId="43" fillId="0" borderId="0" xfId="6" applyFont="1"/>
    <xf numFmtId="172" fontId="43" fillId="0" borderId="0" xfId="0" applyNumberFormat="1" applyFont="1" applyAlignment="1">
      <alignment horizontal="center"/>
    </xf>
    <xf numFmtId="182" fontId="43" fillId="0" borderId="0" xfId="0" applyNumberFormat="1" applyFont="1"/>
    <xf numFmtId="0" fontId="43" fillId="22" borderId="0" xfId="0" applyFont="1" applyFill="1"/>
    <xf numFmtId="0" fontId="78" fillId="19" borderId="66" xfId="0" applyFont="1" applyFill="1" applyBorder="1" applyAlignment="1">
      <alignment horizontal="center" vertical="center" wrapText="1" readingOrder="1"/>
    </xf>
    <xf numFmtId="0" fontId="78" fillId="19" borderId="67" xfId="0" applyFont="1" applyFill="1" applyBorder="1" applyAlignment="1">
      <alignment horizontal="center" vertical="center" wrapText="1" readingOrder="1"/>
    </xf>
    <xf numFmtId="0" fontId="78" fillId="19" borderId="65" xfId="0" applyFont="1" applyFill="1" applyBorder="1" applyAlignment="1">
      <alignment horizontal="center" vertical="center" wrapText="1" readingOrder="1"/>
    </xf>
    <xf numFmtId="0" fontId="83" fillId="0" borderId="0" xfId="0" applyFont="1"/>
    <xf numFmtId="169" fontId="43" fillId="0" borderId="0" xfId="0" applyNumberFormat="1" applyFont="1" applyAlignment="1">
      <alignment horizontal="center"/>
    </xf>
    <xf numFmtId="1" fontId="43" fillId="0" borderId="0" xfId="0" applyNumberFormat="1" applyFont="1" applyAlignment="1"/>
    <xf numFmtId="0" fontId="43" fillId="34" borderId="0" xfId="0" applyFont="1" applyFill="1" applyAlignment="1">
      <alignment horizontal="right"/>
    </xf>
    <xf numFmtId="1" fontId="43" fillId="0" borderId="0" xfId="0" applyNumberFormat="1" applyFont="1" applyAlignment="1">
      <alignment horizontal="right"/>
    </xf>
    <xf numFmtId="172" fontId="43" fillId="0" borderId="0" xfId="0" applyNumberFormat="1" applyFont="1" applyAlignment="1"/>
    <xf numFmtId="187" fontId="43" fillId="0" borderId="0" xfId="0" applyNumberFormat="1" applyFont="1"/>
    <xf numFmtId="17" fontId="43" fillId="0" borderId="0" xfId="0" applyNumberFormat="1" applyFont="1" applyAlignment="1">
      <alignment horizontal="right"/>
    </xf>
    <xf numFmtId="169" fontId="43" fillId="0" borderId="0" xfId="0" applyNumberFormat="1" applyFont="1" applyAlignment="1">
      <alignment horizontal="right"/>
    </xf>
    <xf numFmtId="0" fontId="43" fillId="0" borderId="0" xfId="0" applyFont="1" applyAlignment="1">
      <alignment horizontal="center" wrapText="1"/>
    </xf>
    <xf numFmtId="0" fontId="84" fillId="0" borderId="0" xfId="0" applyFont="1" applyAlignment="1">
      <alignment wrapText="1"/>
    </xf>
    <xf numFmtId="0" fontId="83" fillId="0" borderId="0" xfId="0" applyFont="1" applyAlignment="1"/>
    <xf numFmtId="0" fontId="43" fillId="34" borderId="0" xfId="0" applyFont="1" applyFill="1" applyAlignment="1"/>
    <xf numFmtId="0" fontId="84" fillId="0" borderId="0" xfId="0" applyFont="1"/>
    <xf numFmtId="0" fontId="83" fillId="0" borderId="0" xfId="0" applyFont="1" applyAlignment="1">
      <alignment horizontal="right"/>
    </xf>
    <xf numFmtId="17" fontId="43" fillId="0" borderId="0" xfId="0" applyNumberFormat="1" applyFont="1"/>
    <xf numFmtId="0" fontId="85" fillId="0" borderId="0" xfId="0" applyFont="1"/>
    <xf numFmtId="183" fontId="43" fillId="0" borderId="0" xfId="0" applyNumberFormat="1" applyFont="1"/>
    <xf numFmtId="0" fontId="43" fillId="34" borderId="0" xfId="0" applyFont="1" applyFill="1"/>
    <xf numFmtId="1" fontId="43" fillId="0" borderId="0" xfId="0" applyNumberFormat="1" applyFont="1" applyAlignment="1">
      <alignment horizontal="center"/>
    </xf>
    <xf numFmtId="164" fontId="43" fillId="0" borderId="0" xfId="0" applyNumberFormat="1" applyFont="1"/>
    <xf numFmtId="0" fontId="83" fillId="0" borderId="0" xfId="0" applyFont="1" applyAlignment="1">
      <alignment wrapText="1"/>
    </xf>
    <xf numFmtId="185" fontId="43" fillId="0" borderId="0" xfId="0" applyNumberFormat="1" applyFont="1"/>
    <xf numFmtId="169" fontId="83" fillId="0" borderId="0" xfId="0" applyNumberFormat="1" applyFont="1" applyAlignment="1"/>
    <xf numFmtId="172" fontId="84" fillId="0" borderId="0" xfId="0" applyNumberFormat="1" applyFont="1" applyAlignment="1">
      <alignment wrapText="1"/>
    </xf>
    <xf numFmtId="172" fontId="43" fillId="0" borderId="0" xfId="0" applyNumberFormat="1" applyFont="1" applyAlignment="1">
      <alignment horizontal="right"/>
    </xf>
    <xf numFmtId="169" fontId="43" fillId="0" borderId="0" xfId="0" applyNumberFormat="1" applyFont="1" applyAlignment="1"/>
    <xf numFmtId="191" fontId="83" fillId="0" borderId="0" xfId="0" applyNumberFormat="1" applyFont="1" applyAlignment="1"/>
    <xf numFmtId="1" fontId="83" fillId="0" borderId="0" xfId="0" applyNumberFormat="1" applyFont="1"/>
    <xf numFmtId="164" fontId="43" fillId="0" borderId="0" xfId="0" applyNumberFormat="1" applyFont="1" applyAlignment="1"/>
    <xf numFmtId="188" fontId="83" fillId="0" borderId="0" xfId="8" applyNumberFormat="1" applyFont="1" applyAlignment="1"/>
    <xf numFmtId="0" fontId="83" fillId="0" borderId="0" xfId="8" applyFont="1" applyAlignment="1"/>
    <xf numFmtId="0" fontId="78" fillId="30" borderId="54" xfId="8" applyFont="1" applyFill="1" applyBorder="1" applyAlignment="1">
      <alignment wrapText="1"/>
    </xf>
    <xf numFmtId="0" fontId="78" fillId="30" borderId="55" xfId="8" applyFont="1" applyFill="1" applyBorder="1" applyAlignment="1">
      <alignment wrapText="1"/>
    </xf>
    <xf numFmtId="0" fontId="78" fillId="30" borderId="55" xfId="8" applyFont="1" applyFill="1" applyBorder="1" applyAlignment="1">
      <alignment horizontal="right" wrapText="1"/>
    </xf>
    <xf numFmtId="0" fontId="78" fillId="30" borderId="55" xfId="8" applyFont="1" applyFill="1" applyBorder="1" applyAlignment="1">
      <alignment horizontal="center" wrapText="1"/>
    </xf>
    <xf numFmtId="0" fontId="78" fillId="30" borderId="54" xfId="8" applyFont="1" applyFill="1" applyBorder="1" applyAlignment="1">
      <alignment horizontal="center" vertical="center" wrapText="1" readingOrder="1"/>
    </xf>
    <xf numFmtId="0" fontId="78" fillId="32" borderId="55" xfId="8" applyFont="1" applyFill="1" applyBorder="1" applyAlignment="1">
      <alignment horizontal="center" wrapText="1"/>
    </xf>
    <xf numFmtId="0" fontId="78" fillId="30" borderId="56" xfId="8" applyFont="1" applyFill="1" applyBorder="1" applyAlignment="1">
      <alignment horizontal="center" wrapText="1"/>
    </xf>
    <xf numFmtId="172" fontId="78" fillId="30" borderId="55" xfId="8" applyNumberFormat="1" applyFont="1" applyFill="1" applyBorder="1" applyAlignment="1">
      <alignment wrapText="1"/>
    </xf>
    <xf numFmtId="0" fontId="78" fillId="32" borderId="55" xfId="8" applyFont="1" applyFill="1" applyBorder="1" applyAlignment="1">
      <alignment wrapText="1"/>
    </xf>
    <xf numFmtId="17" fontId="83" fillId="0" borderId="0" xfId="8" applyNumberFormat="1" applyFont="1" applyAlignment="1">
      <alignment horizontal="left"/>
    </xf>
    <xf numFmtId="1" fontId="83" fillId="0" borderId="0" xfId="8" applyNumberFormat="1" applyFont="1" applyAlignment="1">
      <alignment horizontal="right"/>
    </xf>
    <xf numFmtId="169" fontId="83" fillId="0" borderId="0" xfId="8" applyNumberFormat="1" applyFont="1" applyAlignment="1"/>
    <xf numFmtId="1" fontId="83" fillId="0" borderId="0" xfId="8" applyNumberFormat="1" applyFont="1"/>
    <xf numFmtId="0" fontId="83" fillId="0" borderId="0" xfId="8" applyFont="1" applyAlignment="1">
      <alignment horizontal="center"/>
    </xf>
    <xf numFmtId="0" fontId="83" fillId="0" borderId="0" xfId="8" applyFont="1" applyAlignment="1">
      <alignment horizontal="right"/>
    </xf>
    <xf numFmtId="0" fontId="83" fillId="0" borderId="0" xfId="8" applyFont="1"/>
    <xf numFmtId="172" fontId="83" fillId="0" borderId="0" xfId="8" applyNumberFormat="1" applyFont="1" applyAlignment="1"/>
    <xf numFmtId="164" fontId="43" fillId="0" borderId="0" xfId="9" applyFont="1" applyAlignment="1"/>
    <xf numFmtId="172" fontId="83" fillId="0" borderId="0" xfId="9" applyNumberFormat="1" applyFont="1" applyAlignment="1"/>
    <xf numFmtId="0" fontId="83" fillId="0" borderId="0" xfId="8" applyFont="1" applyAlignment="1">
      <alignment horizontal="left"/>
    </xf>
    <xf numFmtId="0" fontId="83" fillId="0" borderId="0" xfId="8" applyFont="1" applyFill="1" applyAlignment="1"/>
    <xf numFmtId="17" fontId="83" fillId="0" borderId="0" xfId="8" applyNumberFormat="1" applyFont="1" applyAlignment="1">
      <alignment horizontal="right"/>
    </xf>
    <xf numFmtId="172" fontId="43" fillId="0" borderId="0" xfId="9" applyNumberFormat="1" applyFont="1" applyAlignment="1"/>
    <xf numFmtId="9" fontId="43" fillId="0" borderId="0" xfId="11" applyFont="1" applyAlignment="1"/>
    <xf numFmtId="0" fontId="83" fillId="31" borderId="0" xfId="8" applyFont="1" applyFill="1" applyBorder="1"/>
    <xf numFmtId="0" fontId="78" fillId="30" borderId="66" xfId="8" applyFont="1" applyFill="1" applyBorder="1" applyAlignment="1">
      <alignment horizontal="center" vertical="center" wrapText="1" readingOrder="1"/>
    </xf>
    <xf numFmtId="0" fontId="78" fillId="30" borderId="67" xfId="8" applyFont="1" applyFill="1" applyBorder="1" applyAlignment="1">
      <alignment horizontal="center" vertical="center" wrapText="1" readingOrder="1"/>
    </xf>
    <xf numFmtId="0" fontId="78" fillId="30" borderId="65" xfId="8" applyFont="1" applyFill="1" applyBorder="1" applyAlignment="1">
      <alignment horizontal="center" vertical="center" wrapText="1" readingOrder="1"/>
    </xf>
    <xf numFmtId="17" fontId="83" fillId="0" borderId="0" xfId="8" applyNumberFormat="1" applyFont="1" applyAlignment="1"/>
    <xf numFmtId="0" fontId="83" fillId="0" borderId="0" xfId="8" applyFont="1" applyFill="1" applyAlignment="1">
      <alignment horizontal="right"/>
    </xf>
    <xf numFmtId="187" fontId="83" fillId="0" borderId="0" xfId="8" applyNumberFormat="1" applyFont="1" applyFill="1" applyAlignment="1"/>
    <xf numFmtId="187" fontId="83" fillId="0" borderId="0" xfId="8" applyNumberFormat="1" applyFont="1"/>
    <xf numFmtId="0" fontId="84" fillId="0" borderId="0" xfId="10" applyFont="1" applyAlignment="1"/>
    <xf numFmtId="169" fontId="83" fillId="0" borderId="0" xfId="8" applyNumberFormat="1" applyFont="1"/>
    <xf numFmtId="169" fontId="83" fillId="0" borderId="0" xfId="8" applyNumberFormat="1" applyFont="1" applyAlignment="1">
      <alignment horizontal="right"/>
    </xf>
    <xf numFmtId="0" fontId="43" fillId="25" borderId="0" xfId="0" applyFont="1" applyFill="1"/>
    <xf numFmtId="1" fontId="5" fillId="25" borderId="10" xfId="0" applyNumberFormat="1" applyFont="1" applyFill="1" applyBorder="1"/>
    <xf numFmtId="169" fontId="5" fillId="25" borderId="10" xfId="0" applyNumberFormat="1" applyFont="1" applyFill="1" applyBorder="1"/>
    <xf numFmtId="169" fontId="5" fillId="0" borderId="0" xfId="0" applyNumberFormat="1" applyFont="1" applyBorder="1"/>
    <xf numFmtId="169" fontId="43" fillId="0" borderId="0" xfId="0" applyNumberFormat="1" applyFont="1" applyFill="1"/>
    <xf numFmtId="180" fontId="5" fillId="0" borderId="10" xfId="1" applyNumberFormat="1" applyFont="1" applyFill="1" applyBorder="1"/>
    <xf numFmtId="1" fontId="5" fillId="0" borderId="0" xfId="0" applyNumberFormat="1" applyFont="1" applyFill="1" applyBorder="1"/>
    <xf numFmtId="180" fontId="5" fillId="0" borderId="0" xfId="1" applyNumberFormat="1" applyFont="1"/>
    <xf numFmtId="180" fontId="5" fillId="0" borderId="10" xfId="1" applyNumberFormat="1" applyFont="1" applyBorder="1"/>
    <xf numFmtId="0" fontId="87" fillId="0" borderId="0" xfId="0" applyFont="1"/>
    <xf numFmtId="3" fontId="5" fillId="0" borderId="10" xfId="0" applyNumberFormat="1" applyFont="1" applyBorder="1"/>
    <xf numFmtId="3" fontId="5" fillId="0" borderId="11" xfId="0" applyNumberFormat="1" applyFont="1" applyBorder="1"/>
    <xf numFmtId="3" fontId="43" fillId="0" borderId="0" xfId="0" applyNumberFormat="1" applyFont="1" applyBorder="1"/>
    <xf numFmtId="3" fontId="43" fillId="0" borderId="11" xfId="0" applyNumberFormat="1" applyFont="1" applyBorder="1"/>
    <xf numFmtId="0" fontId="83" fillId="22" borderId="0" xfId="8" applyFont="1" applyFill="1" applyAlignment="1"/>
    <xf numFmtId="1" fontId="83" fillId="0" borderId="0" xfId="8" applyNumberFormat="1" applyFont="1" applyAlignment="1"/>
    <xf numFmtId="176" fontId="43" fillId="0" borderId="0" xfId="9" applyNumberFormat="1" applyFont="1" applyAlignment="1"/>
    <xf numFmtId="0" fontId="86" fillId="0" borderId="0" xfId="8" applyFont="1" applyAlignment="1"/>
    <xf numFmtId="170" fontId="83" fillId="0" borderId="0" xfId="3" applyNumberFormat="1" applyFont="1" applyAlignment="1"/>
    <xf numFmtId="0" fontId="78" fillId="13" borderId="54" xfId="0" applyFont="1" applyFill="1" applyBorder="1" applyAlignment="1">
      <alignment horizontal="left" vertical="center" wrapText="1" readingOrder="1"/>
    </xf>
    <xf numFmtId="0" fontId="78" fillId="13" borderId="54" xfId="0" applyFont="1" applyFill="1" applyBorder="1" applyAlignment="1">
      <alignment horizontal="right" vertical="center" wrapText="1" readingOrder="1"/>
    </xf>
    <xf numFmtId="0" fontId="78" fillId="13" borderId="54" xfId="0" applyFont="1" applyFill="1" applyBorder="1" applyAlignment="1">
      <alignment horizontal="center" vertical="center" wrapText="1" readingOrder="1"/>
    </xf>
    <xf numFmtId="0" fontId="78" fillId="24" borderId="54" xfId="0" applyFont="1" applyFill="1" applyBorder="1" applyAlignment="1">
      <alignment horizontal="center" vertical="center" wrapText="1" readingOrder="1"/>
    </xf>
    <xf numFmtId="0" fontId="78" fillId="24" borderId="56" xfId="0" applyFont="1" applyFill="1" applyBorder="1" applyAlignment="1">
      <alignment horizontal="center" vertical="center" wrapText="1" readingOrder="1"/>
    </xf>
    <xf numFmtId="0" fontId="78" fillId="24" borderId="55" xfId="0" applyFont="1" applyFill="1" applyBorder="1" applyAlignment="1">
      <alignment horizontal="center" vertical="center" wrapText="1" readingOrder="1"/>
    </xf>
    <xf numFmtId="172" fontId="78" fillId="13" borderId="54" xfId="0" applyNumberFormat="1" applyFont="1" applyFill="1" applyBorder="1" applyAlignment="1">
      <alignment horizontal="left" vertical="center" wrapText="1" readingOrder="1"/>
    </xf>
    <xf numFmtId="0" fontId="43" fillId="13" borderId="0" xfId="0" applyFont="1" applyFill="1"/>
    <xf numFmtId="183" fontId="43" fillId="0" borderId="0" xfId="0" applyNumberFormat="1" applyFont="1" applyAlignment="1">
      <alignment horizontal="center"/>
    </xf>
    <xf numFmtId="17" fontId="43" fillId="0" borderId="0" xfId="0" applyNumberFormat="1" applyFont="1" applyAlignment="1">
      <alignment horizontal="left"/>
    </xf>
    <xf numFmtId="1" fontId="83" fillId="0" borderId="0" xfId="0" applyNumberFormat="1" applyFont="1" applyAlignment="1"/>
    <xf numFmtId="2" fontId="43" fillId="0" borderId="0" xfId="0" applyNumberFormat="1" applyFont="1" applyAlignment="1">
      <alignment horizontal="right"/>
    </xf>
    <xf numFmtId="169" fontId="83" fillId="0" borderId="0" xfId="0" applyNumberFormat="1" applyFont="1" applyAlignment="1">
      <alignment horizontal="right"/>
    </xf>
    <xf numFmtId="172" fontId="83" fillId="0" borderId="0" xfId="0" applyNumberFormat="1" applyFont="1" applyAlignment="1"/>
    <xf numFmtId="164" fontId="83" fillId="0" borderId="0" xfId="0" applyNumberFormat="1" applyFont="1" applyAlignment="1"/>
    <xf numFmtId="0" fontId="86" fillId="0" borderId="0" xfId="0" applyFont="1" applyAlignment="1"/>
    <xf numFmtId="17" fontId="43" fillId="0" borderId="0" xfId="0" applyNumberFormat="1" applyFont="1" applyAlignment="1"/>
    <xf numFmtId="0" fontId="84" fillId="0" borderId="0" xfId="0" applyFont="1" applyBorder="1" applyAlignment="1"/>
    <xf numFmtId="0" fontId="83" fillId="0" borderId="0" xfId="0" applyFont="1" applyBorder="1" applyAlignment="1"/>
    <xf numFmtId="9" fontId="43" fillId="0" borderId="0" xfId="0" applyNumberFormat="1" applyFont="1" applyAlignment="1">
      <alignment horizontal="right"/>
    </xf>
    <xf numFmtId="0" fontId="5" fillId="21" borderId="0" xfId="0" applyFont="1" applyFill="1"/>
    <xf numFmtId="2" fontId="5" fillId="0" borderId="12" xfId="0" applyNumberFormat="1" applyFont="1" applyBorder="1"/>
    <xf numFmtId="2" fontId="5" fillId="0" borderId="0" xfId="0" applyNumberFormat="1" applyFont="1" applyBorder="1"/>
    <xf numFmtId="0" fontId="43" fillId="0" borderId="0" xfId="0" applyFont="1" applyBorder="1" applyAlignment="1">
      <alignment horizontal="left"/>
    </xf>
    <xf numFmtId="0" fontId="72" fillId="0" borderId="0" xfId="2" applyFont="1" applyAlignment="1">
      <alignment wrapText="1"/>
    </xf>
    <xf numFmtId="0" fontId="43" fillId="7" borderId="0" xfId="0" applyFont="1" applyFill="1"/>
    <xf numFmtId="0" fontId="43" fillId="35" borderId="0" xfId="0" applyFont="1" applyFill="1"/>
    <xf numFmtId="0" fontId="82" fillId="26" borderId="0" xfId="0" applyFont="1" applyFill="1"/>
    <xf numFmtId="171" fontId="43" fillId="0" borderId="0" xfId="1" applyNumberFormat="1" applyFont="1"/>
    <xf numFmtId="169" fontId="5" fillId="0" borderId="10" xfId="0" applyNumberFormat="1" applyFont="1" applyBorder="1"/>
    <xf numFmtId="169" fontId="5" fillId="0" borderId="0" xfId="0" applyNumberFormat="1" applyFont="1"/>
    <xf numFmtId="0" fontId="89" fillId="0" borderId="0" xfId="0" applyFont="1"/>
    <xf numFmtId="0" fontId="90" fillId="0" borderId="0" xfId="0" applyFont="1"/>
    <xf numFmtId="0" fontId="82" fillId="0" borderId="0" xfId="0" applyFont="1" applyAlignment="1"/>
    <xf numFmtId="0" fontId="43" fillId="0" borderId="1" xfId="0" applyFont="1" applyBorder="1" applyAlignment="1">
      <alignment horizontal="right"/>
    </xf>
    <xf numFmtId="2" fontId="43" fillId="0" borderId="2" xfId="0" applyNumberFormat="1" applyFont="1" applyBorder="1"/>
    <xf numFmtId="2" fontId="43" fillId="0" borderId="3" xfId="0" applyNumberFormat="1" applyFont="1" applyBorder="1"/>
    <xf numFmtId="2" fontId="43" fillId="0" borderId="7" xfId="0" applyNumberFormat="1" applyFont="1" applyBorder="1"/>
    <xf numFmtId="2" fontId="43" fillId="0" borderId="8" xfId="0" applyNumberFormat="1" applyFont="1" applyBorder="1"/>
    <xf numFmtId="0" fontId="43" fillId="21" borderId="0" xfId="0" applyFont="1" applyFill="1"/>
    <xf numFmtId="172" fontId="43" fillId="0" borderId="0" xfId="1" applyNumberFormat="1" applyFont="1" applyAlignment="1">
      <alignment horizontal="center"/>
    </xf>
    <xf numFmtId="0" fontId="88" fillId="0" borderId="0" xfId="0" applyFont="1"/>
    <xf numFmtId="0" fontId="92" fillId="0" borderId="0" xfId="0" applyFont="1"/>
    <xf numFmtId="0" fontId="93" fillId="0" borderId="0" xfId="0" applyFont="1"/>
    <xf numFmtId="0" fontId="94" fillId="0" borderId="0" xfId="0" applyFont="1"/>
    <xf numFmtId="0" fontId="92" fillId="0" borderId="0" xfId="0" applyFont="1" applyBorder="1" applyAlignment="1"/>
    <xf numFmtId="1" fontId="92" fillId="0" borderId="0" xfId="0" applyNumberFormat="1" applyFont="1" applyBorder="1" applyAlignment="1"/>
    <xf numFmtId="169" fontId="92" fillId="0" borderId="0" xfId="0" applyNumberFormat="1" applyFont="1" applyBorder="1" applyAlignment="1"/>
    <xf numFmtId="172" fontId="92" fillId="0" borderId="0" xfId="1" applyNumberFormat="1" applyFont="1" applyBorder="1" applyAlignment="1"/>
    <xf numFmtId="1" fontId="92" fillId="0" borderId="0" xfId="0" applyNumberFormat="1" applyFont="1" applyFill="1" applyBorder="1" applyAlignment="1"/>
    <xf numFmtId="169" fontId="92" fillId="0" borderId="0" xfId="0" applyNumberFormat="1" applyFont="1" applyFill="1" applyBorder="1" applyAlignment="1"/>
    <xf numFmtId="0" fontId="95" fillId="0" borderId="0" xfId="0" applyFont="1"/>
    <xf numFmtId="0" fontId="88" fillId="0" borderId="0" xfId="0" applyFont="1" applyAlignment="1"/>
    <xf numFmtId="0" fontId="43" fillId="0" borderId="0" xfId="0" applyFont="1" applyAlignment="1">
      <alignment horizontal="left" vertical="top" wrapText="1"/>
    </xf>
    <xf numFmtId="169" fontId="82" fillId="0" borderId="2" xfId="0" applyNumberFormat="1" applyFont="1" applyBorder="1" applyAlignment="1"/>
    <xf numFmtId="169" fontId="82" fillId="0" borderId="7" xfId="0" applyNumberFormat="1" applyFont="1" applyBorder="1" applyAlignment="1"/>
    <xf numFmtId="0" fontId="94" fillId="0" borderId="0" xfId="0" applyFont="1" applyFill="1"/>
    <xf numFmtId="0" fontId="92" fillId="0" borderId="0" xfId="0" applyFont="1" applyAlignment="1"/>
    <xf numFmtId="0" fontId="72" fillId="0" borderId="0" xfId="2" applyFont="1" applyFill="1" applyBorder="1"/>
    <xf numFmtId="169" fontId="43" fillId="0" borderId="0" xfId="0" applyNumberFormat="1" applyFont="1" applyFill="1" applyAlignment="1">
      <alignment horizontal="center"/>
    </xf>
    <xf numFmtId="180" fontId="43" fillId="0" borderId="0" xfId="1" applyNumberFormat="1" applyFont="1" applyFill="1"/>
    <xf numFmtId="172" fontId="5" fillId="0" borderId="0" xfId="1" applyNumberFormat="1" applyFont="1"/>
    <xf numFmtId="172" fontId="5" fillId="0" borderId="0" xfId="0" applyNumberFormat="1" applyFont="1"/>
    <xf numFmtId="164" fontId="5" fillId="0" borderId="0" xfId="1" applyFont="1"/>
    <xf numFmtId="9" fontId="43" fillId="0" borderId="0" xfId="4" applyFont="1" applyAlignment="1">
      <alignment horizontal="center"/>
    </xf>
    <xf numFmtId="9" fontId="5" fillId="0" borderId="0" xfId="0" applyNumberFormat="1" applyFont="1" applyAlignment="1">
      <alignment horizontal="center"/>
    </xf>
    <xf numFmtId="0" fontId="97" fillId="0" borderId="0" xfId="0" applyFont="1"/>
    <xf numFmtId="3" fontId="98" fillId="0" borderId="0" xfId="0" applyNumberFormat="1" applyFont="1"/>
    <xf numFmtId="0" fontId="98" fillId="0" borderId="0" xfId="0" applyFont="1"/>
    <xf numFmtId="9" fontId="99" fillId="0" borderId="0" xfId="0" applyNumberFormat="1" applyFont="1"/>
    <xf numFmtId="0" fontId="99" fillId="0" borderId="0" xfId="0" applyFont="1"/>
    <xf numFmtId="9" fontId="100" fillId="0" borderId="0" xfId="0" applyNumberFormat="1" applyFont="1"/>
    <xf numFmtId="0" fontId="100" fillId="0" borderId="0" xfId="0" applyFont="1"/>
    <xf numFmtId="9" fontId="23" fillId="10" borderId="28" xfId="4" applyFont="1" applyFill="1" applyBorder="1" applyAlignment="1" applyProtection="1">
      <alignment horizontal="center" vertical="center"/>
      <protection locked="0"/>
    </xf>
    <xf numFmtId="0" fontId="23" fillId="8" borderId="29" xfId="0" applyFont="1" applyFill="1" applyBorder="1" applyAlignment="1" applyProtection="1">
      <alignment horizontal="center" vertical="center"/>
    </xf>
    <xf numFmtId="9" fontId="22" fillId="10" borderId="23" xfId="4" applyFont="1" applyFill="1" applyBorder="1" applyAlignment="1" applyProtection="1">
      <alignment horizontal="center" vertical="center"/>
    </xf>
    <xf numFmtId="9" fontId="22" fillId="10" borderId="24" xfId="4" applyFont="1" applyFill="1" applyBorder="1" applyAlignment="1" applyProtection="1">
      <alignment horizontal="center" vertical="center"/>
    </xf>
    <xf numFmtId="0" fontId="22" fillId="10" borderId="23" xfId="0" applyFont="1" applyFill="1" applyBorder="1" applyAlignment="1" applyProtection="1">
      <alignment horizontal="center" vertical="center"/>
    </xf>
    <xf numFmtId="0" fontId="25" fillId="12" borderId="9" xfId="0" applyFont="1" applyFill="1" applyBorder="1" applyAlignment="1">
      <alignment horizontal="left" vertical="center"/>
    </xf>
    <xf numFmtId="0" fontId="43" fillId="12" borderId="10" xfId="0" applyFont="1" applyFill="1" applyBorder="1" applyAlignment="1">
      <alignment horizontal="left" vertical="center"/>
    </xf>
    <xf numFmtId="0" fontId="43" fillId="12" borderId="11" xfId="0" applyFont="1" applyFill="1"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0" borderId="1" xfId="0" applyBorder="1" applyAlignment="1"/>
    <xf numFmtId="0" fontId="0" fillId="0" borderId="2" xfId="0" applyBorder="1" applyAlignment="1"/>
    <xf numFmtId="0" fontId="0" fillId="0" borderId="3" xfId="0" applyBorder="1" applyAlignment="1"/>
    <xf numFmtId="0" fontId="0" fillId="0" borderId="6" xfId="0" applyBorder="1" applyAlignment="1"/>
    <xf numFmtId="0" fontId="0" fillId="0" borderId="7" xfId="0" applyBorder="1" applyAlignment="1"/>
    <xf numFmtId="0" fontId="0" fillId="0" borderId="8" xfId="0" applyBorder="1" applyAlignment="1"/>
    <xf numFmtId="0" fontId="0" fillId="0" borderId="0" xfId="0" applyAlignment="1"/>
    <xf numFmtId="0" fontId="22" fillId="10" borderId="1" xfId="0" applyFont="1" applyFill="1" applyBorder="1" applyAlignment="1">
      <alignment horizontal="left" vertical="top" wrapText="1"/>
    </xf>
    <xf numFmtId="0" fontId="22" fillId="10" borderId="2" xfId="0" applyFont="1" applyFill="1" applyBorder="1" applyAlignment="1">
      <alignment horizontal="left" vertical="top" wrapText="1"/>
    </xf>
    <xf numFmtId="0" fontId="22" fillId="10" borderId="3" xfId="0" applyFont="1" applyFill="1" applyBorder="1" applyAlignment="1">
      <alignment horizontal="left" vertical="top" wrapText="1"/>
    </xf>
    <xf numFmtId="0" fontId="64" fillId="10" borderId="7" xfId="2" applyFont="1" applyFill="1" applyBorder="1" applyAlignment="1">
      <alignment horizontal="left" vertical="center" wrapText="1"/>
    </xf>
    <xf numFmtId="0" fontId="64" fillId="0" borderId="7" xfId="2" applyFont="1" applyBorder="1" applyAlignment="1">
      <alignment horizontal="left" vertical="center" wrapText="1"/>
    </xf>
    <xf numFmtId="0" fontId="64" fillId="0" borderId="8" xfId="2" applyFont="1" applyBorder="1" applyAlignment="1">
      <alignment horizontal="left" vertical="center" wrapText="1"/>
    </xf>
    <xf numFmtId="0" fontId="27" fillId="5" borderId="9" xfId="0" applyFont="1" applyFill="1" applyBorder="1" applyAlignment="1">
      <alignment horizontal="left" vertical="center"/>
    </xf>
    <xf numFmtId="0" fontId="27" fillId="5" borderId="10" xfId="0" applyFont="1" applyFill="1" applyBorder="1" applyAlignment="1">
      <alignment horizontal="left" vertical="center"/>
    </xf>
    <xf numFmtId="0" fontId="27" fillId="5" borderId="11" xfId="0" applyFont="1" applyFill="1" applyBorder="1" applyAlignment="1">
      <alignment horizontal="left" vertical="center"/>
    </xf>
    <xf numFmtId="0" fontId="22" fillId="8" borderId="9" xfId="0" applyFont="1" applyFill="1" applyBorder="1" applyAlignment="1">
      <alignment horizontal="left" vertical="top" wrapText="1"/>
    </xf>
    <xf numFmtId="0" fontId="23" fillId="8" borderId="10" xfId="0" applyFont="1" applyFill="1" applyBorder="1" applyAlignment="1">
      <alignment horizontal="left" vertical="top" wrapText="1"/>
    </xf>
    <xf numFmtId="0" fontId="23" fillId="8" borderId="11" xfId="0" applyFont="1" applyFill="1" applyBorder="1" applyAlignment="1">
      <alignment horizontal="left" vertical="top" wrapText="1"/>
    </xf>
    <xf numFmtId="0" fontId="22" fillId="8" borderId="1" xfId="0" applyFont="1" applyFill="1" applyBorder="1" applyAlignment="1">
      <alignment horizontal="left" vertical="top" wrapText="1"/>
    </xf>
    <xf numFmtId="0" fontId="22" fillId="8" borderId="2" xfId="0" applyFont="1" applyFill="1" applyBorder="1" applyAlignment="1">
      <alignment horizontal="left" vertical="top" wrapText="1"/>
    </xf>
    <xf numFmtId="0" fontId="22" fillId="8" borderId="3" xfId="0" applyFont="1" applyFill="1" applyBorder="1" applyAlignment="1">
      <alignment horizontal="left" vertical="top" wrapText="1"/>
    </xf>
    <xf numFmtId="0" fontId="0" fillId="8" borderId="6" xfId="0" applyFill="1" applyBorder="1" applyAlignment="1">
      <alignment horizontal="left" vertical="top" wrapText="1"/>
    </xf>
    <xf numFmtId="0" fontId="0" fillId="8" borderId="7" xfId="0" applyFill="1" applyBorder="1" applyAlignment="1">
      <alignment horizontal="left" vertical="top" wrapText="1"/>
    </xf>
    <xf numFmtId="0" fontId="0" fillId="8" borderId="8" xfId="0" applyFill="1" applyBorder="1" applyAlignment="1">
      <alignment horizontal="left" vertical="top" wrapText="1"/>
    </xf>
    <xf numFmtId="0" fontId="27" fillId="11" borderId="1" xfId="0" applyFont="1" applyFill="1" applyBorder="1" applyAlignment="1">
      <alignment horizontal="left" vertical="center"/>
    </xf>
    <xf numFmtId="0" fontId="27" fillId="11" borderId="2" xfId="0" applyFont="1" applyFill="1" applyBorder="1" applyAlignment="1">
      <alignment horizontal="left" vertical="center"/>
    </xf>
    <xf numFmtId="0" fontId="27" fillId="11" borderId="3" xfId="0" applyFont="1" applyFill="1" applyBorder="1" applyAlignment="1">
      <alignment horizontal="left" vertical="center"/>
    </xf>
    <xf numFmtId="0" fontId="27" fillId="11" borderId="9" xfId="0" applyFont="1" applyFill="1" applyBorder="1" applyAlignment="1">
      <alignment horizontal="left" vertical="center"/>
    </xf>
    <xf numFmtId="0" fontId="27" fillId="11" borderId="10" xfId="0" applyFont="1" applyFill="1" applyBorder="1" applyAlignment="1">
      <alignment horizontal="left" vertical="center"/>
    </xf>
    <xf numFmtId="0" fontId="27" fillId="11" borderId="11" xfId="0" applyFont="1" applyFill="1" applyBorder="1" applyAlignment="1">
      <alignment horizontal="left" vertical="center"/>
    </xf>
    <xf numFmtId="0" fontId="0" fillId="8" borderId="6" xfId="0" applyFont="1" applyFill="1" applyBorder="1" applyAlignment="1">
      <alignment horizontal="left" vertical="top" wrapText="1"/>
    </xf>
    <xf numFmtId="0" fontId="0" fillId="8" borderId="7" xfId="0" applyFont="1" applyFill="1" applyBorder="1" applyAlignment="1">
      <alignment horizontal="left" vertical="top" wrapText="1"/>
    </xf>
    <xf numFmtId="0" fontId="0" fillId="8" borderId="8" xfId="0" applyFont="1" applyFill="1" applyBorder="1" applyAlignment="1">
      <alignment horizontal="left" vertical="top" wrapText="1"/>
    </xf>
    <xf numFmtId="0" fontId="23" fillId="8" borderId="9" xfId="0" applyFont="1" applyFill="1" applyBorder="1" applyAlignment="1">
      <alignment horizontal="left" vertical="top" wrapText="1"/>
    </xf>
    <xf numFmtId="0" fontId="22" fillId="12" borderId="20" xfId="0" applyFont="1" applyFill="1" applyBorder="1" applyAlignment="1" applyProtection="1">
      <alignment horizontal="center"/>
    </xf>
    <xf numFmtId="0" fontId="22" fillId="12" borderId="21" xfId="0" applyFont="1" applyFill="1" applyBorder="1" applyAlignment="1" applyProtection="1">
      <alignment horizontal="center"/>
    </xf>
    <xf numFmtId="0" fontId="22" fillId="9" borderId="50" xfId="0" applyFont="1" applyFill="1" applyBorder="1" applyAlignment="1" applyProtection="1">
      <alignment horizontal="center" vertical="center" wrapText="1"/>
    </xf>
    <xf numFmtId="0" fontId="22" fillId="9" borderId="53" xfId="0" applyFont="1" applyFill="1" applyBorder="1" applyAlignment="1" applyProtection="1">
      <alignment horizontal="center" vertical="center" wrapText="1"/>
    </xf>
    <xf numFmtId="0" fontId="22" fillId="9" borderId="51" xfId="0" applyFont="1" applyFill="1" applyBorder="1" applyAlignment="1" applyProtection="1">
      <alignment horizontal="center" vertical="center" wrapText="1"/>
    </xf>
    <xf numFmtId="0" fontId="22" fillId="9" borderId="90" xfId="0" applyFont="1" applyFill="1" applyBorder="1" applyAlignment="1" applyProtection="1">
      <alignment horizontal="center" vertical="center" wrapText="1"/>
    </xf>
    <xf numFmtId="0" fontId="22" fillId="9" borderId="91" xfId="0" applyFont="1" applyFill="1" applyBorder="1" applyAlignment="1" applyProtection="1">
      <alignment horizontal="center" vertical="center" wrapText="1"/>
    </xf>
    <xf numFmtId="0" fontId="22" fillId="9" borderId="92" xfId="0" applyFont="1" applyFill="1" applyBorder="1" applyAlignment="1" applyProtection="1">
      <alignment horizontal="center" vertical="center" wrapText="1"/>
    </xf>
    <xf numFmtId="0" fontId="22" fillId="9" borderId="93" xfId="0" applyFont="1" applyFill="1" applyBorder="1" applyAlignment="1" applyProtection="1">
      <alignment horizontal="center" vertical="center" wrapText="1"/>
    </xf>
    <xf numFmtId="0" fontId="22" fillId="9" borderId="94" xfId="0" applyFont="1" applyFill="1" applyBorder="1" applyAlignment="1" applyProtection="1">
      <alignment horizontal="center" vertical="center" wrapText="1"/>
    </xf>
    <xf numFmtId="0" fontId="22" fillId="9" borderId="95" xfId="0" applyFont="1" applyFill="1" applyBorder="1" applyAlignment="1" applyProtection="1">
      <alignment horizontal="center" vertical="center" wrapText="1"/>
    </xf>
    <xf numFmtId="0" fontId="22" fillId="9" borderId="96" xfId="0" applyFont="1" applyFill="1" applyBorder="1" applyAlignment="1" applyProtection="1">
      <alignment horizontal="center" vertical="center" wrapText="1"/>
    </xf>
    <xf numFmtId="0" fontId="22" fillId="9" borderId="97" xfId="0" applyFont="1" applyFill="1" applyBorder="1" applyAlignment="1" applyProtection="1">
      <alignment horizontal="center" vertical="center" wrapText="1"/>
    </xf>
    <xf numFmtId="0" fontId="22" fillId="9" borderId="48" xfId="0" applyFont="1" applyFill="1" applyBorder="1" applyAlignment="1" applyProtection="1">
      <alignment horizontal="center" vertical="center" wrapText="1"/>
    </xf>
    <xf numFmtId="0" fontId="22" fillId="9" borderId="52" xfId="0" applyFont="1" applyFill="1" applyBorder="1" applyAlignment="1" applyProtection="1">
      <alignment horizontal="center" vertical="center" wrapText="1"/>
    </xf>
    <xf numFmtId="0" fontId="22" fillId="9" borderId="49" xfId="0" applyFont="1" applyFill="1" applyBorder="1" applyAlignment="1" applyProtection="1">
      <alignment horizontal="center" vertical="center" wrapText="1"/>
    </xf>
    <xf numFmtId="0" fontId="24" fillId="9" borderId="53" xfId="0" applyFont="1" applyFill="1" applyBorder="1" applyAlignment="1" applyProtection="1">
      <alignment horizontal="center" vertical="center" wrapText="1"/>
    </xf>
    <xf numFmtId="0" fontId="24" fillId="9" borderId="51" xfId="0" applyFont="1" applyFill="1" applyBorder="1" applyAlignment="1" applyProtection="1">
      <alignment horizontal="center" vertical="center" wrapText="1"/>
    </xf>
    <xf numFmtId="0" fontId="22" fillId="9" borderId="98" xfId="0" applyFont="1" applyFill="1" applyBorder="1" applyAlignment="1" applyProtection="1">
      <alignment horizontal="center" vertical="center" wrapText="1"/>
    </xf>
    <xf numFmtId="0" fontId="22" fillId="9" borderId="99" xfId="0" applyFont="1" applyFill="1" applyBorder="1" applyAlignment="1" applyProtection="1">
      <alignment horizontal="center" vertical="center" wrapText="1"/>
    </xf>
    <xf numFmtId="0" fontId="22" fillId="9" borderId="100" xfId="0" applyFont="1" applyFill="1" applyBorder="1" applyAlignment="1" applyProtection="1">
      <alignment horizontal="center" vertical="center" wrapText="1"/>
    </xf>
    <xf numFmtId="0" fontId="22" fillId="12" borderId="40" xfId="0" applyFont="1" applyFill="1" applyBorder="1" applyAlignment="1" applyProtection="1">
      <alignment horizontal="center"/>
    </xf>
    <xf numFmtId="0" fontId="22" fillId="12" borderId="42" xfId="0" applyFont="1" applyFill="1" applyBorder="1" applyAlignment="1" applyProtection="1">
      <alignment horizontal="center"/>
    </xf>
    <xf numFmtId="0" fontId="14" fillId="0" borderId="45" xfId="0" applyFont="1" applyBorder="1" applyAlignment="1" applyProtection="1">
      <alignment horizontal="left"/>
    </xf>
    <xf numFmtId="0" fontId="14" fillId="0" borderId="47" xfId="0" applyFont="1" applyBorder="1" applyAlignment="1" applyProtection="1">
      <alignment horizontal="left"/>
    </xf>
    <xf numFmtId="0" fontId="14" fillId="0" borderId="43" xfId="0" applyFont="1" applyBorder="1" applyAlignment="1" applyProtection="1">
      <alignment horizontal="left"/>
    </xf>
    <xf numFmtId="0" fontId="14" fillId="0" borderId="44" xfId="0" applyFont="1" applyBorder="1" applyAlignment="1" applyProtection="1">
      <alignment horizontal="left"/>
    </xf>
    <xf numFmtId="0" fontId="3" fillId="0" borderId="43" xfId="2" applyBorder="1" applyAlignment="1" applyProtection="1">
      <alignment horizontal="left"/>
    </xf>
    <xf numFmtId="0" fontId="3" fillId="0" borderId="0" xfId="2" applyBorder="1" applyAlignment="1" applyProtection="1">
      <alignment horizontal="left"/>
    </xf>
    <xf numFmtId="0" fontId="3" fillId="0" borderId="44" xfId="2" applyBorder="1" applyAlignment="1" applyProtection="1">
      <alignment horizontal="left"/>
    </xf>
    <xf numFmtId="0" fontId="3" fillId="0" borderId="45" xfId="2" applyBorder="1" applyAlignment="1" applyProtection="1">
      <alignment horizontal="left"/>
    </xf>
    <xf numFmtId="0" fontId="3" fillId="0" borderId="46" xfId="2" applyBorder="1" applyAlignment="1" applyProtection="1">
      <alignment horizontal="left"/>
    </xf>
    <xf numFmtId="0" fontId="3" fillId="0" borderId="47" xfId="2" applyBorder="1" applyAlignment="1" applyProtection="1">
      <alignment horizontal="left"/>
    </xf>
    <xf numFmtId="0" fontId="23" fillId="11" borderId="18" xfId="0" applyFont="1" applyFill="1" applyBorder="1" applyAlignment="1" applyProtection="1">
      <alignment horizontal="center" vertical="center"/>
    </xf>
    <xf numFmtId="0" fontId="23" fillId="11" borderId="17" xfId="0" applyFont="1" applyFill="1" applyBorder="1" applyAlignment="1" applyProtection="1">
      <alignment horizontal="center" vertical="center"/>
    </xf>
    <xf numFmtId="0" fontId="22" fillId="0" borderId="19" xfId="0" applyFont="1" applyBorder="1" applyAlignment="1" applyProtection="1">
      <alignment horizontal="left" vertical="center" wrapText="1"/>
    </xf>
    <xf numFmtId="0" fontId="22" fillId="0" borderId="20" xfId="0" applyFont="1" applyBorder="1" applyAlignment="1" applyProtection="1">
      <alignment horizontal="left" vertical="center" wrapText="1"/>
    </xf>
    <xf numFmtId="0" fontId="22" fillId="0" borderId="21" xfId="0" applyFont="1" applyBorder="1" applyAlignment="1" applyProtection="1">
      <alignment horizontal="left" vertical="center" wrapText="1"/>
    </xf>
    <xf numFmtId="0" fontId="23" fillId="5" borderId="18" xfId="0" applyFont="1" applyFill="1" applyBorder="1" applyAlignment="1" applyProtection="1">
      <alignment horizontal="center" vertical="center" textRotation="90"/>
    </xf>
    <xf numFmtId="0" fontId="23" fillId="5" borderId="13" xfId="0" applyFont="1" applyFill="1" applyBorder="1" applyAlignment="1" applyProtection="1">
      <alignment horizontal="center" vertical="center" textRotation="90"/>
    </xf>
    <xf numFmtId="0" fontId="23" fillId="5" borderId="17" xfId="0" applyFont="1" applyFill="1" applyBorder="1" applyAlignment="1" applyProtection="1">
      <alignment horizontal="center" vertical="center" textRotation="90"/>
    </xf>
    <xf numFmtId="165" fontId="27" fillId="11" borderId="9" xfId="0" applyNumberFormat="1" applyFont="1" applyFill="1" applyBorder="1" applyAlignment="1" applyProtection="1">
      <alignment horizontal="center" vertical="center"/>
    </xf>
    <xf numFmtId="165" fontId="28" fillId="11" borderId="10" xfId="0" applyNumberFormat="1" applyFont="1" applyFill="1" applyBorder="1" applyAlignment="1" applyProtection="1">
      <alignment horizontal="center" vertical="center"/>
    </xf>
    <xf numFmtId="0" fontId="28" fillId="11" borderId="11" xfId="0" applyFont="1" applyFill="1" applyBorder="1" applyAlignment="1" applyProtection="1">
      <alignment horizontal="center" vertical="center"/>
    </xf>
    <xf numFmtId="0" fontId="27" fillId="11" borderId="1" xfId="0" applyFont="1" applyFill="1" applyBorder="1" applyAlignment="1" applyProtection="1">
      <alignment horizontal="center" vertical="center"/>
    </xf>
    <xf numFmtId="0" fontId="27" fillId="11" borderId="3" xfId="0" applyFont="1" applyFill="1" applyBorder="1" applyAlignment="1" applyProtection="1">
      <alignment horizontal="center" vertical="center"/>
    </xf>
    <xf numFmtId="0" fontId="27" fillId="11" borderId="9" xfId="0" applyFont="1" applyFill="1" applyBorder="1" applyAlignment="1" applyProtection="1">
      <alignment horizontal="center" vertical="center"/>
    </xf>
    <xf numFmtId="0" fontId="1" fillId="0" borderId="10" xfId="0" applyFont="1" applyBorder="1" applyAlignment="1" applyProtection="1">
      <alignment horizontal="center" vertical="center"/>
    </xf>
    <xf numFmtId="0" fontId="1" fillId="0" borderId="11" xfId="0" applyFont="1" applyBorder="1" applyAlignment="1" applyProtection="1">
      <alignment horizontal="center" vertical="center"/>
    </xf>
    <xf numFmtId="0" fontId="25" fillId="12" borderId="9" xfId="0" applyFont="1" applyFill="1" applyBorder="1" applyAlignment="1" applyProtection="1">
      <alignment horizontal="center" vertical="center"/>
    </xf>
    <xf numFmtId="0" fontId="25" fillId="12" borderId="10" xfId="0" applyFont="1" applyFill="1" applyBorder="1" applyAlignment="1" applyProtection="1">
      <alignment horizontal="center" vertical="center"/>
    </xf>
    <xf numFmtId="0" fontId="23" fillId="11" borderId="18" xfId="0" applyFont="1" applyFill="1" applyBorder="1" applyAlignment="1" applyProtection="1">
      <alignment horizontal="center" vertical="center" textRotation="90"/>
    </xf>
    <xf numFmtId="0" fontId="23" fillId="11" borderId="13" xfId="0" applyFont="1" applyFill="1" applyBorder="1" applyAlignment="1" applyProtection="1">
      <alignment horizontal="center" vertical="center" textRotation="90"/>
    </xf>
    <xf numFmtId="0" fontId="23" fillId="11" borderId="17" xfId="0" applyFont="1" applyFill="1" applyBorder="1" applyAlignment="1" applyProtection="1">
      <alignment horizontal="center" vertical="center" textRotation="90"/>
    </xf>
    <xf numFmtId="0" fontId="29" fillId="5" borderId="19" xfId="0" applyFont="1" applyFill="1" applyBorder="1" applyAlignment="1" applyProtection="1">
      <alignment horizontal="center" vertical="center"/>
    </xf>
    <xf numFmtId="0" fontId="29" fillId="5" borderId="20" xfId="0" applyFont="1" applyFill="1" applyBorder="1" applyAlignment="1" applyProtection="1">
      <alignment horizontal="center" vertical="center"/>
    </xf>
    <xf numFmtId="0" fontId="29" fillId="5" borderId="21" xfId="0" applyFont="1" applyFill="1" applyBorder="1" applyAlignment="1" applyProtection="1">
      <alignment horizontal="center" vertical="center"/>
    </xf>
    <xf numFmtId="0" fontId="25" fillId="12" borderId="88" xfId="0" applyFont="1" applyFill="1" applyBorder="1" applyAlignment="1" applyProtection="1">
      <alignment horizontal="center" vertical="center"/>
    </xf>
    <xf numFmtId="0" fontId="25" fillId="12" borderId="89" xfId="0" applyFont="1" applyFill="1" applyBorder="1" applyAlignment="1" applyProtection="1">
      <alignment horizontal="center" vertical="center"/>
    </xf>
    <xf numFmtId="0" fontId="27" fillId="11" borderId="11" xfId="0" applyFont="1" applyFill="1" applyBorder="1" applyAlignment="1" applyProtection="1">
      <alignment horizontal="center" vertical="center"/>
    </xf>
    <xf numFmtId="0" fontId="3" fillId="0" borderId="41" xfId="2" applyBorder="1" applyAlignment="1" applyProtection="1">
      <alignment horizontal="left"/>
    </xf>
    <xf numFmtId="0" fontId="3" fillId="0" borderId="40" xfId="2" applyBorder="1" applyAlignment="1" applyProtection="1">
      <alignment horizontal="left"/>
    </xf>
    <xf numFmtId="0" fontId="3" fillId="0" borderId="42" xfId="2" applyBorder="1" applyAlignment="1" applyProtection="1">
      <alignment horizontal="left"/>
    </xf>
    <xf numFmtId="0" fontId="14" fillId="0" borderId="41" xfId="0" applyFont="1" applyBorder="1" applyAlignment="1" applyProtection="1">
      <alignment horizontal="left"/>
    </xf>
    <xf numFmtId="0" fontId="14" fillId="0" borderId="42" xfId="0" applyFont="1" applyBorder="1" applyAlignment="1" applyProtection="1">
      <alignment horizontal="left"/>
    </xf>
    <xf numFmtId="0" fontId="23" fillId="11" borderId="9" xfId="0" applyFont="1" applyFill="1" applyBorder="1" applyAlignment="1" applyProtection="1">
      <alignment horizontal="center" vertical="center"/>
    </xf>
    <xf numFmtId="0" fontId="23" fillId="11" borderId="11" xfId="0" applyFont="1" applyFill="1" applyBorder="1" applyAlignment="1" applyProtection="1">
      <alignment horizontal="center" vertical="center"/>
    </xf>
    <xf numFmtId="0" fontId="23" fillId="12" borderId="106" xfId="0" applyFont="1" applyFill="1" applyBorder="1" applyAlignment="1" applyProtection="1">
      <alignment horizontal="center" vertical="center"/>
    </xf>
    <xf numFmtId="0" fontId="23" fillId="12" borderId="107" xfId="0" applyFont="1" applyFill="1" applyBorder="1" applyAlignment="1" applyProtection="1">
      <alignment horizontal="center" vertical="center"/>
    </xf>
    <xf numFmtId="0" fontId="23" fillId="12" borderId="40" xfId="0" applyFont="1" applyFill="1" applyBorder="1" applyAlignment="1" applyProtection="1">
      <alignment horizontal="center" vertical="center"/>
    </xf>
    <xf numFmtId="0" fontId="23" fillId="12" borderId="42" xfId="0" applyFont="1" applyFill="1" applyBorder="1" applyAlignment="1" applyProtection="1">
      <alignment horizontal="center" vertical="center"/>
    </xf>
    <xf numFmtId="0" fontId="23" fillId="36" borderId="18" xfId="0" applyFont="1" applyFill="1" applyBorder="1" applyAlignment="1" applyProtection="1">
      <alignment horizontal="center" vertical="center" textRotation="90"/>
    </xf>
    <xf numFmtId="0" fontId="23" fillId="36" borderId="13" xfId="0" applyFont="1" applyFill="1" applyBorder="1" applyAlignment="1" applyProtection="1">
      <alignment horizontal="center" vertical="center" textRotation="90"/>
    </xf>
    <xf numFmtId="0" fontId="23" fillId="36" borderId="6" xfId="0" applyFont="1" applyFill="1" applyBorder="1" applyAlignment="1" applyProtection="1">
      <alignment horizontal="center" vertical="center" textRotation="90"/>
    </xf>
    <xf numFmtId="0" fontId="24" fillId="9" borderId="94" xfId="0" applyFont="1" applyFill="1" applyBorder="1" applyAlignment="1" applyProtection="1">
      <alignment horizontal="center" vertical="center" wrapText="1"/>
    </xf>
    <xf numFmtId="0" fontId="24" fillId="9" borderId="105" xfId="0" applyFont="1" applyFill="1" applyBorder="1" applyAlignment="1" applyProtection="1">
      <alignment horizontal="center" vertical="center" wrapText="1"/>
    </xf>
    <xf numFmtId="0" fontId="22" fillId="9" borderId="173" xfId="0" applyFont="1" applyFill="1" applyBorder="1" applyAlignment="1" applyProtection="1">
      <alignment horizontal="center" vertical="center" wrapText="1"/>
    </xf>
    <xf numFmtId="0" fontId="24" fillId="9" borderId="95" xfId="0" applyFont="1" applyFill="1" applyBorder="1" applyAlignment="1" applyProtection="1">
      <alignment horizontal="center" vertical="center" wrapText="1"/>
    </xf>
    <xf numFmtId="0" fontId="24" fillId="9" borderId="97" xfId="0" applyFont="1" applyFill="1" applyBorder="1" applyAlignment="1" applyProtection="1">
      <alignment horizontal="center" vertical="center" wrapText="1"/>
    </xf>
    <xf numFmtId="0" fontId="24" fillId="9" borderId="99" xfId="0" applyFont="1" applyFill="1" applyBorder="1" applyAlignment="1" applyProtection="1">
      <alignment horizontal="center" vertical="center" wrapText="1"/>
    </xf>
    <xf numFmtId="0" fontId="24" fillId="9" borderId="172" xfId="0" applyFont="1" applyFill="1" applyBorder="1" applyAlignment="1" applyProtection="1">
      <alignment horizontal="center" vertical="center" wrapText="1"/>
    </xf>
    <xf numFmtId="0" fontId="22" fillId="9" borderId="171" xfId="0" applyFont="1" applyFill="1" applyBorder="1" applyAlignment="1" applyProtection="1">
      <alignment horizontal="center" vertical="center" wrapText="1"/>
    </xf>
    <xf numFmtId="0" fontId="24" fillId="9" borderId="100" xfId="0" applyFont="1" applyFill="1" applyBorder="1" applyAlignment="1" applyProtection="1">
      <alignment horizontal="center" vertical="center" wrapText="1"/>
    </xf>
    <xf numFmtId="0" fontId="29" fillId="36" borderId="9" xfId="0" applyFont="1" applyFill="1" applyBorder="1" applyAlignment="1" applyProtection="1">
      <alignment horizontal="center" vertical="center"/>
    </xf>
    <xf numFmtId="0" fontId="29" fillId="36" borderId="10" xfId="0" applyFont="1" applyFill="1" applyBorder="1" applyAlignment="1" applyProtection="1">
      <alignment horizontal="center" vertical="center"/>
    </xf>
    <xf numFmtId="0" fontId="29" fillId="36" borderId="11" xfId="0" applyFont="1" applyFill="1" applyBorder="1" applyAlignment="1" applyProtection="1">
      <alignment horizontal="center" vertical="center"/>
    </xf>
    <xf numFmtId="0" fontId="22" fillId="0" borderId="1" xfId="0" applyFont="1" applyBorder="1" applyAlignment="1" applyProtection="1">
      <alignment horizontal="left" vertical="center" wrapText="1"/>
    </xf>
    <xf numFmtId="0" fontId="22" fillId="0" borderId="2" xfId="0" applyFont="1" applyBorder="1" applyAlignment="1" applyProtection="1">
      <alignment horizontal="left" vertical="center" wrapText="1"/>
    </xf>
    <xf numFmtId="0" fontId="22" fillId="0" borderId="3" xfId="0" applyFont="1" applyBorder="1" applyAlignment="1" applyProtection="1">
      <alignment horizontal="left" vertical="center" wrapText="1"/>
    </xf>
    <xf numFmtId="0" fontId="22" fillId="0" borderId="9" xfId="0" applyFont="1" applyBorder="1" applyAlignment="1" applyProtection="1">
      <alignment horizontal="left" vertical="center" wrapText="1"/>
    </xf>
    <xf numFmtId="0" fontId="22" fillId="0" borderId="10" xfId="0" applyFont="1" applyBorder="1" applyAlignment="1" applyProtection="1">
      <alignment horizontal="left" vertical="center" wrapText="1"/>
    </xf>
    <xf numFmtId="0" fontId="22" fillId="0" borderId="11" xfId="0" applyFont="1" applyBorder="1" applyAlignment="1" applyProtection="1">
      <alignment horizontal="left" vertical="center" wrapText="1"/>
    </xf>
    <xf numFmtId="0" fontId="22" fillId="9" borderId="43" xfId="0" applyFont="1" applyFill="1" applyBorder="1" applyAlignment="1" applyProtection="1">
      <alignment horizontal="center" vertical="center" wrapText="1"/>
    </xf>
    <xf numFmtId="0" fontId="22" fillId="9" borderId="0" xfId="0" applyFont="1" applyFill="1" applyBorder="1" applyAlignment="1" applyProtection="1">
      <alignment horizontal="center" vertical="center" wrapText="1"/>
    </xf>
    <xf numFmtId="0" fontId="22" fillId="9" borderId="44" xfId="0" applyFont="1" applyFill="1" applyBorder="1" applyAlignment="1" applyProtection="1">
      <alignment horizontal="center" vertical="center" wrapText="1"/>
    </xf>
    <xf numFmtId="0" fontId="22" fillId="9" borderId="101" xfId="0" applyFont="1" applyFill="1" applyBorder="1" applyAlignment="1" applyProtection="1">
      <alignment horizontal="center" vertical="center" wrapText="1"/>
    </xf>
    <xf numFmtId="0" fontId="22" fillId="9" borderId="62" xfId="0" applyFont="1" applyFill="1" applyBorder="1" applyAlignment="1" applyProtection="1">
      <alignment horizontal="center" vertical="center" wrapText="1"/>
    </xf>
    <xf numFmtId="0" fontId="22" fillId="9" borderId="102" xfId="0" applyFont="1" applyFill="1" applyBorder="1" applyAlignment="1" applyProtection="1">
      <alignment horizontal="center" vertical="center" wrapText="1"/>
    </xf>
    <xf numFmtId="0" fontId="22" fillId="9" borderId="45" xfId="0" applyFont="1" applyFill="1" applyBorder="1" applyAlignment="1" applyProtection="1">
      <alignment horizontal="center" vertical="center" wrapText="1"/>
    </xf>
    <xf numFmtId="0" fontId="22" fillId="9" borderId="46" xfId="0" applyFont="1" applyFill="1" applyBorder="1" applyAlignment="1" applyProtection="1">
      <alignment horizontal="center" vertical="center" wrapText="1"/>
    </xf>
    <xf numFmtId="0" fontId="22" fillId="9" borderId="47" xfId="0" applyFont="1" applyFill="1" applyBorder="1" applyAlignment="1" applyProtection="1">
      <alignment horizontal="center" vertical="center" wrapText="1"/>
    </xf>
    <xf numFmtId="0" fontId="22" fillId="9" borderId="105" xfId="0" applyFont="1" applyFill="1" applyBorder="1" applyAlignment="1" applyProtection="1">
      <alignment horizontal="center" vertical="center" wrapText="1"/>
    </xf>
    <xf numFmtId="0" fontId="24" fillId="9" borderId="96" xfId="0" applyFont="1" applyFill="1" applyBorder="1" applyAlignment="1" applyProtection="1">
      <alignment horizontal="center" vertical="center" wrapText="1"/>
    </xf>
    <xf numFmtId="0" fontId="24" fillId="29" borderId="48" xfId="0" applyFont="1" applyFill="1" applyBorder="1" applyAlignment="1" applyProtection="1">
      <alignment horizontal="center"/>
    </xf>
    <xf numFmtId="0" fontId="22" fillId="29" borderId="52" xfId="0" applyFont="1" applyFill="1" applyBorder="1" applyAlignment="1" applyProtection="1">
      <alignment horizontal="center"/>
    </xf>
    <xf numFmtId="0" fontId="22" fillId="29" borderId="49" xfId="0" applyFont="1" applyFill="1" applyBorder="1" applyAlignment="1" applyProtection="1">
      <alignment horizontal="center"/>
    </xf>
    <xf numFmtId="0" fontId="22" fillId="9" borderId="4" xfId="0" applyFont="1" applyFill="1" applyBorder="1" applyAlignment="1" applyProtection="1">
      <alignment horizontal="center" vertical="center" wrapText="1"/>
    </xf>
    <xf numFmtId="0" fontId="24" fillId="29" borderId="50" xfId="0" applyFont="1" applyFill="1" applyBorder="1" applyAlignment="1" applyProtection="1">
      <alignment horizontal="center"/>
    </xf>
    <xf numFmtId="0" fontId="24" fillId="29" borderId="53" xfId="0" applyFont="1" applyFill="1" applyBorder="1" applyAlignment="1" applyProtection="1">
      <alignment horizontal="center"/>
    </xf>
    <xf numFmtId="0" fontId="24" fillId="29" borderId="51" xfId="0" applyFont="1" applyFill="1" applyBorder="1" applyAlignment="1" applyProtection="1">
      <alignment horizontal="center"/>
    </xf>
    <xf numFmtId="0" fontId="27" fillId="36" borderId="1" xfId="0" applyFont="1" applyFill="1" applyBorder="1" applyAlignment="1" applyProtection="1">
      <alignment horizontal="center" vertical="center"/>
    </xf>
    <xf numFmtId="0" fontId="27" fillId="36" borderId="3" xfId="0" applyFont="1" applyFill="1" applyBorder="1" applyAlignment="1" applyProtection="1">
      <alignment horizontal="center" vertical="center"/>
    </xf>
    <xf numFmtId="0" fontId="25" fillId="12" borderId="4" xfId="0" applyFont="1" applyFill="1" applyBorder="1" applyAlignment="1" applyProtection="1">
      <alignment horizontal="center" vertical="center"/>
    </xf>
    <xf numFmtId="0" fontId="25" fillId="12" borderId="0" xfId="0" applyFont="1" applyFill="1" applyBorder="1" applyAlignment="1" applyProtection="1">
      <alignment horizontal="center" vertical="center"/>
    </xf>
    <xf numFmtId="0" fontId="25" fillId="12" borderId="5" xfId="0" applyFont="1" applyFill="1" applyBorder="1" applyAlignment="1" applyProtection="1">
      <alignment horizontal="center" vertical="center"/>
    </xf>
    <xf numFmtId="0" fontId="25" fillId="12" borderId="11" xfId="0" applyFont="1" applyFill="1" applyBorder="1" applyAlignment="1" applyProtection="1">
      <alignment horizontal="center" vertical="center"/>
    </xf>
    <xf numFmtId="0" fontId="47" fillId="9" borderId="50" xfId="0" applyFont="1" applyFill="1" applyBorder="1" applyAlignment="1" applyProtection="1">
      <alignment horizontal="center" vertical="center" wrapText="1"/>
    </xf>
    <xf numFmtId="0" fontId="47" fillId="9" borderId="53" xfId="0" applyFont="1" applyFill="1" applyBorder="1" applyAlignment="1" applyProtection="1">
      <alignment horizontal="center" vertical="center" wrapText="1"/>
    </xf>
    <xf numFmtId="0" fontId="47" fillId="9" borderId="51" xfId="0" applyFont="1" applyFill="1" applyBorder="1" applyAlignment="1" applyProtection="1">
      <alignment horizontal="center" vertical="center" wrapText="1"/>
    </xf>
    <xf numFmtId="0" fontId="47" fillId="9" borderId="48" xfId="0" applyFont="1" applyFill="1" applyBorder="1" applyAlignment="1" applyProtection="1">
      <alignment horizontal="center" vertical="center" wrapText="1"/>
    </xf>
    <xf numFmtId="0" fontId="47" fillId="9" borderId="52" xfId="0" applyFont="1" applyFill="1" applyBorder="1" applyAlignment="1" applyProtection="1">
      <alignment horizontal="center" vertical="center" wrapText="1"/>
    </xf>
    <xf numFmtId="0" fontId="47" fillId="9" borderId="49" xfId="0" applyFont="1" applyFill="1" applyBorder="1" applyAlignment="1" applyProtection="1">
      <alignment horizontal="center" vertical="center" wrapText="1"/>
    </xf>
    <xf numFmtId="0" fontId="48" fillId="9" borderId="48" xfId="0" applyFont="1" applyFill="1" applyBorder="1" applyAlignment="1" applyProtection="1">
      <alignment horizontal="center" vertical="center" wrapText="1"/>
    </xf>
    <xf numFmtId="0" fontId="48" fillId="9" borderId="52" xfId="0" applyFont="1" applyFill="1" applyBorder="1" applyAlignment="1" applyProtection="1">
      <alignment horizontal="center" vertical="center" wrapText="1"/>
    </xf>
    <xf numFmtId="0" fontId="48" fillId="9" borderId="49" xfId="0" applyFont="1" applyFill="1" applyBorder="1" applyAlignment="1" applyProtection="1">
      <alignment horizontal="center" vertical="center" wrapText="1"/>
    </xf>
    <xf numFmtId="0" fontId="48" fillId="9" borderId="50" xfId="0" applyFont="1" applyFill="1" applyBorder="1" applyAlignment="1" applyProtection="1">
      <alignment horizontal="center" vertical="center" wrapText="1"/>
    </xf>
    <xf numFmtId="0" fontId="48" fillId="9" borderId="53" xfId="0" applyFont="1" applyFill="1" applyBorder="1" applyAlignment="1" applyProtection="1">
      <alignment horizontal="center" vertical="center" wrapText="1"/>
    </xf>
    <xf numFmtId="0" fontId="48" fillId="9" borderId="51" xfId="0" applyFont="1" applyFill="1" applyBorder="1" applyAlignment="1" applyProtection="1">
      <alignment horizontal="center" vertical="center" wrapText="1"/>
    </xf>
    <xf numFmtId="0" fontId="23" fillId="12" borderId="9" xfId="0" applyFont="1" applyFill="1" applyBorder="1" applyAlignment="1" applyProtection="1">
      <alignment horizontal="center" vertical="center"/>
    </xf>
    <xf numFmtId="0" fontId="23" fillId="12" borderId="10" xfId="0" applyFont="1" applyFill="1" applyBorder="1" applyAlignment="1" applyProtection="1">
      <alignment horizontal="center" vertical="center"/>
    </xf>
    <xf numFmtId="0" fontId="23" fillId="12" borderId="7" xfId="0" applyFont="1" applyFill="1" applyBorder="1" applyAlignment="1" applyProtection="1">
      <alignment horizontal="center" vertical="center"/>
    </xf>
    <xf numFmtId="0" fontId="23" fillId="12" borderId="11" xfId="0" applyFont="1" applyFill="1" applyBorder="1" applyAlignment="1" applyProtection="1">
      <alignment horizontal="center" vertical="center"/>
    </xf>
    <xf numFmtId="0" fontId="24" fillId="9" borderId="50" xfId="0" applyFont="1" applyFill="1" applyBorder="1" applyAlignment="1" applyProtection="1">
      <alignment horizontal="center" vertical="center" wrapText="1"/>
    </xf>
    <xf numFmtId="0" fontId="23" fillId="36" borderId="1" xfId="0" applyFont="1" applyFill="1" applyBorder="1" applyAlignment="1" applyProtection="1">
      <alignment horizontal="center" vertical="center" textRotation="90"/>
    </xf>
    <xf numFmtId="0" fontId="23" fillId="36" borderId="4" xfId="0" applyFont="1" applyFill="1" applyBorder="1" applyAlignment="1" applyProtection="1">
      <alignment horizontal="center" vertical="center" textRotation="90"/>
    </xf>
    <xf numFmtId="0" fontId="23" fillId="36" borderId="17" xfId="0" applyFont="1" applyFill="1" applyBorder="1" applyAlignment="1" applyProtection="1">
      <alignment horizontal="center" vertical="center" textRotation="90"/>
    </xf>
    <xf numFmtId="0" fontId="23" fillId="36" borderId="18" xfId="0" applyFont="1" applyFill="1" applyBorder="1" applyAlignment="1" applyProtection="1">
      <alignment horizontal="center" vertical="center"/>
    </xf>
    <xf numFmtId="0" fontId="23" fillId="36" borderId="17"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69" fillId="5" borderId="10" xfId="0" applyFont="1" applyFill="1" applyBorder="1" applyAlignment="1" applyProtection="1">
      <alignment horizontal="center" vertical="center"/>
    </xf>
    <xf numFmtId="0" fontId="69" fillId="5" borderId="11" xfId="0" applyFont="1" applyFill="1" applyBorder="1" applyAlignment="1" applyProtection="1">
      <alignment horizontal="center" vertical="center"/>
    </xf>
    <xf numFmtId="0" fontId="70" fillId="40" borderId="9" xfId="0" applyFont="1" applyFill="1" applyBorder="1" applyAlignment="1" applyProtection="1">
      <alignment horizontal="left" vertical="center" wrapText="1" indent="1"/>
    </xf>
    <xf numFmtId="0" fontId="70" fillId="40" borderId="10" xfId="0" applyFont="1" applyFill="1" applyBorder="1" applyAlignment="1" applyProtection="1">
      <alignment horizontal="left" vertical="center" wrapText="1" indent="1"/>
    </xf>
    <xf numFmtId="0" fontId="70" fillId="40" borderId="11" xfId="0" applyFont="1" applyFill="1" applyBorder="1" applyAlignment="1" applyProtection="1">
      <alignment horizontal="left" vertical="center" wrapText="1" indent="1"/>
    </xf>
    <xf numFmtId="0" fontId="23" fillId="11" borderId="184" xfId="0" applyFont="1" applyFill="1" applyBorder="1" applyAlignment="1" applyProtection="1">
      <alignment horizontal="center" vertical="center"/>
    </xf>
    <xf numFmtId="0" fontId="35" fillId="0" borderId="0" xfId="0" applyFont="1" applyAlignment="1" applyProtection="1">
      <alignment horizontal="left" wrapText="1"/>
    </xf>
    <xf numFmtId="0" fontId="14" fillId="14" borderId="32" xfId="0" applyFont="1" applyFill="1" applyBorder="1" applyAlignment="1" applyProtection="1">
      <alignment horizontal="left" wrapText="1" indent="1"/>
    </xf>
    <xf numFmtId="0" fontId="14" fillId="14" borderId="73" xfId="0" applyFont="1" applyFill="1" applyBorder="1" applyAlignment="1" applyProtection="1">
      <alignment horizontal="left" wrapText="1" indent="1"/>
    </xf>
    <xf numFmtId="0" fontId="14" fillId="14" borderId="33" xfId="0" applyFont="1" applyFill="1" applyBorder="1" applyAlignment="1" applyProtection="1">
      <alignment horizontal="left" wrapText="1" indent="1"/>
    </xf>
    <xf numFmtId="0" fontId="25" fillId="12" borderId="9" xfId="0" applyFont="1" applyFill="1" applyBorder="1" applyAlignment="1" applyProtection="1">
      <alignment horizontal="left" vertical="center"/>
    </xf>
    <xf numFmtId="0" fontId="25" fillId="12" borderId="10" xfId="0" applyFont="1" applyFill="1" applyBorder="1" applyAlignment="1" applyProtection="1">
      <alignment horizontal="left" vertical="center"/>
    </xf>
    <xf numFmtId="0" fontId="16" fillId="9" borderId="9" xfId="0" applyFont="1" applyFill="1" applyBorder="1" applyAlignment="1" applyProtection="1">
      <alignment horizontal="left" wrapText="1"/>
    </xf>
    <xf numFmtId="0" fontId="16" fillId="9" borderId="10" xfId="0" applyFont="1" applyFill="1" applyBorder="1" applyAlignment="1" applyProtection="1">
      <alignment horizontal="left" wrapText="1"/>
    </xf>
    <xf numFmtId="0" fontId="16" fillId="9" borderId="11" xfId="0" applyFont="1" applyFill="1" applyBorder="1" applyAlignment="1" applyProtection="1">
      <alignment horizontal="left" wrapText="1"/>
    </xf>
    <xf numFmtId="0" fontId="35" fillId="0" borderId="0" xfId="0" applyFont="1" applyAlignment="1" applyProtection="1">
      <alignment horizontal="left" vertical="top" wrapText="1"/>
    </xf>
    <xf numFmtId="0" fontId="27" fillId="11" borderId="1" xfId="0" applyFont="1" applyFill="1" applyBorder="1" applyAlignment="1" applyProtection="1">
      <alignment horizontal="left" vertical="center"/>
    </xf>
    <xf numFmtId="0" fontId="27" fillId="11" borderId="2" xfId="0" applyFont="1" applyFill="1" applyBorder="1" applyAlignment="1" applyProtection="1">
      <alignment horizontal="left" vertical="center"/>
    </xf>
    <xf numFmtId="0" fontId="27" fillId="11" borderId="3" xfId="0" applyFont="1" applyFill="1" applyBorder="1" applyAlignment="1" applyProtection="1">
      <alignment horizontal="left" vertical="center"/>
    </xf>
    <xf numFmtId="0" fontId="26" fillId="12" borderId="1" xfId="0" applyFont="1" applyFill="1" applyBorder="1" applyAlignment="1" applyProtection="1">
      <alignment horizontal="left" vertical="center" wrapText="1"/>
    </xf>
    <xf numFmtId="0" fontId="26" fillId="12" borderId="2" xfId="0" applyFont="1" applyFill="1" applyBorder="1" applyAlignment="1" applyProtection="1">
      <alignment horizontal="left" vertical="center" wrapText="1"/>
    </xf>
    <xf numFmtId="0" fontId="26" fillId="12" borderId="3" xfId="0" applyFont="1" applyFill="1" applyBorder="1" applyAlignment="1" applyProtection="1">
      <alignment horizontal="left" vertical="center" wrapText="1"/>
    </xf>
    <xf numFmtId="0" fontId="14" fillId="14" borderId="186" xfId="0" applyFont="1" applyFill="1" applyBorder="1" applyAlignment="1" applyProtection="1">
      <alignment horizontal="left" wrapText="1" indent="1"/>
    </xf>
    <xf numFmtId="0" fontId="14" fillId="14" borderId="188" xfId="0" applyFont="1" applyFill="1" applyBorder="1" applyAlignment="1" applyProtection="1">
      <alignment horizontal="left" wrapText="1" indent="1"/>
    </xf>
    <xf numFmtId="0" fontId="14" fillId="14" borderId="187" xfId="0" applyFont="1" applyFill="1" applyBorder="1" applyAlignment="1" applyProtection="1">
      <alignment horizontal="left" wrapText="1" indent="1"/>
    </xf>
    <xf numFmtId="0" fontId="23" fillId="11" borderId="6" xfId="0" applyFont="1" applyFill="1" applyBorder="1" applyAlignment="1" applyProtection="1">
      <alignment horizontal="left" vertical="center" wrapText="1"/>
    </xf>
    <xf numFmtId="0" fontId="23" fillId="11" borderId="7" xfId="0" applyFont="1" applyFill="1" applyBorder="1" applyAlignment="1" applyProtection="1">
      <alignment horizontal="left" vertical="center" wrapText="1"/>
    </xf>
    <xf numFmtId="0" fontId="23" fillId="11" borderId="8" xfId="0" applyFont="1" applyFill="1" applyBorder="1" applyAlignment="1" applyProtection="1">
      <alignment horizontal="left" vertical="center" wrapText="1"/>
    </xf>
    <xf numFmtId="0" fontId="14" fillId="0" borderId="0" xfId="0" applyFont="1" applyAlignment="1" applyProtection="1">
      <alignment horizontal="left" vertical="top" wrapText="1"/>
    </xf>
    <xf numFmtId="49" fontId="14" fillId="0" borderId="0" xfId="0" applyNumberFormat="1" applyFont="1" applyAlignment="1" applyProtection="1">
      <alignment horizontal="center" vertical="top" wrapText="1"/>
    </xf>
    <xf numFmtId="0" fontId="25" fillId="12" borderId="11" xfId="0" applyFont="1" applyFill="1" applyBorder="1" applyAlignment="1" applyProtection="1">
      <alignment horizontal="left" vertical="center"/>
    </xf>
    <xf numFmtId="0" fontId="14" fillId="9" borderId="9" xfId="0" applyFont="1" applyFill="1" applyBorder="1" applyAlignment="1" applyProtection="1">
      <alignment horizontal="left" vertical="top" wrapText="1"/>
    </xf>
    <xf numFmtId="0" fontId="14" fillId="9" borderId="10" xfId="0" applyFont="1" applyFill="1" applyBorder="1" applyAlignment="1" applyProtection="1">
      <alignment horizontal="left" vertical="top" wrapText="1"/>
    </xf>
    <xf numFmtId="0" fontId="14" fillId="9" borderId="11" xfId="0" applyFont="1" applyFill="1" applyBorder="1" applyAlignment="1" applyProtection="1">
      <alignment horizontal="left" vertical="top" wrapText="1"/>
    </xf>
    <xf numFmtId="0" fontId="14" fillId="14" borderId="143" xfId="0" applyFont="1" applyFill="1" applyBorder="1" applyAlignment="1" applyProtection="1">
      <alignment horizontal="left" wrapText="1" indent="1"/>
    </xf>
    <xf numFmtId="0" fontId="14" fillId="14" borderId="180" xfId="0" applyFont="1" applyFill="1" applyBorder="1" applyAlignment="1" applyProtection="1">
      <alignment horizontal="left" wrapText="1" indent="1"/>
    </xf>
    <xf numFmtId="0" fontId="14" fillId="14" borderId="153" xfId="0" applyFont="1" applyFill="1" applyBorder="1" applyAlignment="1" applyProtection="1">
      <alignment horizontal="left" wrapText="1" indent="1"/>
    </xf>
    <xf numFmtId="0" fontId="9" fillId="9" borderId="1" xfId="0" applyFont="1" applyFill="1" applyBorder="1" applyAlignment="1" applyProtection="1">
      <alignment horizontal="center" vertical="center" wrapText="1"/>
    </xf>
    <xf numFmtId="0" fontId="9" fillId="9" borderId="2" xfId="0" applyFont="1" applyFill="1" applyBorder="1" applyAlignment="1" applyProtection="1">
      <alignment horizontal="center" vertical="center" wrapText="1"/>
    </xf>
    <xf numFmtId="0" fontId="9" fillId="9" borderId="3" xfId="0" applyFont="1" applyFill="1" applyBorder="1" applyAlignment="1" applyProtection="1">
      <alignment horizontal="center" vertical="center" wrapText="1"/>
    </xf>
    <xf numFmtId="0" fontId="9" fillId="9" borderId="4" xfId="0" applyFont="1" applyFill="1" applyBorder="1" applyAlignment="1" applyProtection="1">
      <alignment horizontal="center" vertical="center" wrapText="1"/>
    </xf>
    <xf numFmtId="0" fontId="9" fillId="9" borderId="0" xfId="0" applyFont="1" applyFill="1" applyBorder="1" applyAlignment="1" applyProtection="1">
      <alignment horizontal="center" vertical="center" wrapText="1"/>
    </xf>
    <xf numFmtId="0" fontId="9" fillId="9" borderId="5" xfId="0" applyFont="1" applyFill="1" applyBorder="1" applyAlignment="1" applyProtection="1">
      <alignment horizontal="center" vertical="center" wrapText="1"/>
    </xf>
    <xf numFmtId="0" fontId="9" fillId="9" borderId="6" xfId="0" applyFont="1" applyFill="1" applyBorder="1" applyAlignment="1" applyProtection="1">
      <alignment horizontal="center" vertical="center" wrapText="1"/>
    </xf>
    <xf numFmtId="0" fontId="9" fillId="9" borderId="7" xfId="0" applyFont="1" applyFill="1" applyBorder="1" applyAlignment="1" applyProtection="1">
      <alignment horizontal="center" vertical="center" wrapText="1"/>
    </xf>
    <xf numFmtId="0" fontId="9" fillId="9" borderId="8" xfId="0" applyFont="1" applyFill="1" applyBorder="1" applyAlignment="1" applyProtection="1">
      <alignment horizontal="center" vertical="center" wrapText="1"/>
    </xf>
    <xf numFmtId="0" fontId="30" fillId="12" borderId="75" xfId="0" applyFont="1" applyFill="1" applyBorder="1" applyAlignment="1">
      <alignment horizontal="center" vertical="center"/>
    </xf>
    <xf numFmtId="0" fontId="30" fillId="12" borderId="191" xfId="0" applyFont="1" applyFill="1" applyBorder="1" applyAlignment="1">
      <alignment horizontal="center" vertical="center"/>
    </xf>
    <xf numFmtId="0" fontId="30" fillId="12" borderId="74" xfId="0" applyFont="1" applyFill="1" applyBorder="1" applyAlignment="1">
      <alignment horizontal="center" vertical="center"/>
    </xf>
    <xf numFmtId="0" fontId="30" fillId="12" borderId="73" xfId="0" applyFont="1" applyFill="1" applyBorder="1" applyAlignment="1">
      <alignment horizontal="center" vertical="center"/>
    </xf>
    <xf numFmtId="0" fontId="30" fillId="12" borderId="4" xfId="0" applyFont="1" applyFill="1" applyBorder="1" applyAlignment="1">
      <alignment horizontal="center" vertical="center"/>
    </xf>
    <xf numFmtId="0" fontId="30" fillId="12" borderId="0" xfId="0" applyFont="1" applyFill="1" applyBorder="1" applyAlignment="1">
      <alignment horizontal="center" vertical="center"/>
    </xf>
    <xf numFmtId="0" fontId="30" fillId="12" borderId="5" xfId="0" applyFont="1" applyFill="1" applyBorder="1" applyAlignment="1">
      <alignment horizontal="center" vertical="center"/>
    </xf>
    <xf numFmtId="0" fontId="30" fillId="12" borderId="190" xfId="0" applyFont="1" applyFill="1" applyBorder="1" applyAlignment="1">
      <alignment horizontal="center" vertical="center"/>
    </xf>
    <xf numFmtId="0" fontId="30" fillId="12" borderId="192" xfId="0" applyFont="1" applyFill="1" applyBorder="1" applyAlignment="1">
      <alignment horizontal="center" vertical="center"/>
    </xf>
    <xf numFmtId="0" fontId="30" fillId="12" borderId="1" xfId="0" applyFont="1" applyFill="1" applyBorder="1" applyAlignment="1">
      <alignment horizontal="center" vertical="center"/>
    </xf>
    <xf numFmtId="0" fontId="30" fillId="12" borderId="2" xfId="0" applyFont="1" applyFill="1" applyBorder="1" applyAlignment="1">
      <alignment horizontal="center" vertical="center"/>
    </xf>
    <xf numFmtId="0" fontId="30" fillId="12" borderId="3" xfId="0" applyFont="1" applyFill="1" applyBorder="1" applyAlignment="1">
      <alignment horizontal="center" vertical="center"/>
    </xf>
    <xf numFmtId="0" fontId="30" fillId="12" borderId="6" xfId="0" applyFont="1" applyFill="1" applyBorder="1" applyAlignment="1">
      <alignment horizontal="center" vertical="center"/>
    </xf>
    <xf numFmtId="0" fontId="30" fillId="12" borderId="7" xfId="0" applyFont="1" applyFill="1" applyBorder="1" applyAlignment="1">
      <alignment horizontal="center" vertical="center"/>
    </xf>
    <xf numFmtId="0" fontId="30" fillId="12" borderId="8" xfId="0" applyFont="1" applyFill="1" applyBorder="1" applyAlignment="1">
      <alignment horizontal="center" vertical="center"/>
    </xf>
    <xf numFmtId="0" fontId="59" fillId="9" borderId="1" xfId="0" applyFont="1" applyFill="1" applyBorder="1" applyAlignment="1" applyProtection="1">
      <alignment horizontal="center" vertical="center" wrapText="1"/>
    </xf>
    <xf numFmtId="0" fontId="59" fillId="9" borderId="2" xfId="0" applyFont="1" applyFill="1" applyBorder="1" applyAlignment="1" applyProtection="1">
      <alignment horizontal="center" vertical="center" wrapText="1"/>
    </xf>
    <xf numFmtId="0" fontId="59" fillId="9" borderId="3" xfId="0" applyFont="1" applyFill="1" applyBorder="1" applyAlignment="1" applyProtection="1">
      <alignment horizontal="center" vertical="center" wrapText="1"/>
    </xf>
    <xf numFmtId="0" fontId="59" fillId="9" borderId="4" xfId="0" applyFont="1" applyFill="1" applyBorder="1" applyAlignment="1" applyProtection="1">
      <alignment horizontal="center" vertical="center" wrapText="1"/>
    </xf>
    <xf numFmtId="0" fontId="59" fillId="9" borderId="0" xfId="0" applyFont="1" applyFill="1" applyBorder="1" applyAlignment="1" applyProtection="1">
      <alignment horizontal="center" vertical="center" wrapText="1"/>
    </xf>
    <xf numFmtId="0" fontId="59" fillId="9" borderId="5" xfId="0" applyFont="1" applyFill="1" applyBorder="1" applyAlignment="1" applyProtection="1">
      <alignment horizontal="center" vertical="center" wrapText="1"/>
    </xf>
    <xf numFmtId="0" fontId="23" fillId="12" borderId="9" xfId="0" applyFont="1" applyFill="1" applyBorder="1" applyAlignment="1">
      <alignment horizontal="center" vertical="center"/>
    </xf>
    <xf numFmtId="0" fontId="23" fillId="12" borderId="10" xfId="0" applyFont="1" applyFill="1" applyBorder="1" applyAlignment="1">
      <alignment horizontal="center" vertical="center"/>
    </xf>
    <xf numFmtId="0" fontId="23" fillId="12" borderId="11"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6" xfId="0" applyFont="1" applyFill="1" applyBorder="1" applyAlignment="1">
      <alignment horizontal="center" vertical="center"/>
    </xf>
    <xf numFmtId="0" fontId="30" fillId="12" borderId="43" xfId="0" applyFont="1" applyFill="1" applyBorder="1" applyAlignment="1">
      <alignment horizontal="center" vertical="center"/>
    </xf>
    <xf numFmtId="0" fontId="30" fillId="12" borderId="44" xfId="0" applyFont="1" applyFill="1" applyBorder="1" applyAlignment="1">
      <alignment horizontal="center" vertical="center"/>
    </xf>
    <xf numFmtId="0" fontId="30" fillId="12" borderId="186" xfId="0" applyFont="1" applyFill="1" applyBorder="1" applyAlignment="1">
      <alignment horizontal="center" vertical="center"/>
    </xf>
    <xf numFmtId="0" fontId="30" fillId="12" borderId="187" xfId="0" applyFont="1" applyFill="1" applyBorder="1" applyAlignment="1">
      <alignment horizontal="center" vertical="center"/>
    </xf>
    <xf numFmtId="0" fontId="30" fillId="12" borderId="32" xfId="0" applyFont="1" applyFill="1" applyBorder="1" applyAlignment="1">
      <alignment horizontal="center" vertical="center"/>
    </xf>
    <xf numFmtId="0" fontId="30" fillId="12" borderId="33" xfId="0" applyFont="1" applyFill="1" applyBorder="1" applyAlignment="1">
      <alignment horizontal="center" vertical="center"/>
    </xf>
    <xf numFmtId="0" fontId="30" fillId="12" borderId="129" xfId="0" applyFont="1" applyFill="1" applyBorder="1" applyAlignment="1">
      <alignment horizontal="center" vertical="center"/>
    </xf>
    <xf numFmtId="0" fontId="30" fillId="12" borderId="189" xfId="0" applyFont="1" applyFill="1" applyBorder="1" applyAlignment="1">
      <alignment horizontal="center" vertical="center"/>
    </xf>
    <xf numFmtId="0" fontId="9" fillId="9" borderId="43" xfId="0" applyFont="1" applyFill="1" applyBorder="1" applyAlignment="1" applyProtection="1">
      <alignment horizontal="center" vertical="center" wrapText="1"/>
    </xf>
    <xf numFmtId="0" fontId="9" fillId="9" borderId="44" xfId="0" applyFont="1" applyFill="1" applyBorder="1" applyAlignment="1" applyProtection="1">
      <alignment horizontal="center" vertical="center" wrapText="1"/>
    </xf>
    <xf numFmtId="0" fontId="23" fillId="5" borderId="18" xfId="0" applyFont="1" applyFill="1" applyBorder="1" applyAlignment="1">
      <alignment horizontal="center" vertical="center"/>
    </xf>
    <xf numFmtId="0" fontId="23" fillId="5" borderId="13" xfId="0" applyFont="1" applyFill="1" applyBorder="1" applyAlignment="1">
      <alignment horizontal="center" vertical="center"/>
    </xf>
    <xf numFmtId="0" fontId="30" fillId="12" borderId="103" xfId="0" applyFont="1" applyFill="1" applyBorder="1" applyAlignment="1">
      <alignment horizontal="center" vertical="center"/>
    </xf>
    <xf numFmtId="0" fontId="30" fillId="12" borderId="151" xfId="0" applyFont="1" applyFill="1" applyBorder="1" applyAlignment="1">
      <alignment horizontal="center" vertical="center"/>
    </xf>
    <xf numFmtId="0" fontId="30" fillId="12" borderId="142" xfId="0" applyFont="1" applyFill="1" applyBorder="1" applyAlignment="1">
      <alignment horizontal="center" vertical="center"/>
    </xf>
    <xf numFmtId="0" fontId="30" fillId="12" borderId="152" xfId="0" applyFont="1" applyFill="1" applyBorder="1" applyAlignment="1">
      <alignment horizontal="center" vertical="center"/>
    </xf>
    <xf numFmtId="0" fontId="15" fillId="10" borderId="0" xfId="0" applyFont="1" applyFill="1" applyBorder="1" applyAlignment="1">
      <alignment horizontal="center"/>
    </xf>
    <xf numFmtId="0" fontId="15" fillId="10" borderId="16" xfId="0" applyFont="1" applyFill="1" applyBorder="1" applyAlignment="1">
      <alignment horizontal="center"/>
    </xf>
    <xf numFmtId="0" fontId="25" fillId="12" borderId="9" xfId="0" applyFont="1" applyFill="1" applyBorder="1" applyAlignment="1">
      <alignment horizontal="center" vertical="top"/>
    </xf>
    <xf numFmtId="0" fontId="25" fillId="12" borderId="10" xfId="0" applyFont="1" applyFill="1" applyBorder="1" applyAlignment="1">
      <alignment horizontal="center" vertical="top"/>
    </xf>
    <xf numFmtId="0" fontId="25" fillId="12" borderId="11" xfId="0" applyFont="1" applyFill="1" applyBorder="1" applyAlignment="1">
      <alignment horizontal="center" vertical="top"/>
    </xf>
    <xf numFmtId="0" fontId="23" fillId="11" borderId="18" xfId="0" applyFont="1" applyFill="1" applyBorder="1" applyAlignment="1">
      <alignment horizontal="center" vertical="center"/>
    </xf>
    <xf numFmtId="0" fontId="23" fillId="11" borderId="17" xfId="0" applyFont="1" applyFill="1" applyBorder="1" applyAlignment="1">
      <alignment horizontal="center" vertical="center"/>
    </xf>
    <xf numFmtId="0" fontId="27" fillId="11" borderId="9" xfId="0" applyFont="1" applyFill="1" applyBorder="1" applyAlignment="1">
      <alignment horizontal="center" vertical="center"/>
    </xf>
    <xf numFmtId="0" fontId="27" fillId="11" borderId="10" xfId="0" applyFont="1" applyFill="1" applyBorder="1" applyAlignment="1">
      <alignment horizontal="center" vertical="center"/>
    </xf>
    <xf numFmtId="0" fontId="27" fillId="11" borderId="11" xfId="0" applyFont="1" applyFill="1" applyBorder="1" applyAlignment="1">
      <alignment horizontal="center" vertical="center"/>
    </xf>
    <xf numFmtId="0" fontId="10" fillId="12" borderId="6" xfId="0" applyFont="1" applyFill="1" applyBorder="1" applyAlignment="1" applyProtection="1">
      <alignment horizontal="center" vertical="center"/>
    </xf>
    <xf numFmtId="0" fontId="10" fillId="12" borderId="7" xfId="0" applyFont="1" applyFill="1" applyBorder="1" applyAlignment="1" applyProtection="1">
      <alignment horizontal="center" vertical="center"/>
    </xf>
    <xf numFmtId="0" fontId="9" fillId="10" borderId="22" xfId="0" applyFont="1" applyFill="1" applyBorder="1" applyAlignment="1">
      <alignment horizontal="left"/>
    </xf>
    <xf numFmtId="0" fontId="9" fillId="10" borderId="0" xfId="0" applyFont="1" applyFill="1" applyBorder="1" applyAlignment="1">
      <alignment horizontal="left"/>
    </xf>
    <xf numFmtId="0" fontId="52" fillId="11" borderId="9" xfId="0" applyFont="1" applyFill="1" applyBorder="1" applyAlignment="1">
      <alignment horizontal="left" vertical="center"/>
    </xf>
    <xf numFmtId="0" fontId="52" fillId="11" borderId="10" xfId="0" applyFont="1" applyFill="1" applyBorder="1" applyAlignment="1">
      <alignment horizontal="left" vertical="center"/>
    </xf>
    <xf numFmtId="0" fontId="52" fillId="11" borderId="11" xfId="0" applyFont="1" applyFill="1" applyBorder="1" applyAlignment="1">
      <alignment horizontal="left" vertical="center"/>
    </xf>
    <xf numFmtId="0" fontId="14" fillId="8" borderId="9" xfId="0" applyFont="1" applyFill="1" applyBorder="1" applyAlignment="1">
      <alignment horizontal="left" vertical="top" wrapText="1"/>
    </xf>
    <xf numFmtId="0" fontId="14" fillId="8" borderId="10" xfId="0" applyFont="1" applyFill="1" applyBorder="1" applyAlignment="1">
      <alignment horizontal="left" vertical="top" wrapText="1"/>
    </xf>
    <xf numFmtId="0" fontId="14" fillId="8" borderId="11" xfId="0" applyFont="1" applyFill="1" applyBorder="1" applyAlignment="1">
      <alignment horizontal="left" vertical="top" wrapText="1"/>
    </xf>
    <xf numFmtId="0" fontId="25" fillId="12" borderId="10" xfId="0" applyFont="1" applyFill="1" applyBorder="1" applyAlignment="1">
      <alignment horizontal="left" vertical="center"/>
    </xf>
    <xf numFmtId="0" fontId="25" fillId="12" borderId="11" xfId="0" applyFont="1" applyFill="1" applyBorder="1" applyAlignment="1">
      <alignment horizontal="left" vertical="center"/>
    </xf>
    <xf numFmtId="0" fontId="25" fillId="12" borderId="147" xfId="0" applyFont="1" applyFill="1" applyBorder="1" applyAlignment="1">
      <alignment horizontal="left" vertical="center"/>
    </xf>
    <xf numFmtId="0" fontId="25" fillId="12" borderId="148" xfId="0" applyFont="1" applyFill="1" applyBorder="1" applyAlignment="1">
      <alignment horizontal="left" vertical="center"/>
    </xf>
    <xf numFmtId="0" fontId="25" fillId="12" borderId="149" xfId="0" applyFont="1" applyFill="1" applyBorder="1" applyAlignment="1">
      <alignment horizontal="left" vertical="center"/>
    </xf>
    <xf numFmtId="0" fontId="25" fillId="12" borderId="9" xfId="0" applyFont="1" applyFill="1" applyBorder="1" applyAlignment="1">
      <alignment horizontal="center" vertical="center"/>
    </xf>
    <xf numFmtId="0" fontId="25" fillId="12" borderId="10" xfId="0" applyFont="1" applyFill="1" applyBorder="1" applyAlignment="1">
      <alignment horizontal="center" vertical="center"/>
    </xf>
    <xf numFmtId="0" fontId="25" fillId="12" borderId="11" xfId="0" applyFont="1" applyFill="1" applyBorder="1" applyAlignment="1">
      <alignment horizontal="center" vertical="center"/>
    </xf>
    <xf numFmtId="0" fontId="10" fillId="40" borderId="9" xfId="0" applyFont="1" applyFill="1" applyBorder="1" applyAlignment="1" applyProtection="1">
      <alignment horizontal="center" vertical="center"/>
    </xf>
    <xf numFmtId="0" fontId="10" fillId="40" borderId="10" xfId="0" applyFont="1" applyFill="1" applyBorder="1" applyAlignment="1" applyProtection="1">
      <alignment horizontal="center" vertical="center"/>
    </xf>
    <xf numFmtId="0" fontId="10" fillId="40" borderId="11" xfId="0" applyFont="1" applyFill="1" applyBorder="1" applyAlignment="1" applyProtection="1">
      <alignment horizontal="center" vertical="center"/>
    </xf>
    <xf numFmtId="0" fontId="10" fillId="12" borderId="43" xfId="0" applyFont="1" applyFill="1" applyBorder="1" applyAlignment="1" applyProtection="1">
      <alignment horizontal="center" vertical="center"/>
    </xf>
    <xf numFmtId="0" fontId="10" fillId="12" borderId="0" xfId="0" applyFont="1" applyFill="1" applyBorder="1" applyAlignment="1" applyProtection="1">
      <alignment horizontal="center" vertical="center"/>
    </xf>
    <xf numFmtId="0" fontId="23" fillId="11" borderId="9" xfId="0" applyFont="1" applyFill="1" applyBorder="1" applyAlignment="1">
      <alignment horizontal="center" vertical="center"/>
    </xf>
    <xf numFmtId="0" fontId="23" fillId="11" borderId="2" xfId="0" applyFont="1" applyFill="1" applyBorder="1" applyAlignment="1">
      <alignment horizontal="center" vertical="center"/>
    </xf>
    <xf numFmtId="0" fontId="23" fillId="11" borderId="3" xfId="0" applyFont="1" applyFill="1" applyBorder="1" applyAlignment="1">
      <alignment horizontal="center" vertical="center"/>
    </xf>
    <xf numFmtId="0" fontId="23" fillId="11" borderId="13" xfId="0" applyFont="1" applyFill="1" applyBorder="1" applyAlignment="1">
      <alignment horizontal="center" vertical="center"/>
    </xf>
    <xf numFmtId="0" fontId="10" fillId="13" borderId="9" xfId="0" applyFont="1" applyFill="1" applyBorder="1" applyAlignment="1">
      <alignment horizontal="center" vertical="center"/>
    </xf>
    <xf numFmtId="0" fontId="10" fillId="13" borderId="11" xfId="0" applyFont="1" applyFill="1" applyBorder="1" applyAlignment="1">
      <alignment horizontal="center" vertical="center"/>
    </xf>
    <xf numFmtId="0" fontId="10" fillId="13" borderId="9"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 xfId="0" applyFont="1" applyFill="1" applyBorder="1" applyAlignment="1">
      <alignment horizontal="center" vertical="center" wrapText="1"/>
    </xf>
    <xf numFmtId="9" fontId="16" fillId="0" borderId="4" xfId="4" applyFont="1" applyBorder="1" applyAlignment="1">
      <alignment horizontal="center"/>
    </xf>
    <xf numFmtId="9" fontId="16" fillId="0" borderId="5" xfId="4" applyFont="1" applyBorder="1" applyAlignment="1">
      <alignment horizontal="center"/>
    </xf>
    <xf numFmtId="9" fontId="16" fillId="26" borderId="4" xfId="4" applyFont="1" applyFill="1" applyBorder="1" applyAlignment="1">
      <alignment horizontal="center"/>
    </xf>
    <xf numFmtId="9" fontId="16" fillId="26" borderId="5" xfId="4" applyFont="1" applyFill="1" applyBorder="1" applyAlignment="1">
      <alignment horizontal="center"/>
    </xf>
    <xf numFmtId="0" fontId="9" fillId="20" borderId="0" xfId="0" applyFont="1" applyFill="1" applyBorder="1" applyAlignment="1">
      <alignment horizontal="center" vertical="center"/>
    </xf>
    <xf numFmtId="49" fontId="22" fillId="10" borderId="1" xfId="0" applyNumberFormat="1" applyFont="1" applyFill="1" applyBorder="1" applyAlignment="1">
      <alignment horizontal="left" vertical="top" wrapText="1" indent="1"/>
    </xf>
    <xf numFmtId="49" fontId="22" fillId="10" borderId="2" xfId="0" applyNumberFormat="1" applyFont="1" applyFill="1" applyBorder="1" applyAlignment="1">
      <alignment horizontal="left" vertical="top" wrapText="1" indent="1"/>
    </xf>
    <xf numFmtId="49" fontId="22" fillId="10" borderId="3" xfId="0" applyNumberFormat="1" applyFont="1" applyFill="1" applyBorder="1" applyAlignment="1">
      <alignment horizontal="left" vertical="top" wrapText="1" indent="1"/>
    </xf>
    <xf numFmtId="49" fontId="22" fillId="10" borderId="4" xfId="0" applyNumberFormat="1" applyFont="1" applyFill="1" applyBorder="1" applyAlignment="1">
      <alignment horizontal="left" vertical="top" wrapText="1" indent="1"/>
    </xf>
    <xf numFmtId="49" fontId="22" fillId="10" borderId="0" xfId="0" applyNumberFormat="1" applyFont="1" applyFill="1" applyBorder="1" applyAlignment="1">
      <alignment horizontal="left" vertical="top" wrapText="1" indent="1"/>
    </xf>
    <xf numFmtId="49" fontId="22" fillId="10" borderId="5" xfId="0" applyNumberFormat="1" applyFont="1" applyFill="1" applyBorder="1" applyAlignment="1">
      <alignment horizontal="left" vertical="top" wrapText="1" indent="1"/>
    </xf>
    <xf numFmtId="49" fontId="22" fillId="10" borderId="6" xfId="0" applyNumberFormat="1" applyFont="1" applyFill="1" applyBorder="1" applyAlignment="1">
      <alignment horizontal="left" vertical="top" wrapText="1" indent="1"/>
    </xf>
    <xf numFmtId="49" fontId="22" fillId="10" borderId="7" xfId="0" applyNumberFormat="1" applyFont="1" applyFill="1" applyBorder="1" applyAlignment="1">
      <alignment horizontal="left" vertical="top" wrapText="1" indent="1"/>
    </xf>
    <xf numFmtId="49" fontId="22" fillId="10" borderId="8" xfId="0" applyNumberFormat="1" applyFont="1" applyFill="1" applyBorder="1" applyAlignment="1">
      <alignment horizontal="left" vertical="top" wrapText="1" indent="1"/>
    </xf>
    <xf numFmtId="0" fontId="22" fillId="10" borderId="0" xfId="0" applyFont="1" applyFill="1" applyAlignment="1">
      <alignment horizontal="left" vertical="top" wrapText="1"/>
    </xf>
    <xf numFmtId="0" fontId="27" fillId="11" borderId="41" xfId="0" applyFont="1" applyFill="1" applyBorder="1" applyAlignment="1">
      <alignment horizontal="left" vertical="center"/>
    </xf>
    <xf numFmtId="0" fontId="27" fillId="11" borderId="40" xfId="0" applyFont="1" applyFill="1" applyBorder="1" applyAlignment="1">
      <alignment horizontal="left" vertical="center"/>
    </xf>
    <xf numFmtId="0" fontId="27" fillId="11" borderId="42" xfId="0" applyFont="1" applyFill="1" applyBorder="1" applyAlignment="1">
      <alignment horizontal="left" vertical="center"/>
    </xf>
    <xf numFmtId="0" fontId="22" fillId="8" borderId="19" xfId="0" applyFont="1" applyFill="1" applyBorder="1" applyAlignment="1">
      <alignment horizontal="left" vertical="top" wrapText="1" indent="1"/>
    </xf>
    <xf numFmtId="0" fontId="22" fillId="8" borderId="20" xfId="0" applyFont="1" applyFill="1" applyBorder="1" applyAlignment="1">
      <alignment horizontal="left" vertical="top" wrapText="1" indent="1"/>
    </xf>
    <xf numFmtId="0" fontId="22" fillId="8" borderId="21" xfId="0" applyFont="1" applyFill="1" applyBorder="1" applyAlignment="1">
      <alignment horizontal="left" vertical="top" wrapText="1" indent="1"/>
    </xf>
    <xf numFmtId="0" fontId="66" fillId="12" borderId="1" xfId="0" applyFont="1" applyFill="1" applyBorder="1" applyAlignment="1">
      <alignment horizontal="left" vertical="center"/>
    </xf>
    <xf numFmtId="0" fontId="66" fillId="12" borderId="2" xfId="0" applyFont="1" applyFill="1" applyBorder="1" applyAlignment="1">
      <alignment horizontal="left" vertical="center"/>
    </xf>
    <xf numFmtId="0" fontId="66" fillId="12" borderId="3" xfId="0" applyFont="1" applyFill="1" applyBorder="1" applyAlignment="1">
      <alignment horizontal="left" vertical="center"/>
    </xf>
    <xf numFmtId="0" fontId="22" fillId="10" borderId="1" xfId="0" applyFont="1" applyFill="1" applyBorder="1" applyAlignment="1">
      <alignment horizontal="left" vertical="center" wrapText="1" indent="1"/>
    </xf>
    <xf numFmtId="0" fontId="0" fillId="0" borderId="2" xfId="0" applyBorder="1" applyAlignment="1">
      <alignment horizontal="left" vertical="center" indent="1"/>
    </xf>
    <xf numFmtId="0" fontId="0" fillId="0" borderId="3" xfId="0" applyBorder="1" applyAlignment="1">
      <alignment horizontal="left" vertical="center" indent="1"/>
    </xf>
    <xf numFmtId="0" fontId="64" fillId="10" borderId="4" xfId="2" applyFont="1" applyFill="1" applyBorder="1" applyAlignment="1">
      <alignment horizontal="left" vertical="top" indent="1"/>
    </xf>
    <xf numFmtId="0" fontId="64" fillId="0" borderId="0" xfId="2" applyFont="1" applyAlignment="1">
      <alignment horizontal="left" vertical="top" indent="1"/>
    </xf>
    <xf numFmtId="0" fontId="64" fillId="0" borderId="5" xfId="2" applyFont="1" applyBorder="1" applyAlignment="1">
      <alignment horizontal="left" vertical="top" indent="1"/>
    </xf>
    <xf numFmtId="0" fontId="22" fillId="10" borderId="6" xfId="2" applyFont="1" applyFill="1" applyBorder="1" applyAlignment="1">
      <alignment horizontal="left" vertical="top" wrapText="1" indent="1"/>
    </xf>
    <xf numFmtId="0" fontId="22" fillId="0" borderId="7" xfId="0" applyFont="1" applyBorder="1" applyAlignment="1">
      <alignment horizontal="left" vertical="top" indent="1"/>
    </xf>
    <xf numFmtId="0" fontId="22" fillId="0" borderId="8" xfId="0" applyFont="1" applyBorder="1" applyAlignment="1">
      <alignment horizontal="left" vertical="top" indent="1"/>
    </xf>
    <xf numFmtId="0" fontId="25" fillId="12" borderId="41" xfId="0" applyFont="1" applyFill="1" applyBorder="1" applyAlignment="1">
      <alignment horizontal="left" vertical="center"/>
    </xf>
    <xf numFmtId="0" fontId="25" fillId="12" borderId="40" xfId="0" applyFont="1" applyFill="1" applyBorder="1" applyAlignment="1">
      <alignment horizontal="left" vertical="center"/>
    </xf>
    <xf numFmtId="0" fontId="25" fillId="12" borderId="42" xfId="0" applyFont="1" applyFill="1" applyBorder="1" applyAlignment="1">
      <alignment horizontal="left" vertical="center"/>
    </xf>
    <xf numFmtId="0" fontId="22" fillId="10" borderId="6" xfId="0" applyFont="1" applyFill="1" applyBorder="1" applyAlignment="1">
      <alignment horizontal="left" vertical="top" wrapText="1" indent="1"/>
    </xf>
    <xf numFmtId="0" fontId="22" fillId="10" borderId="7" xfId="0" applyFont="1" applyFill="1" applyBorder="1" applyAlignment="1">
      <alignment horizontal="left" vertical="top" wrapText="1" indent="1"/>
    </xf>
    <xf numFmtId="0" fontId="22" fillId="10" borderId="8" xfId="0" applyFont="1" applyFill="1" applyBorder="1" applyAlignment="1">
      <alignment horizontal="left" vertical="top" wrapText="1" indent="1"/>
    </xf>
    <xf numFmtId="0" fontId="25" fillId="10" borderId="0" xfId="0" applyFont="1" applyFill="1" applyAlignment="1">
      <alignment horizontal="left" vertical="center"/>
    </xf>
    <xf numFmtId="49" fontId="22" fillId="10" borderId="4" xfId="0" applyNumberFormat="1" applyFont="1" applyFill="1" applyBorder="1" applyAlignment="1">
      <alignment horizontal="left" vertical="center" wrapText="1" indent="1"/>
    </xf>
    <xf numFmtId="49" fontId="0" fillId="0" borderId="0" xfId="0" applyNumberFormat="1" applyBorder="1" applyAlignment="1">
      <alignment horizontal="left" vertical="center" indent="1"/>
    </xf>
    <xf numFmtId="49" fontId="0" fillId="0" borderId="5" xfId="0" applyNumberFormat="1" applyBorder="1" applyAlignment="1">
      <alignment horizontal="left" vertical="center" indent="1"/>
    </xf>
    <xf numFmtId="0" fontId="64" fillId="10" borderId="4" xfId="2" applyFont="1" applyFill="1" applyBorder="1" applyAlignment="1">
      <alignment horizontal="left" vertical="top" wrapText="1" indent="2"/>
    </xf>
    <xf numFmtId="0" fontId="64" fillId="0" borderId="0" xfId="2" applyFont="1" applyBorder="1" applyAlignment="1">
      <alignment horizontal="left" vertical="top" indent="2"/>
    </xf>
    <xf numFmtId="0" fontId="64" fillId="0" borderId="5" xfId="2" applyFont="1" applyBorder="1" applyAlignment="1">
      <alignment horizontal="left" vertical="top" indent="2"/>
    </xf>
    <xf numFmtId="0" fontId="25" fillId="12" borderId="41" xfId="0" applyFont="1" applyFill="1" applyBorder="1" applyAlignment="1">
      <alignment horizontal="left" vertical="center" indent="1"/>
    </xf>
    <xf numFmtId="0" fontId="25" fillId="12" borderId="40" xfId="0" applyFont="1" applyFill="1" applyBorder="1" applyAlignment="1">
      <alignment horizontal="left" vertical="center" indent="1"/>
    </xf>
    <xf numFmtId="0" fontId="25" fillId="12" borderId="42" xfId="0" applyFont="1" applyFill="1" applyBorder="1" applyAlignment="1">
      <alignment horizontal="left" vertical="center" indent="1"/>
    </xf>
    <xf numFmtId="0" fontId="31" fillId="39" borderId="13" xfId="0" applyFont="1" applyFill="1" applyBorder="1" applyAlignment="1">
      <alignment horizontal="center" vertical="center"/>
    </xf>
    <xf numFmtId="0" fontId="77" fillId="39" borderId="13" xfId="0" applyFont="1" applyFill="1" applyBorder="1" applyAlignment="1">
      <alignment horizontal="center" vertical="center"/>
    </xf>
    <xf numFmtId="0" fontId="31" fillId="39" borderId="4" xfId="0" applyFont="1" applyFill="1" applyBorder="1" applyAlignment="1">
      <alignment horizontal="center"/>
    </xf>
    <xf numFmtId="0" fontId="31" fillId="39" borderId="0" xfId="0" applyFont="1" applyFill="1" applyBorder="1" applyAlignment="1">
      <alignment horizontal="center"/>
    </xf>
    <xf numFmtId="0" fontId="31" fillId="39" borderId="5" xfId="0" applyFont="1" applyFill="1" applyBorder="1" applyAlignment="1"/>
    <xf numFmtId="0" fontId="31" fillId="39" borderId="4" xfId="0" applyFont="1" applyFill="1" applyBorder="1" applyAlignment="1">
      <alignment horizontal="center" vertical="center"/>
    </xf>
    <xf numFmtId="0" fontId="77" fillId="39" borderId="4" xfId="0" applyFont="1" applyFill="1" applyBorder="1" applyAlignment="1">
      <alignment horizontal="center" vertical="center"/>
    </xf>
    <xf numFmtId="0" fontId="31" fillId="39" borderId="45" xfId="0" applyFont="1" applyFill="1" applyBorder="1" applyAlignment="1">
      <alignment horizontal="center"/>
    </xf>
    <xf numFmtId="0" fontId="43" fillId="0" borderId="47" xfId="0" applyFont="1" applyBorder="1" applyAlignment="1">
      <alignment horizontal="center"/>
    </xf>
    <xf numFmtId="0" fontId="31" fillId="39" borderId="46" xfId="0" applyFont="1" applyFill="1" applyBorder="1" applyAlignment="1">
      <alignment horizontal="center"/>
    </xf>
    <xf numFmtId="0" fontId="43" fillId="0" borderId="46" xfId="0" applyFont="1" applyBorder="1" applyAlignment="1">
      <alignment horizontal="center"/>
    </xf>
    <xf numFmtId="0" fontId="31" fillId="39" borderId="0" xfId="0" applyFont="1" applyFill="1" applyBorder="1" applyAlignment="1"/>
    <xf numFmtId="0" fontId="31" fillId="39" borderId="5" xfId="0" applyFont="1" applyFill="1" applyBorder="1" applyAlignment="1">
      <alignment horizontal="center"/>
    </xf>
    <xf numFmtId="0" fontId="5" fillId="2" borderId="1" xfId="0" applyFont="1" applyFill="1" applyBorder="1" applyAlignment="1">
      <alignment horizontal="center"/>
    </xf>
    <xf numFmtId="0" fontId="43" fillId="0" borderId="2" xfId="0" applyFont="1" applyBorder="1" applyAlignment="1">
      <alignment horizontal="center"/>
    </xf>
    <xf numFmtId="0" fontId="43" fillId="0" borderId="3" xfId="0" applyFont="1" applyBorder="1" applyAlignment="1">
      <alignment horizontal="center"/>
    </xf>
    <xf numFmtId="0" fontId="5" fillId="3" borderId="0" xfId="0" applyFont="1" applyFill="1" applyBorder="1" applyAlignment="1">
      <alignment horizontal="center"/>
    </xf>
    <xf numFmtId="0" fontId="43" fillId="3" borderId="0" xfId="0" applyFont="1" applyFill="1" applyBorder="1" applyAlignment="1">
      <alignment horizontal="center"/>
    </xf>
    <xf numFmtId="0" fontId="43" fillId="0" borderId="5" xfId="0" applyFont="1" applyBorder="1" applyAlignment="1"/>
    <xf numFmtId="0" fontId="5" fillId="0" borderId="0" xfId="0" applyFont="1" applyAlignment="1">
      <alignment wrapText="1"/>
    </xf>
    <xf numFmtId="0" fontId="43" fillId="0" borderId="0" xfId="0" applyFont="1" applyAlignment="1">
      <alignment wrapText="1"/>
    </xf>
    <xf numFmtId="0" fontId="5" fillId="2" borderId="2" xfId="0"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vertical="center"/>
    </xf>
    <xf numFmtId="0" fontId="43" fillId="0" borderId="3" xfId="0" applyFont="1" applyBorder="1" applyAlignment="1">
      <alignment vertical="center"/>
    </xf>
    <xf numFmtId="0" fontId="5" fillId="3" borderId="2" xfId="0" applyFont="1" applyFill="1" applyBorder="1" applyAlignment="1">
      <alignment horizontal="center"/>
    </xf>
    <xf numFmtId="0" fontId="43" fillId="3" borderId="2" xfId="0" applyFont="1" applyFill="1" applyBorder="1" applyAlignment="1">
      <alignment horizontal="center"/>
    </xf>
    <xf numFmtId="0" fontId="43" fillId="0" borderId="3" xfId="0" applyFont="1" applyBorder="1" applyAlignment="1"/>
    <xf numFmtId="9" fontId="5" fillId="0" borderId="0" xfId="4" applyFont="1" applyBorder="1" applyAlignment="1">
      <alignment horizontal="center"/>
    </xf>
    <xf numFmtId="0" fontId="5" fillId="2" borderId="9" xfId="0" applyFont="1" applyFill="1" applyBorder="1" applyAlignment="1">
      <alignment horizontal="center"/>
    </xf>
    <xf numFmtId="0" fontId="5" fillId="2" borderId="10" xfId="0" applyFont="1" applyFill="1" applyBorder="1" applyAlignment="1">
      <alignment horizontal="center"/>
    </xf>
    <xf numFmtId="0" fontId="5" fillId="2" borderId="11" xfId="0" applyFont="1" applyFill="1" applyBorder="1" applyAlignment="1">
      <alignment horizontal="center"/>
    </xf>
    <xf numFmtId="0" fontId="54" fillId="7" borderId="1" xfId="5" applyFont="1" applyFill="1" applyBorder="1" applyAlignment="1">
      <alignment horizontal="center"/>
    </xf>
    <xf numFmtId="0" fontId="54" fillId="7" borderId="2" xfId="5" applyFont="1" applyFill="1" applyBorder="1" applyAlignment="1">
      <alignment horizontal="center"/>
    </xf>
    <xf numFmtId="0" fontId="54" fillId="7" borderId="3" xfId="5" applyFont="1" applyFill="1" applyBorder="1" applyAlignment="1">
      <alignment horizontal="center"/>
    </xf>
    <xf numFmtId="0" fontId="44" fillId="2" borderId="1" xfId="5" applyFont="1" applyFill="1" applyBorder="1" applyAlignment="1">
      <alignment horizontal="center"/>
    </xf>
    <xf numFmtId="0" fontId="43" fillId="2" borderId="2" xfId="0" applyFont="1" applyFill="1" applyBorder="1" applyAlignment="1">
      <alignment horizontal="center"/>
    </xf>
    <xf numFmtId="0" fontId="54" fillId="3" borderId="4" xfId="5" applyFont="1" applyFill="1" applyBorder="1" applyAlignment="1">
      <alignment horizontal="center"/>
    </xf>
    <xf numFmtId="0" fontId="54" fillId="3" borderId="0" xfId="5" applyFont="1" applyFill="1" applyBorder="1" applyAlignment="1">
      <alignment horizontal="center"/>
    </xf>
    <xf numFmtId="0" fontId="54" fillId="3" borderId="9" xfId="5" applyFont="1" applyFill="1" applyBorder="1" applyAlignment="1">
      <alignment horizontal="center"/>
    </xf>
    <xf numFmtId="0" fontId="54" fillId="3" borderId="10" xfId="5" applyFont="1" applyFill="1" applyBorder="1" applyAlignment="1">
      <alignment horizontal="center"/>
    </xf>
    <xf numFmtId="0" fontId="54" fillId="3" borderId="11" xfId="5" applyFont="1" applyFill="1" applyBorder="1" applyAlignment="1">
      <alignment horizontal="center"/>
    </xf>
    <xf numFmtId="0" fontId="44" fillId="6" borderId="1" xfId="5" applyFont="1" applyFill="1" applyBorder="1" applyAlignment="1">
      <alignment horizontal="center"/>
    </xf>
    <xf numFmtId="0" fontId="44" fillId="6" borderId="2" xfId="5" applyFont="1" applyFill="1" applyBorder="1" applyAlignment="1">
      <alignment horizontal="center"/>
    </xf>
    <xf numFmtId="0" fontId="44" fillId="6" borderId="3" xfId="5" applyFont="1" applyFill="1" applyBorder="1" applyAlignment="1">
      <alignment horizontal="center"/>
    </xf>
    <xf numFmtId="0" fontId="44" fillId="2" borderId="2" xfId="5" applyFont="1" applyFill="1" applyBorder="1" applyAlignment="1">
      <alignment horizontal="center"/>
    </xf>
    <xf numFmtId="0" fontId="44" fillId="2" borderId="3" xfId="5" applyFont="1" applyFill="1" applyBorder="1" applyAlignment="1">
      <alignment horizontal="center"/>
    </xf>
    <xf numFmtId="0" fontId="82" fillId="0" borderId="0" xfId="0" applyFont="1" applyFill="1" applyAlignment="1">
      <alignment wrapText="1"/>
    </xf>
    <xf numFmtId="0" fontId="43" fillId="0" borderId="0" xfId="0" applyFont="1" applyFill="1" applyAlignment="1">
      <alignment wrapText="1"/>
    </xf>
    <xf numFmtId="0" fontId="82" fillId="0" borderId="0" xfId="0" applyFont="1" applyFill="1" applyAlignment="1"/>
    <xf numFmtId="0" fontId="82" fillId="0" borderId="0" xfId="0" applyFont="1" applyAlignment="1"/>
    <xf numFmtId="0" fontId="5" fillId="0" borderId="0" xfId="0" applyFont="1" applyFill="1" applyAlignment="1">
      <alignment horizontal="center"/>
    </xf>
    <xf numFmtId="0" fontId="82" fillId="5" borderId="0" xfId="0" applyFont="1" applyFill="1" applyAlignment="1"/>
    <xf numFmtId="0" fontId="5" fillId="22" borderId="64" xfId="0" applyFont="1" applyFill="1" applyBorder="1" applyAlignment="1">
      <alignment horizontal="center"/>
    </xf>
    <xf numFmtId="0" fontId="5" fillId="22" borderId="53" xfId="0" applyFont="1" applyFill="1" applyBorder="1" applyAlignment="1">
      <alignment horizontal="center"/>
    </xf>
    <xf numFmtId="0" fontId="5" fillId="22" borderId="61" xfId="0" applyFont="1" applyFill="1" applyBorder="1" applyAlignment="1">
      <alignment horizontal="center"/>
    </xf>
    <xf numFmtId="0" fontId="5" fillId="22" borderId="62" xfId="0" applyFont="1" applyFill="1" applyBorder="1" applyAlignment="1">
      <alignment horizontal="center"/>
    </xf>
    <xf numFmtId="0" fontId="5" fillId="22" borderId="57" xfId="0" applyFont="1" applyFill="1" applyBorder="1" applyAlignment="1">
      <alignment horizontal="center" vertical="center"/>
    </xf>
    <xf numFmtId="0" fontId="5" fillId="22" borderId="58" xfId="0" applyFont="1" applyFill="1" applyBorder="1" applyAlignment="1">
      <alignment horizontal="center" vertical="center"/>
    </xf>
    <xf numFmtId="0" fontId="5" fillId="22" borderId="61" xfId="0" applyFont="1" applyFill="1" applyBorder="1" applyAlignment="1">
      <alignment horizontal="center" vertical="center"/>
    </xf>
    <xf numFmtId="0" fontId="5" fillId="22" borderId="62" xfId="0" applyFont="1" applyFill="1" applyBorder="1" applyAlignment="1">
      <alignment horizontal="center" vertical="center"/>
    </xf>
    <xf numFmtId="0" fontId="5" fillId="22" borderId="60" xfId="0" applyFont="1" applyFill="1" applyBorder="1" applyAlignment="1">
      <alignment horizontal="center"/>
    </xf>
    <xf numFmtId="0" fontId="5" fillId="22" borderId="57" xfId="0" applyFont="1" applyFill="1" applyBorder="1" applyAlignment="1">
      <alignment horizontal="center" vertical="top"/>
    </xf>
    <xf numFmtId="0" fontId="5" fillId="22" borderId="58" xfId="0" applyFont="1" applyFill="1" applyBorder="1" applyAlignment="1">
      <alignment horizontal="center" vertical="top"/>
    </xf>
    <xf numFmtId="0" fontId="5" fillId="22" borderId="59" xfId="0" applyFont="1" applyFill="1" applyBorder="1" applyAlignment="1">
      <alignment horizontal="center" vertical="top"/>
    </xf>
    <xf numFmtId="0" fontId="5" fillId="22" borderId="61" xfId="0" applyFont="1" applyFill="1" applyBorder="1" applyAlignment="1">
      <alignment horizontal="center" vertical="top"/>
    </xf>
    <xf numFmtId="0" fontId="5" fillId="22" borderId="62" xfId="0" applyFont="1" applyFill="1" applyBorder="1" applyAlignment="1">
      <alignment horizontal="center" vertical="top"/>
    </xf>
    <xf numFmtId="0" fontId="5" fillId="22" borderId="63" xfId="0" applyFont="1" applyFill="1" applyBorder="1" applyAlignment="1">
      <alignment horizontal="center" vertical="top"/>
    </xf>
    <xf numFmtId="0" fontId="5" fillId="22" borderId="69" xfId="0" applyFont="1" applyFill="1" applyBorder="1" applyAlignment="1">
      <alignment horizontal="center" vertical="center"/>
    </xf>
    <xf numFmtId="0" fontId="5" fillId="22" borderId="0" xfId="0" applyFont="1" applyFill="1" applyBorder="1" applyAlignment="1">
      <alignment horizontal="center" vertical="center"/>
    </xf>
    <xf numFmtId="0" fontId="5" fillId="22" borderId="68" xfId="0" applyFont="1" applyFill="1" applyBorder="1" applyAlignment="1">
      <alignment horizontal="center" vertical="center"/>
    </xf>
    <xf numFmtId="0" fontId="5" fillId="22" borderId="63" xfId="0" applyFont="1" applyFill="1" applyBorder="1" applyAlignment="1">
      <alignment horizontal="center" vertical="center"/>
    </xf>
    <xf numFmtId="0" fontId="86" fillId="31" borderId="120" xfId="8" applyFont="1" applyFill="1" applyBorder="1" applyAlignment="1">
      <alignment horizontal="center"/>
    </xf>
    <xf numFmtId="0" fontId="86" fillId="31" borderId="119" xfId="8" applyFont="1" applyFill="1" applyBorder="1" applyAlignment="1">
      <alignment horizontal="center"/>
    </xf>
    <xf numFmtId="0" fontId="86" fillId="31" borderId="121" xfId="8" applyFont="1" applyFill="1" applyBorder="1" applyAlignment="1">
      <alignment horizontal="center"/>
    </xf>
    <xf numFmtId="0" fontId="86" fillId="31" borderId="114" xfId="8" applyFont="1" applyFill="1" applyBorder="1" applyAlignment="1">
      <alignment horizontal="center"/>
    </xf>
    <xf numFmtId="0" fontId="86" fillId="31" borderId="113" xfId="8" applyFont="1" applyFill="1" applyBorder="1" applyAlignment="1">
      <alignment horizontal="center"/>
    </xf>
    <xf numFmtId="0" fontId="86" fillId="31" borderId="118" xfId="8" applyFont="1" applyFill="1" applyBorder="1" applyAlignment="1">
      <alignment horizontal="center"/>
    </xf>
    <xf numFmtId="0" fontId="86" fillId="31" borderId="116" xfId="8" applyFont="1" applyFill="1" applyBorder="1" applyAlignment="1">
      <alignment horizontal="center"/>
    </xf>
    <xf numFmtId="0" fontId="86" fillId="31" borderId="115" xfId="8" applyFont="1" applyFill="1" applyBorder="1" applyAlignment="1">
      <alignment horizontal="center"/>
    </xf>
    <xf numFmtId="0" fontId="86" fillId="31" borderId="117" xfId="8" applyFont="1" applyFill="1" applyBorder="1" applyAlignment="1">
      <alignment horizontal="center"/>
    </xf>
    <xf numFmtId="172" fontId="86" fillId="31" borderId="120" xfId="8" applyNumberFormat="1" applyFont="1" applyFill="1" applyBorder="1" applyAlignment="1">
      <alignment horizontal="center"/>
    </xf>
    <xf numFmtId="172" fontId="86" fillId="31" borderId="119" xfId="8" applyNumberFormat="1" applyFont="1" applyFill="1" applyBorder="1" applyAlignment="1">
      <alignment horizontal="center"/>
    </xf>
    <xf numFmtId="172" fontId="86" fillId="31" borderId="121" xfId="8" applyNumberFormat="1" applyFont="1" applyFill="1" applyBorder="1" applyAlignment="1">
      <alignment horizontal="center"/>
    </xf>
    <xf numFmtId="172" fontId="86" fillId="31" borderId="114" xfId="8" applyNumberFormat="1" applyFont="1" applyFill="1" applyBorder="1" applyAlignment="1">
      <alignment horizontal="center"/>
    </xf>
    <xf numFmtId="172" fontId="86" fillId="31" borderId="113" xfId="8" applyNumberFormat="1" applyFont="1" applyFill="1" applyBorder="1" applyAlignment="1">
      <alignment horizontal="center"/>
    </xf>
    <xf numFmtId="172" fontId="86" fillId="31" borderId="118" xfId="8" applyNumberFormat="1" applyFont="1" applyFill="1" applyBorder="1" applyAlignment="1">
      <alignment horizontal="center"/>
    </xf>
    <xf numFmtId="0" fontId="86" fillId="31" borderId="120" xfId="8" applyFont="1" applyFill="1" applyBorder="1" applyAlignment="1">
      <alignment horizontal="center" vertical="top"/>
    </xf>
    <xf numFmtId="0" fontId="83" fillId="0" borderId="119" xfId="8" applyFont="1" applyBorder="1"/>
    <xf numFmtId="0" fontId="83" fillId="0" borderId="121" xfId="8" applyFont="1" applyBorder="1"/>
    <xf numFmtId="0" fontId="83" fillId="0" borderId="114" xfId="8" applyFont="1" applyBorder="1"/>
    <xf numFmtId="0" fontId="83" fillId="0" borderId="113" xfId="8" applyFont="1" applyBorder="1"/>
    <xf numFmtId="0" fontId="83" fillId="0" borderId="118" xfId="8" applyFont="1" applyBorder="1"/>
    <xf numFmtId="0" fontId="86" fillId="31" borderId="65" xfId="8" applyFont="1" applyFill="1" applyBorder="1" applyAlignment="1">
      <alignment horizontal="center" vertical="center"/>
    </xf>
    <xf numFmtId="0" fontId="83" fillId="0" borderId="0" xfId="8" applyFont="1" applyBorder="1"/>
    <xf numFmtId="0" fontId="83" fillId="0" borderId="56" xfId="8" applyFont="1" applyBorder="1"/>
    <xf numFmtId="0" fontId="86" fillId="31" borderId="120" xfId="8" applyFont="1" applyFill="1" applyBorder="1" applyAlignment="1">
      <alignment horizontal="center" vertical="center"/>
    </xf>
    <xf numFmtId="0" fontId="83" fillId="0" borderId="115" xfId="8" applyFont="1" applyBorder="1"/>
    <xf numFmtId="0" fontId="83" fillId="0" borderId="117" xfId="8" applyFont="1" applyBorder="1"/>
    <xf numFmtId="0" fontId="87" fillId="0" borderId="0" xfId="0" applyFont="1" applyAlignment="1">
      <alignment wrapText="1"/>
    </xf>
    <xf numFmtId="0" fontId="5" fillId="25" borderId="0" xfId="0" applyFont="1" applyFill="1" applyAlignment="1">
      <alignment horizontal="center"/>
    </xf>
    <xf numFmtId="0" fontId="86" fillId="31" borderId="123" xfId="8" applyFont="1" applyFill="1" applyBorder="1" applyAlignment="1">
      <alignment horizontal="center"/>
    </xf>
    <xf numFmtId="0" fontId="86" fillId="31" borderId="64" xfId="8" applyFont="1" applyFill="1" applyBorder="1" applyAlignment="1">
      <alignment horizontal="center"/>
    </xf>
    <xf numFmtId="0" fontId="86" fillId="31" borderId="53" xfId="8" applyFont="1" applyFill="1" applyBorder="1" applyAlignment="1">
      <alignment horizontal="center"/>
    </xf>
    <xf numFmtId="0" fontId="86" fillId="31" borderId="60" xfId="8" applyFont="1" applyFill="1" applyBorder="1" applyAlignment="1">
      <alignment horizontal="center"/>
    </xf>
    <xf numFmtId="0" fontId="86" fillId="31" borderId="122" xfId="8" applyFont="1" applyFill="1" applyBorder="1" applyAlignment="1">
      <alignment horizontal="center"/>
    </xf>
    <xf numFmtId="0" fontId="83" fillId="0" borderId="60" xfId="8" applyFont="1" applyBorder="1"/>
    <xf numFmtId="0" fontId="5" fillId="18" borderId="57" xfId="0" applyFont="1" applyFill="1" applyBorder="1" applyAlignment="1">
      <alignment horizontal="center" vertical="center"/>
    </xf>
    <xf numFmtId="0" fontId="5" fillId="18" borderId="58" xfId="0" applyFont="1" applyFill="1" applyBorder="1" applyAlignment="1">
      <alignment horizontal="center" vertical="center"/>
    </xf>
    <xf numFmtId="0" fontId="5" fillId="18" borderId="59" xfId="0" applyFont="1" applyFill="1" applyBorder="1" applyAlignment="1">
      <alignment horizontal="center" vertical="center"/>
    </xf>
    <xf numFmtId="0" fontId="5" fillId="18" borderId="61" xfId="0" applyFont="1" applyFill="1" applyBorder="1" applyAlignment="1">
      <alignment horizontal="center" vertical="center"/>
    </xf>
    <xf numFmtId="0" fontId="5" fillId="18" borderId="62" xfId="0" applyFont="1" applyFill="1" applyBorder="1" applyAlignment="1">
      <alignment horizontal="center" vertical="center"/>
    </xf>
    <xf numFmtId="0" fontId="5" fillId="18" borderId="63" xfId="0" applyFont="1" applyFill="1" applyBorder="1" applyAlignment="1">
      <alignment horizontal="center" vertical="center"/>
    </xf>
    <xf numFmtId="0" fontId="5" fillId="18" borderId="53" xfId="0" applyFont="1" applyFill="1" applyBorder="1" applyAlignment="1">
      <alignment horizontal="center"/>
    </xf>
    <xf numFmtId="0" fontId="5" fillId="18" borderId="60" xfId="0" applyFont="1" applyFill="1" applyBorder="1" applyAlignment="1">
      <alignment horizontal="center"/>
    </xf>
    <xf numFmtId="172" fontId="5" fillId="18" borderId="57" xfId="0" applyNumberFormat="1" applyFont="1" applyFill="1" applyBorder="1" applyAlignment="1">
      <alignment horizontal="center" vertical="center"/>
    </xf>
    <xf numFmtId="172" fontId="5" fillId="18" borderId="58" xfId="0" applyNumberFormat="1" applyFont="1" applyFill="1" applyBorder="1" applyAlignment="1">
      <alignment horizontal="center" vertical="center"/>
    </xf>
    <xf numFmtId="172" fontId="5" fillId="18" borderId="59" xfId="0" applyNumberFormat="1" applyFont="1" applyFill="1" applyBorder="1" applyAlignment="1">
      <alignment horizontal="center" vertical="center"/>
    </xf>
    <xf numFmtId="172" fontId="5" fillId="18" borderId="61" xfId="0" applyNumberFormat="1" applyFont="1" applyFill="1" applyBorder="1" applyAlignment="1">
      <alignment horizontal="center" vertical="center"/>
    </xf>
    <xf numFmtId="172" fontId="5" fillId="18" borderId="62" xfId="0" applyNumberFormat="1" applyFont="1" applyFill="1" applyBorder="1" applyAlignment="1">
      <alignment horizontal="center" vertical="center"/>
    </xf>
    <xf numFmtId="172" fontId="5" fillId="18" borderId="63" xfId="0" applyNumberFormat="1" applyFont="1" applyFill="1" applyBorder="1" applyAlignment="1">
      <alignment horizontal="center" vertical="center"/>
    </xf>
    <xf numFmtId="0" fontId="5" fillId="18" borderId="64" xfId="0" applyFont="1" applyFill="1" applyBorder="1" applyAlignment="1">
      <alignment horizontal="center"/>
    </xf>
    <xf numFmtId="0" fontId="82" fillId="0" borderId="0" xfId="0" applyFont="1" applyAlignment="1">
      <alignment wrapText="1"/>
    </xf>
    <xf numFmtId="0" fontId="88" fillId="0" borderId="0" xfId="0" applyFont="1" applyAlignment="1"/>
    <xf numFmtId="0" fontId="5" fillId="26" borderId="0" xfId="0" applyFont="1" applyFill="1" applyAlignment="1">
      <alignment horizontal="center"/>
    </xf>
    <xf numFmtId="0" fontId="92" fillId="0" borderId="0" xfId="0" applyFont="1"/>
    <xf numFmtId="0" fontId="92" fillId="0" borderId="0" xfId="0" applyFont="1" applyBorder="1"/>
    <xf numFmtId="0" fontId="82" fillId="0" borderId="1" xfId="0" applyFont="1" applyBorder="1" applyAlignment="1"/>
    <xf numFmtId="0" fontId="82" fillId="0" borderId="6" xfId="0" applyFont="1" applyBorder="1" applyAlignment="1"/>
    <xf numFmtId="0" fontId="82" fillId="0" borderId="2" xfId="0" applyFont="1" applyBorder="1" applyAlignment="1"/>
    <xf numFmtId="0" fontId="82" fillId="0" borderId="7" xfId="0" applyFont="1" applyBorder="1" applyAlignment="1"/>
    <xf numFmtId="1" fontId="82" fillId="0" borderId="2" xfId="0" applyNumberFormat="1" applyFont="1" applyBorder="1" applyAlignment="1"/>
    <xf numFmtId="1" fontId="82" fillId="0" borderId="7" xfId="0" applyNumberFormat="1" applyFont="1" applyBorder="1" applyAlignment="1"/>
    <xf numFmtId="169" fontId="82" fillId="0" borderId="2" xfId="0" applyNumberFormat="1" applyFont="1" applyBorder="1" applyAlignment="1"/>
    <xf numFmtId="169" fontId="82" fillId="0" borderId="7" xfId="0" applyNumberFormat="1" applyFont="1" applyBorder="1" applyAlignment="1"/>
    <xf numFmtId="172" fontId="82" fillId="0" borderId="2" xfId="1" applyNumberFormat="1" applyFont="1" applyBorder="1" applyAlignment="1"/>
    <xf numFmtId="172" fontId="82" fillId="0" borderId="7" xfId="1" applyNumberFormat="1" applyFont="1" applyBorder="1" applyAlignment="1"/>
    <xf numFmtId="0" fontId="43" fillId="0" borderId="0" xfId="0" applyFont="1" applyAlignment="1">
      <alignment horizontal="left" vertical="top" wrapText="1"/>
    </xf>
    <xf numFmtId="1" fontId="82" fillId="25" borderId="2" xfId="0" applyNumberFormat="1" applyFont="1" applyFill="1" applyBorder="1" applyAlignment="1"/>
    <xf numFmtId="1" fontId="82" fillId="25" borderId="7" xfId="0" applyNumberFormat="1" applyFont="1" applyFill="1" applyBorder="1" applyAlignment="1"/>
    <xf numFmtId="169" fontId="82" fillId="25" borderId="2" xfId="0" applyNumberFormat="1" applyFont="1" applyFill="1" applyBorder="1" applyAlignment="1"/>
    <xf numFmtId="169" fontId="82" fillId="25" borderId="7" xfId="0" applyNumberFormat="1" applyFont="1" applyFill="1" applyBorder="1" applyAlignment="1"/>
    <xf numFmtId="3" fontId="92" fillId="0" borderId="0" xfId="0" applyNumberFormat="1" applyFont="1" applyAlignment="1"/>
    <xf numFmtId="0" fontId="92" fillId="0" borderId="0" xfId="0" applyFont="1" applyAlignment="1"/>
    <xf numFmtId="0" fontId="91" fillId="25" borderId="0" xfId="0" applyFont="1" applyFill="1" applyAlignment="1"/>
    <xf numFmtId="169" fontId="92" fillId="0" borderId="0" xfId="0" applyNumberFormat="1" applyFont="1" applyAlignment="1"/>
    <xf numFmtId="0" fontId="91" fillId="0" borderId="0" xfId="0" applyFont="1" applyAlignment="1"/>
    <xf numFmtId="1" fontId="92" fillId="0" borderId="0" xfId="0" applyNumberFormat="1" applyFont="1" applyAlignment="1"/>
    <xf numFmtId="3" fontId="92" fillId="0" borderId="0" xfId="0" applyNumberFormat="1" applyFont="1" applyAlignment="1">
      <alignment horizontal="right"/>
    </xf>
    <xf numFmtId="0" fontId="92" fillId="0" borderId="0" xfId="0" applyFont="1" applyAlignment="1">
      <alignment horizontal="right"/>
    </xf>
    <xf numFmtId="172" fontId="82" fillId="0" borderId="3" xfId="1" applyNumberFormat="1" applyFont="1" applyBorder="1" applyAlignment="1"/>
    <xf numFmtId="172" fontId="82" fillId="0" borderId="8" xfId="1" applyNumberFormat="1" applyFont="1" applyBorder="1" applyAlignment="1"/>
    <xf numFmtId="0" fontId="82" fillId="25" borderId="1" xfId="0" applyFont="1" applyFill="1" applyBorder="1" applyAlignment="1"/>
    <xf numFmtId="0" fontId="82" fillId="25" borderId="6" xfId="0" applyFont="1" applyFill="1" applyBorder="1" applyAlignment="1"/>
    <xf numFmtId="0" fontId="43" fillId="0" borderId="0" xfId="0" applyFont="1" applyAlignment="1">
      <alignment horizontal="left" wrapText="1"/>
    </xf>
    <xf numFmtId="0" fontId="92" fillId="0" borderId="0" xfId="0" applyFont="1" applyAlignment="1">
      <alignment horizontal="left"/>
    </xf>
    <xf numFmtId="0" fontId="5" fillId="0" borderId="0" xfId="0" applyFont="1" applyAlignment="1"/>
    <xf numFmtId="0" fontId="97" fillId="0" borderId="0" xfId="0" applyFont="1" applyAlignment="1">
      <alignment horizontal="left"/>
    </xf>
    <xf numFmtId="0" fontId="97" fillId="0" borderId="0" xfId="0" applyFont="1" applyAlignment="1">
      <alignment horizontal="center"/>
    </xf>
    <xf numFmtId="0" fontId="97" fillId="0" borderId="0" xfId="0" applyFont="1" applyAlignment="1"/>
  </cellXfs>
  <cellStyles count="12">
    <cellStyle name="20% - Accent3" xfId="7" builtinId="38"/>
    <cellStyle name="Hyperlink" xfId="2" builtinId="8"/>
    <cellStyle name="Hyperlink 2" xfId="10" xr:uid="{193F35F3-3CE0-3A4A-9930-61B1743CC7AF}"/>
    <cellStyle name="Komma" xfId="3" builtinId="3"/>
    <cellStyle name="Procent" xfId="4" builtinId="5"/>
    <cellStyle name="Procent 2" xfId="11" xr:uid="{C5BA912B-556B-CA43-8891-19E8DE0CCE3D}"/>
    <cellStyle name="Standaard" xfId="0" builtinId="0"/>
    <cellStyle name="Standaard 2" xfId="5" xr:uid="{BF6AD3D2-E846-0C4C-9B1F-55DAEF68A49F}"/>
    <cellStyle name="Standaard 3" xfId="8" xr:uid="{8044E2FC-57F7-4C42-838B-0FD48AEC7960}"/>
    <cellStyle name="Valuta" xfId="1" builtinId="4"/>
    <cellStyle name="Valuta 2" xfId="6" xr:uid="{C27CD2F1-A78C-B94B-9C3B-D1E5576C1E31}"/>
    <cellStyle name="Valuta 3" xfId="9" xr:uid="{934755CC-D36E-2F4E-AE81-5F0C2ACB623D}"/>
  </cellStyles>
  <dxfs count="0"/>
  <tableStyles count="0" defaultTableStyle="TableStyleMedium2" defaultPivotStyle="PivotStyleLight16"/>
  <colors>
    <mruColors>
      <color rgb="FFDBDBDB"/>
      <color rgb="FFED7D31"/>
      <color rgb="FFDFECF8"/>
      <color rgb="FF767171"/>
      <color rgb="FFC5E0B4"/>
      <color rgb="FF4472C4"/>
      <color rgb="FFEDEDED"/>
      <color rgb="FF70AD46"/>
      <color rgb="FF4A575F"/>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 kilometer (gemiddeld)</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stacked"/>
        <c:varyColors val="0"/>
        <c:ser>
          <c:idx val="3"/>
          <c:order val="0"/>
          <c:tx>
            <c:strRef>
              <c:f>'4. Analyse'!$B$60</c:f>
              <c:strCache>
                <c:ptCount val="1"/>
                <c:pt idx="0">
                  <c:v>Totale CO2 uitstoot (WTW) </c:v>
                </c:pt>
              </c:strCache>
            </c:strRef>
          </c:tx>
          <c:spPr>
            <a:solidFill>
              <a:schemeClr val="tx1"/>
            </a:solidFill>
            <a:ln>
              <a:noFill/>
            </a:ln>
            <a:effectLst/>
          </c:spPr>
          <c:invertIfNegative val="0"/>
          <c:dPt>
            <c:idx val="1"/>
            <c:invertIfNegative val="0"/>
            <c:bubble3D val="0"/>
            <c:spPr>
              <a:solidFill>
                <a:srgbClr val="548235"/>
              </a:solidFill>
              <a:ln>
                <a:noFill/>
              </a:ln>
              <a:effectLst/>
            </c:spPr>
            <c:extLst>
              <c:ext xmlns:c16="http://schemas.microsoft.com/office/drawing/2014/chart" uri="{C3380CC4-5D6E-409C-BE32-E72D297353CC}">
                <c16:uniqueId val="{00000003-9DF2-AB4E-8660-B0735235D37D}"/>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6="http://schemas.microsoft.com/office/drawing/2014/chart" uri="{C3380CC4-5D6E-409C-BE32-E72D297353CC}">
                  <c16:uniqueId val="{00000001-9DF2-AB4E-8660-B0735235D37D}"/>
                </c:ext>
              </c:extLst>
            </c:dLbl>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extLst>
                <c:ext xmlns:c16="http://schemas.microsoft.com/office/drawing/2014/chart" uri="{C3380CC4-5D6E-409C-BE32-E72D297353CC}">
                  <c16:uniqueId val="{00000003-9DF2-AB4E-8660-B0735235D3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 Analyse'!$F$59:$G$59</c:f>
            </c:multiLvlStrRef>
          </c:cat>
          <c:val>
            <c:numRef>
              <c:f>'4. Analyse'!$L$60:$M$60</c:f>
              <c:numCache>
                <c:formatCode>_(* #,##0.000_);_(* \(#,##0.000\);_(* "-"??_);_(@_)</c:formatCode>
                <c:ptCount val="2"/>
                <c:pt idx="0">
                  <c:v>0</c:v>
                </c:pt>
                <c:pt idx="1">
                  <c:v>0</c:v>
                </c:pt>
              </c:numCache>
            </c:numRef>
          </c:val>
          <c:extLst>
            <c:ext xmlns:c16="http://schemas.microsoft.com/office/drawing/2014/chart" uri="{C3380CC4-5D6E-409C-BE32-E72D297353CC}">
              <c16:uniqueId val="{00000004-9DF2-AB4E-8660-B0735235D37D}"/>
            </c:ext>
          </c:extLst>
        </c:ser>
        <c:dLbls>
          <c:dLblPos val="ctr"/>
          <c:showLegendKey val="0"/>
          <c:showVal val="1"/>
          <c:showCatName val="0"/>
          <c:showSerName val="0"/>
          <c:showPercent val="0"/>
          <c:showBubbleSize val="0"/>
        </c:dLbls>
        <c:gapWidth val="9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uitstoot (kg/km)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Laadprofiel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pieChart>
        <c:varyColors val="1"/>
        <c:ser>
          <c:idx val="0"/>
          <c:order val="0"/>
          <c:tx>
            <c:strRef>
              <c:f>'Output TCO'!$C$145</c:f>
              <c:strCache>
                <c:ptCount val="1"/>
                <c:pt idx="0">
                  <c:v>Aandeel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456-FE4F-A710-D7E10E8731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456-FE4F-A710-D7E10E8731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456-FE4F-A710-D7E10E8731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7F0-B041-B81E-E220492D0BD9}"/>
              </c:ext>
            </c:extLst>
          </c:dPt>
          <c:dLbls>
            <c:dLbl>
              <c:idx val="0"/>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456-FE4F-A710-D7E10E873127}"/>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456-FE4F-A710-D7E10E873127}"/>
                </c:ext>
              </c:extLst>
            </c:dLbl>
            <c:dLbl>
              <c:idx val="2"/>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456-FE4F-A710-D7E10E8731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'Output TCO'!$B$146:$B$149</c:f>
              <c:strCache>
                <c:ptCount val="4"/>
                <c:pt idx="0">
                  <c:v>Op remise</c:v>
                </c:pt>
                <c:pt idx="1">
                  <c:v>Openbaar snel</c:v>
                </c:pt>
                <c:pt idx="2">
                  <c:v>Openbaar regulier</c:v>
                </c:pt>
                <c:pt idx="3">
                  <c:v>Eigen oprit</c:v>
                </c:pt>
              </c:strCache>
            </c:strRef>
          </c:cat>
          <c:val>
            <c:numRef>
              <c:f>'Output TCO'!$C$146:$C$149</c:f>
              <c:numCache>
                <c:formatCode>0%</c:formatCode>
                <c:ptCount val="4"/>
                <c:pt idx="0">
                  <c:v>0.4</c:v>
                </c:pt>
                <c:pt idx="1">
                  <c:v>0.05</c:v>
                </c:pt>
                <c:pt idx="2">
                  <c:v>0.25</c:v>
                </c:pt>
                <c:pt idx="3">
                  <c:v>0.3</c:v>
                </c:pt>
              </c:numCache>
            </c:numRef>
          </c:val>
          <c:extLst>
            <c:ext xmlns:c16="http://schemas.microsoft.com/office/drawing/2014/chart" uri="{C3380CC4-5D6E-409C-BE32-E72D297353CC}">
              <c16:uniqueId val="{00000006-E456-FE4F-A710-D7E10E873127}"/>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5875590551181098"/>
          <c:y val="0.28530813648293962"/>
          <c:w val="0.4167542985698216"/>
          <c:h val="0.6033165354330708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400" b="1" i="0" baseline="0">
                <a:solidFill>
                  <a:srgbClr val="595959"/>
                </a:solidFill>
                <a:effectLst/>
              </a:rPr>
              <a:t>TCO totale looptijd</a:t>
            </a:r>
            <a:endParaRPr lang="nl-NL" sz="1400">
              <a:solidFill>
                <a:srgbClr val="595959"/>
              </a:solidFill>
              <a:effectLst/>
            </a:endParaRPr>
          </a:p>
        </c:rich>
      </c:tx>
      <c:layout>
        <c:manualLayout>
          <c:xMode val="edge"/>
          <c:yMode val="edge"/>
          <c:x val="0.37171946785549409"/>
          <c:y val="2.5730997114126849E-2"/>
        </c:manualLayout>
      </c:layout>
      <c:overlay val="0"/>
    </c:title>
    <c:autoTitleDeleted val="0"/>
    <c:plotArea>
      <c:layout/>
      <c:barChart>
        <c:barDir val="col"/>
        <c:grouping val="stacked"/>
        <c:varyColors val="0"/>
        <c:ser>
          <c:idx val="0"/>
          <c:order val="0"/>
          <c:tx>
            <c:strRef>
              <c:f>'4. Analyse'!$B$37</c:f>
              <c:strCache>
                <c:ptCount val="1"/>
                <c:pt idx="0">
                  <c:v>Afschrijving voertuigen</c:v>
                </c:pt>
              </c:strCache>
            </c:strRef>
          </c:tx>
          <c:spPr>
            <a:solidFill>
              <a:schemeClr val="accent1"/>
            </a:solidFill>
            <a:ln>
              <a:noFill/>
            </a:ln>
            <a:effectLst/>
          </c:spPr>
          <c:invertIfNegative val="0"/>
          <c:cat>
            <c:strRef>
              <c:f>'4. Analyse'!$C$67:$D$67</c:f>
              <c:strCache>
                <c:ptCount val="2"/>
                <c:pt idx="0">
                  <c:v> Huidig </c:v>
                </c:pt>
                <c:pt idx="1">
                  <c:v> Elektrisch </c:v>
                </c:pt>
              </c:strCache>
            </c:strRef>
          </c:cat>
          <c:val>
            <c:numRef>
              <c:f>'4. Analyse'!$C$37:$D$37</c:f>
              <c:numCache>
                <c:formatCode>_("€"\ * #,##0_);_("€"\ * \(#,##0\);_("€"\ * "-"??_);_(@_)</c:formatCode>
                <c:ptCount val="2"/>
                <c:pt idx="0">
                  <c:v>0</c:v>
                </c:pt>
                <c:pt idx="1">
                  <c:v>0</c:v>
                </c:pt>
              </c:numCache>
            </c:numRef>
          </c:val>
          <c:extLst>
            <c:ext xmlns:c16="http://schemas.microsoft.com/office/drawing/2014/chart" uri="{C3380CC4-5D6E-409C-BE32-E72D297353CC}">
              <c16:uniqueId val="{00000000-7DAF-7843-A236-F0EF8C1F79A4}"/>
            </c:ext>
          </c:extLst>
        </c:ser>
        <c:ser>
          <c:idx val="1"/>
          <c:order val="1"/>
          <c:tx>
            <c:strRef>
              <c:f>'4. Analyse'!$B$44</c:f>
              <c:strCache>
                <c:ptCount val="1"/>
                <c:pt idx="0">
                  <c:v>Afschrijving laadinfra &amp; netaansluiting</c:v>
                </c:pt>
              </c:strCache>
            </c:strRef>
          </c:tx>
          <c:spPr>
            <a:solidFill>
              <a:schemeClr val="accent2"/>
            </a:solidFill>
            <a:ln>
              <a:noFill/>
            </a:ln>
            <a:effectLst/>
          </c:spPr>
          <c:invertIfNegative val="0"/>
          <c:val>
            <c:numRef>
              <c:f>'4. Analyse'!$C$44:$D$44</c:f>
              <c:numCache>
                <c:formatCode>_("€"* #,##0_);_("€"* \(#,##0\);_("€"* "-"??_);_(@_)</c:formatCode>
                <c:ptCount val="2"/>
                <c:pt idx="0">
                  <c:v>0</c:v>
                </c:pt>
                <c:pt idx="1">
                  <c:v>0</c:v>
                </c:pt>
              </c:numCache>
            </c:numRef>
          </c:val>
          <c:extLst>
            <c:ext xmlns:c16="http://schemas.microsoft.com/office/drawing/2014/chart" uri="{C3380CC4-5D6E-409C-BE32-E72D297353CC}">
              <c16:uniqueId val="{00000002-3FC5-CB46-9ACD-F294DCC37FEC}"/>
            </c:ext>
          </c:extLst>
        </c:ser>
        <c:ser>
          <c:idx val="6"/>
          <c:order val="2"/>
          <c:tx>
            <c:strRef>
              <c:f>'4. Analyse'!$B$52</c:f>
              <c:strCache>
                <c:ptCount val="1"/>
                <c:pt idx="0">
                  <c:v>Brandstofkosten</c:v>
                </c:pt>
              </c:strCache>
            </c:strRef>
          </c:tx>
          <c:spPr>
            <a:solidFill>
              <a:srgbClr val="C00000"/>
            </a:solidFill>
            <a:ln>
              <a:noFill/>
            </a:ln>
            <a:effectLst/>
          </c:spPr>
          <c:invertIfNegative val="0"/>
          <c:val>
            <c:numRef>
              <c:f>'4. Analyse'!$C$52:$D$52</c:f>
              <c:numCache>
                <c:formatCode>_("€"\ * #,##0_);_("€"\ * \(#,##0\);_("€"\ * "-"??_);_(@_)</c:formatCode>
                <c:ptCount val="2"/>
                <c:pt idx="0">
                  <c:v>0</c:v>
                </c:pt>
                <c:pt idx="1">
                  <c:v>0</c:v>
                </c:pt>
              </c:numCache>
            </c:numRef>
          </c:val>
          <c:extLst>
            <c:ext xmlns:c16="http://schemas.microsoft.com/office/drawing/2014/chart" uri="{C3380CC4-5D6E-409C-BE32-E72D297353CC}">
              <c16:uniqueId val="{00000007-3FC5-CB46-9ACD-F294DCC37FEC}"/>
            </c:ext>
          </c:extLst>
        </c:ser>
        <c:ser>
          <c:idx val="4"/>
          <c:order val="3"/>
          <c:tx>
            <c:strRef>
              <c:f>'4. Analyse'!$B$50</c:f>
              <c:strCache>
                <c:ptCount val="1"/>
                <c:pt idx="0">
                  <c:v>Onderhoudskosten (ROB)</c:v>
                </c:pt>
              </c:strCache>
            </c:strRef>
          </c:tx>
          <c:spPr>
            <a:solidFill>
              <a:schemeClr val="accent5"/>
            </a:solidFill>
            <a:ln>
              <a:noFill/>
            </a:ln>
            <a:effectLst/>
          </c:spPr>
          <c:invertIfNegative val="0"/>
          <c:val>
            <c:numRef>
              <c:f>'4. Analyse'!$C$50:$D$50</c:f>
              <c:numCache>
                <c:formatCode>_("€"\ * #,##0_);_("€"\ * \(#,##0\);_("€"\ * "-"??_);_(@_)</c:formatCode>
                <c:ptCount val="2"/>
                <c:pt idx="0">
                  <c:v>0</c:v>
                </c:pt>
                <c:pt idx="1">
                  <c:v>0</c:v>
                </c:pt>
              </c:numCache>
            </c:numRef>
          </c:val>
          <c:extLst>
            <c:ext xmlns:c16="http://schemas.microsoft.com/office/drawing/2014/chart" uri="{C3380CC4-5D6E-409C-BE32-E72D297353CC}">
              <c16:uniqueId val="{00000005-3FC5-CB46-9ACD-F294DCC37FEC}"/>
            </c:ext>
          </c:extLst>
        </c:ser>
        <c:ser>
          <c:idx val="2"/>
          <c:order val="4"/>
          <c:tx>
            <c:strRef>
              <c:f>'4. Analyse'!$B$48</c:f>
              <c:strCache>
                <c:ptCount val="1"/>
                <c:pt idx="0">
                  <c:v>Verzekeringskosten</c:v>
                </c:pt>
              </c:strCache>
            </c:strRef>
          </c:tx>
          <c:spPr>
            <a:solidFill>
              <a:schemeClr val="accent4">
                <a:lumMod val="40000"/>
                <a:lumOff val="60000"/>
              </a:schemeClr>
            </a:solidFill>
            <a:ln>
              <a:noFill/>
            </a:ln>
            <a:effectLst/>
          </c:spPr>
          <c:invertIfNegative val="0"/>
          <c:val>
            <c:numRef>
              <c:f>'4. Analyse'!$C$48:$D$48</c:f>
              <c:numCache>
                <c:formatCode>_("€"\ * #,##0_);_("€"\ * \(#,##0\);_("€"\ * "-"??_);_(@_)</c:formatCode>
                <c:ptCount val="2"/>
                <c:pt idx="0">
                  <c:v>0</c:v>
                </c:pt>
                <c:pt idx="1">
                  <c:v>0</c:v>
                </c:pt>
              </c:numCache>
            </c:numRef>
          </c:val>
          <c:extLst>
            <c:ext xmlns:c16="http://schemas.microsoft.com/office/drawing/2014/chart" uri="{C3380CC4-5D6E-409C-BE32-E72D297353CC}">
              <c16:uniqueId val="{00000003-3FC5-CB46-9ACD-F294DCC37FEC}"/>
            </c:ext>
          </c:extLst>
        </c:ser>
        <c:ser>
          <c:idx val="5"/>
          <c:order val="5"/>
          <c:tx>
            <c:strRef>
              <c:f>'4. Analyse'!$B$51</c:f>
              <c:strCache>
                <c:ptCount val="1"/>
                <c:pt idx="0">
                  <c:v>Schade</c:v>
                </c:pt>
              </c:strCache>
            </c:strRef>
          </c:tx>
          <c:spPr>
            <a:solidFill>
              <a:schemeClr val="accent6"/>
            </a:solidFill>
            <a:ln>
              <a:noFill/>
            </a:ln>
            <a:effectLst/>
          </c:spPr>
          <c:invertIfNegative val="0"/>
          <c:val>
            <c:numRef>
              <c:f>'4. Analyse'!$C$51:$D$51</c:f>
              <c:numCache>
                <c:formatCode>_("€"\ * #,##0_);_("€"\ * \(#,##0\);_("€"\ * "-"??_);_(@_)</c:formatCode>
                <c:ptCount val="2"/>
                <c:pt idx="0">
                  <c:v>0</c:v>
                </c:pt>
                <c:pt idx="1">
                  <c:v>0</c:v>
                </c:pt>
              </c:numCache>
            </c:numRef>
          </c:val>
          <c:extLst>
            <c:ext xmlns:c16="http://schemas.microsoft.com/office/drawing/2014/chart" uri="{C3380CC4-5D6E-409C-BE32-E72D297353CC}">
              <c16:uniqueId val="{00000006-3FC5-CB46-9ACD-F294DCC37FEC}"/>
            </c:ext>
          </c:extLst>
        </c:ser>
        <c:ser>
          <c:idx val="3"/>
          <c:order val="6"/>
          <c:tx>
            <c:strRef>
              <c:f>'4. Analyse'!$B$49</c:f>
              <c:strCache>
                <c:ptCount val="1"/>
                <c:pt idx="0">
                  <c:v>MRB</c:v>
                </c:pt>
              </c:strCache>
            </c:strRef>
          </c:tx>
          <c:spPr>
            <a:solidFill>
              <a:schemeClr val="accent6">
                <a:lumMod val="50000"/>
              </a:schemeClr>
            </a:solidFill>
            <a:ln>
              <a:noFill/>
            </a:ln>
            <a:effectLst/>
          </c:spPr>
          <c:invertIfNegative val="0"/>
          <c:val>
            <c:numRef>
              <c:f>'4. Analyse'!$C$49:$D$49</c:f>
              <c:numCache>
                <c:formatCode>_("€"\ * #,##0_);_("€"\ * \(#,##0\);_("€"\ * "-"??_);_(@_)</c:formatCode>
                <c:ptCount val="2"/>
                <c:pt idx="0">
                  <c:v>0</c:v>
                </c:pt>
                <c:pt idx="1">
                  <c:v>0</c:v>
                </c:pt>
              </c:numCache>
            </c:numRef>
          </c:val>
          <c:extLst>
            <c:ext xmlns:c16="http://schemas.microsoft.com/office/drawing/2014/chart" uri="{C3380CC4-5D6E-409C-BE32-E72D297353CC}">
              <c16:uniqueId val="{00000004-3FC5-CB46-9ACD-F294DCC37FEC}"/>
            </c:ext>
          </c:extLst>
        </c:ser>
        <c:ser>
          <c:idx val="8"/>
          <c:order val="7"/>
          <c:tx>
            <c:strRef>
              <c:f>'4. Analyse'!$B$57</c:f>
              <c:strCache>
                <c:ptCount val="1"/>
                <c:pt idx="0">
                  <c:v>B&amp;O en periodieke kosten laadinfra &amp; net</c:v>
                </c:pt>
              </c:strCache>
            </c:strRef>
          </c:tx>
          <c:spPr>
            <a:solidFill>
              <a:srgbClr val="FFC000"/>
            </a:solidFill>
            <a:ln>
              <a:noFill/>
            </a:ln>
            <a:effectLst/>
          </c:spPr>
          <c:invertIfNegative val="0"/>
          <c:val>
            <c:numRef>
              <c:f>'4. Analyse'!$C$57:$D$57</c:f>
              <c:numCache>
                <c:formatCode>_("€"\ * #,##0_);_("€"\ * \(#,##0\);_("€"\ * "-"??_);_(@_)</c:formatCode>
                <c:ptCount val="2"/>
                <c:pt idx="0">
                  <c:v>0</c:v>
                </c:pt>
                <c:pt idx="1">
                  <c:v>0</c:v>
                </c:pt>
              </c:numCache>
            </c:numRef>
          </c:val>
          <c:extLst>
            <c:ext xmlns:c16="http://schemas.microsoft.com/office/drawing/2014/chart" uri="{C3380CC4-5D6E-409C-BE32-E72D297353CC}">
              <c16:uniqueId val="{00000004-244B-F74B-9AD0-BFAA524B1B5C}"/>
            </c:ext>
          </c:extLst>
        </c:ser>
        <c:ser>
          <c:idx val="7"/>
          <c:order val="8"/>
          <c:tx>
            <c:strRef>
              <c:f>'4. Analyse'!$B$53</c:f>
              <c:strCache>
                <c:ptCount val="1"/>
                <c:pt idx="0">
                  <c:v>Meerkosten chauffeur</c:v>
                </c:pt>
              </c:strCache>
            </c:strRef>
          </c:tx>
          <c:spPr>
            <a:pattFill prst="wdUpDiag">
              <a:fgClr>
                <a:srgbClr val="C00000"/>
              </a:fgClr>
              <a:bgClr>
                <a:schemeClr val="bg1"/>
              </a:bgClr>
            </a:pattFill>
            <a:ln>
              <a:noFill/>
            </a:ln>
            <a:effectLst/>
          </c:spPr>
          <c:invertIfNegative val="0"/>
          <c:val>
            <c:numRef>
              <c:f>'4. Analyse'!$C$53:$D$53</c:f>
              <c:numCache>
                <c:formatCode>_("€"\ * #,##0_);_("€"\ * \(#,##0\);_("€"\ * "-"??_);_(@_)</c:formatCode>
                <c:ptCount val="2"/>
                <c:pt idx="0">
                  <c:v>0</c:v>
                </c:pt>
                <c:pt idx="1">
                  <c:v>0</c:v>
                </c:pt>
              </c:numCache>
            </c:numRef>
          </c:val>
          <c:extLst>
            <c:ext xmlns:c16="http://schemas.microsoft.com/office/drawing/2014/chart" uri="{C3380CC4-5D6E-409C-BE32-E72D297353CC}">
              <c16:uniqueId val="{00000008-3FC5-CB46-9ACD-F294DCC37FEC}"/>
            </c:ext>
          </c:extLst>
        </c:ser>
        <c:dLbls>
          <c:showLegendKey val="0"/>
          <c:showVal val="0"/>
          <c:showCatName val="0"/>
          <c:showSerName val="0"/>
          <c:showPercent val="0"/>
          <c:showBubbleSize val="0"/>
        </c:dLbls>
        <c:gapWidth val="150"/>
        <c:overlap val="100"/>
        <c:axId val="1027655680"/>
        <c:axId val="1027929904"/>
      </c:barChart>
      <c:scatterChart>
        <c:scatterStyle val="lineMarker"/>
        <c:varyColors val="0"/>
        <c:ser>
          <c:idx val="9"/>
          <c:order val="9"/>
          <c:tx>
            <c:strRef>
              <c:f>'4. Analyse'!$B$68</c:f>
              <c:strCache>
                <c:ptCount val="1"/>
                <c:pt idx="0">
                  <c:v>Totale kosten voor looptijd excl. CO2 monetarisatie</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dPt>
            <c:idx val="0"/>
            <c:bubble3D val="0"/>
            <c:extLst>
              <c:ext xmlns:c16="http://schemas.microsoft.com/office/drawing/2014/chart" uri="{C3380CC4-5D6E-409C-BE32-E72D297353CC}">
                <c16:uniqueId val="{00000006-244B-F74B-9AD0-BFAA524B1B5C}"/>
              </c:ext>
            </c:extLst>
          </c:dPt>
          <c:dLbls>
            <c:dLbl>
              <c:idx val="0"/>
              <c:numFmt formatCode="_(&quot;€&quot;* #,##0_);_(&quot;€&quot;* \(#,##0\);_(&quot;€&quot;* &quot;-&quot;_);_(@_)" sourceLinked="0"/>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244B-F74B-9AD0-BFAA524B1B5C}"/>
                </c:ext>
              </c:extLst>
            </c:dLbl>
            <c:dLbl>
              <c:idx val="1"/>
              <c:numFmt formatCode="&quot;€&quot;\ #,##0" sourceLinked="0"/>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244B-F74B-9AD0-BFAA524B1B5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'4. Analyse'!$C$68:$D$68</c:f>
              <c:numCache>
                <c:formatCode>_("€"\ * #,##0_);_("€"\ * \(#,##0\);_("€"\ * "-"??_);_(@_)</c:formatCode>
                <c:ptCount val="2"/>
                <c:pt idx="0">
                  <c:v>0</c:v>
                </c:pt>
                <c:pt idx="1">
                  <c:v>0</c:v>
                </c:pt>
              </c:numCache>
            </c:numRef>
          </c:yVal>
          <c:smooth val="0"/>
          <c:extLst>
            <c:ext xmlns:c16="http://schemas.microsoft.com/office/drawing/2014/chart" uri="{C3380CC4-5D6E-409C-BE32-E72D297353CC}">
              <c16:uniqueId val="{00000005-244B-F74B-9AD0-BFAA524B1B5C}"/>
            </c:ext>
          </c:extLst>
        </c:ser>
        <c:dLbls>
          <c:showLegendKey val="0"/>
          <c:showVal val="0"/>
          <c:showCatName val="0"/>
          <c:showSerName val="0"/>
          <c:showPercent val="0"/>
          <c:showBubbleSize val="0"/>
        </c:dLbls>
        <c:axId val="1027655680"/>
        <c:axId val="1027929904"/>
      </c:scatterChart>
      <c:catAx>
        <c:axId val="102765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027929904"/>
        <c:crosses val="autoZero"/>
        <c:auto val="1"/>
        <c:lblAlgn val="ctr"/>
        <c:lblOffset val="100"/>
        <c:noMultiLvlLbl val="0"/>
      </c:catAx>
      <c:valAx>
        <c:axId val="1027929904"/>
        <c:scaling>
          <c:orientation val="minMax"/>
        </c:scaling>
        <c:delete val="0"/>
        <c:axPos val="l"/>
        <c:majorGridlines>
          <c:spPr>
            <a:ln w="9525" cap="flat" cmpd="sng" algn="ctr">
              <a:solidFill>
                <a:schemeClr val="tx1">
                  <a:lumMod val="15000"/>
                  <a:lumOff val="85000"/>
                </a:schemeClr>
              </a:solidFill>
              <a:round/>
            </a:ln>
            <a:effectLst/>
          </c:spPr>
        </c:majorGridlines>
        <c:numFmt formatCode="[$€-413]\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0276556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TCO per</a:t>
            </a:r>
            <a:r>
              <a:rPr lang="en-US" b="1" baseline="0"/>
              <a:t> maand - gem. per voertuig</a:t>
            </a:r>
            <a:endParaRPr lang="en-US"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stacked"/>
        <c:varyColors val="0"/>
        <c:ser>
          <c:idx val="0"/>
          <c:order val="0"/>
          <c:tx>
            <c:strRef>
              <c:f>'4. Analyse'!$B$37</c:f>
              <c:strCache>
                <c:ptCount val="1"/>
                <c:pt idx="0">
                  <c:v>Afschrijving voertuigen</c:v>
                </c:pt>
              </c:strCache>
            </c:strRef>
          </c:tx>
          <c:spPr>
            <a:solidFill>
              <a:schemeClr val="accent1"/>
            </a:solidFill>
            <a:ln>
              <a:noFill/>
            </a:ln>
            <a:effectLst/>
          </c:spPr>
          <c:invertIfNegative val="0"/>
          <c:cat>
            <c:strRef>
              <c:f>'4. Analyse'!$C$67:$D$67</c:f>
              <c:strCache>
                <c:ptCount val="2"/>
                <c:pt idx="0">
                  <c:v> Huidig </c:v>
                </c:pt>
                <c:pt idx="1">
                  <c:v> Elektrisch </c:v>
                </c:pt>
              </c:strCache>
            </c:strRef>
          </c:cat>
          <c:val>
            <c:numRef>
              <c:f>'4. Analyse'!$I$37:$J$37</c:f>
              <c:numCache>
                <c:formatCode>_("€"\ * #,##0_);_("€"\ * \(#,##0\);_("€"\ * "-"??_);_(@_)</c:formatCode>
                <c:ptCount val="2"/>
                <c:pt idx="0">
                  <c:v>0</c:v>
                </c:pt>
                <c:pt idx="1">
                  <c:v>0</c:v>
                </c:pt>
              </c:numCache>
            </c:numRef>
          </c:val>
          <c:extLst>
            <c:ext xmlns:c16="http://schemas.microsoft.com/office/drawing/2014/chart" uri="{C3380CC4-5D6E-409C-BE32-E72D297353CC}">
              <c16:uniqueId val="{00000000-2DCA-734A-A3BE-497D626E6923}"/>
            </c:ext>
          </c:extLst>
        </c:ser>
        <c:ser>
          <c:idx val="1"/>
          <c:order val="1"/>
          <c:tx>
            <c:strRef>
              <c:f>'4. Analyse'!$B$44</c:f>
              <c:strCache>
                <c:ptCount val="1"/>
                <c:pt idx="0">
                  <c:v>Afschrijving laadinfra &amp; netaansluiting</c:v>
                </c:pt>
              </c:strCache>
            </c:strRef>
          </c:tx>
          <c:spPr>
            <a:solidFill>
              <a:schemeClr val="accent2"/>
            </a:solidFill>
            <a:ln>
              <a:noFill/>
            </a:ln>
            <a:effectLst/>
          </c:spPr>
          <c:invertIfNegative val="0"/>
          <c:val>
            <c:numRef>
              <c:f>'4. Analyse'!$I$44:$J$44</c:f>
              <c:numCache>
                <c:formatCode>_("€"* #,##0_);_("€"* \(#,##0\);_("€"* "-"??_);_(@_)</c:formatCode>
                <c:ptCount val="2"/>
                <c:pt idx="0">
                  <c:v>0</c:v>
                </c:pt>
                <c:pt idx="1">
                  <c:v>0</c:v>
                </c:pt>
              </c:numCache>
            </c:numRef>
          </c:val>
          <c:extLst>
            <c:ext xmlns:c16="http://schemas.microsoft.com/office/drawing/2014/chart" uri="{C3380CC4-5D6E-409C-BE32-E72D297353CC}">
              <c16:uniqueId val="{00000002-99E9-0B4F-BC4D-9900F37547C1}"/>
            </c:ext>
          </c:extLst>
        </c:ser>
        <c:ser>
          <c:idx val="6"/>
          <c:order val="2"/>
          <c:tx>
            <c:strRef>
              <c:f>'4. Analyse'!$B$52</c:f>
              <c:strCache>
                <c:ptCount val="1"/>
                <c:pt idx="0">
                  <c:v>Brandstofkosten</c:v>
                </c:pt>
              </c:strCache>
            </c:strRef>
          </c:tx>
          <c:spPr>
            <a:solidFill>
              <a:srgbClr val="C00000"/>
            </a:solidFill>
            <a:ln>
              <a:noFill/>
            </a:ln>
            <a:effectLst/>
          </c:spPr>
          <c:invertIfNegative val="0"/>
          <c:val>
            <c:numRef>
              <c:f>'4. Analyse'!$I$52:$J$52</c:f>
              <c:numCache>
                <c:formatCode>_("€"\ * #,##0_);_("€"\ * \(#,##0\);_("€"\ * "-"??_);_(@_)</c:formatCode>
                <c:ptCount val="2"/>
                <c:pt idx="0">
                  <c:v>0</c:v>
                </c:pt>
                <c:pt idx="1">
                  <c:v>0</c:v>
                </c:pt>
              </c:numCache>
            </c:numRef>
          </c:val>
          <c:extLst>
            <c:ext xmlns:c16="http://schemas.microsoft.com/office/drawing/2014/chart" uri="{C3380CC4-5D6E-409C-BE32-E72D297353CC}">
              <c16:uniqueId val="{00000007-99E9-0B4F-BC4D-9900F37547C1}"/>
            </c:ext>
          </c:extLst>
        </c:ser>
        <c:ser>
          <c:idx val="4"/>
          <c:order val="3"/>
          <c:tx>
            <c:strRef>
              <c:f>'4. Analyse'!$B$50</c:f>
              <c:strCache>
                <c:ptCount val="1"/>
                <c:pt idx="0">
                  <c:v>Onderhoudskosten (ROB)</c:v>
                </c:pt>
              </c:strCache>
            </c:strRef>
          </c:tx>
          <c:spPr>
            <a:solidFill>
              <a:schemeClr val="accent5"/>
            </a:solidFill>
            <a:ln>
              <a:noFill/>
            </a:ln>
            <a:effectLst/>
          </c:spPr>
          <c:invertIfNegative val="0"/>
          <c:val>
            <c:numRef>
              <c:f>'4. Analyse'!$I$50:$J$50</c:f>
              <c:numCache>
                <c:formatCode>_("€"\ * #,##0_);_("€"\ * \(#,##0\);_("€"\ * "-"??_);_(@_)</c:formatCode>
                <c:ptCount val="2"/>
                <c:pt idx="0">
                  <c:v>0</c:v>
                </c:pt>
                <c:pt idx="1">
                  <c:v>0</c:v>
                </c:pt>
              </c:numCache>
            </c:numRef>
          </c:val>
          <c:extLst>
            <c:ext xmlns:c16="http://schemas.microsoft.com/office/drawing/2014/chart" uri="{C3380CC4-5D6E-409C-BE32-E72D297353CC}">
              <c16:uniqueId val="{00000005-99E9-0B4F-BC4D-9900F37547C1}"/>
            </c:ext>
          </c:extLst>
        </c:ser>
        <c:ser>
          <c:idx val="2"/>
          <c:order val="4"/>
          <c:tx>
            <c:strRef>
              <c:f>'4. Analyse'!$B$48</c:f>
              <c:strCache>
                <c:ptCount val="1"/>
                <c:pt idx="0">
                  <c:v>Verzekeringskosten</c:v>
                </c:pt>
              </c:strCache>
            </c:strRef>
          </c:tx>
          <c:spPr>
            <a:solidFill>
              <a:schemeClr val="accent4">
                <a:lumMod val="40000"/>
                <a:lumOff val="60000"/>
              </a:schemeClr>
            </a:solidFill>
            <a:ln>
              <a:noFill/>
            </a:ln>
            <a:effectLst/>
          </c:spPr>
          <c:invertIfNegative val="0"/>
          <c:val>
            <c:numRef>
              <c:f>'4. Analyse'!$I$48:$J$48</c:f>
              <c:numCache>
                <c:formatCode>_("€"\ * #,##0_);_("€"\ * \(#,##0\);_("€"\ * "-"??_);_(@_)</c:formatCode>
                <c:ptCount val="2"/>
                <c:pt idx="0">
                  <c:v>0</c:v>
                </c:pt>
                <c:pt idx="1">
                  <c:v>0</c:v>
                </c:pt>
              </c:numCache>
            </c:numRef>
          </c:val>
          <c:extLst>
            <c:ext xmlns:c16="http://schemas.microsoft.com/office/drawing/2014/chart" uri="{C3380CC4-5D6E-409C-BE32-E72D297353CC}">
              <c16:uniqueId val="{00000003-99E9-0B4F-BC4D-9900F37547C1}"/>
            </c:ext>
          </c:extLst>
        </c:ser>
        <c:ser>
          <c:idx val="5"/>
          <c:order val="5"/>
          <c:tx>
            <c:strRef>
              <c:f>'4. Analyse'!$B$51</c:f>
              <c:strCache>
                <c:ptCount val="1"/>
                <c:pt idx="0">
                  <c:v>Schade</c:v>
                </c:pt>
              </c:strCache>
            </c:strRef>
          </c:tx>
          <c:spPr>
            <a:solidFill>
              <a:schemeClr val="accent6"/>
            </a:solidFill>
            <a:ln>
              <a:noFill/>
            </a:ln>
            <a:effectLst/>
          </c:spPr>
          <c:invertIfNegative val="0"/>
          <c:val>
            <c:numRef>
              <c:f>'4. Analyse'!$I$51:$J$51</c:f>
              <c:numCache>
                <c:formatCode>_("€"\ * #,##0_);_("€"\ * \(#,##0\);_("€"\ * "-"??_);_(@_)</c:formatCode>
                <c:ptCount val="2"/>
                <c:pt idx="0">
                  <c:v>0</c:v>
                </c:pt>
                <c:pt idx="1">
                  <c:v>0</c:v>
                </c:pt>
              </c:numCache>
            </c:numRef>
          </c:val>
          <c:extLst>
            <c:ext xmlns:c16="http://schemas.microsoft.com/office/drawing/2014/chart" uri="{C3380CC4-5D6E-409C-BE32-E72D297353CC}">
              <c16:uniqueId val="{00000006-99E9-0B4F-BC4D-9900F37547C1}"/>
            </c:ext>
          </c:extLst>
        </c:ser>
        <c:ser>
          <c:idx val="3"/>
          <c:order val="6"/>
          <c:tx>
            <c:strRef>
              <c:f>'4. Analyse'!$B$49</c:f>
              <c:strCache>
                <c:ptCount val="1"/>
                <c:pt idx="0">
                  <c:v>MRB</c:v>
                </c:pt>
              </c:strCache>
            </c:strRef>
          </c:tx>
          <c:spPr>
            <a:solidFill>
              <a:schemeClr val="accent6">
                <a:lumMod val="50000"/>
              </a:schemeClr>
            </a:solidFill>
            <a:ln>
              <a:noFill/>
            </a:ln>
            <a:effectLst/>
          </c:spPr>
          <c:invertIfNegative val="0"/>
          <c:val>
            <c:numRef>
              <c:f>'4. Analyse'!$I$49:$J$49</c:f>
              <c:numCache>
                <c:formatCode>_("€"\ * #,##0_);_("€"\ * \(#,##0\);_("€"\ * "-"??_);_(@_)</c:formatCode>
                <c:ptCount val="2"/>
                <c:pt idx="0">
                  <c:v>0</c:v>
                </c:pt>
                <c:pt idx="1">
                  <c:v>0</c:v>
                </c:pt>
              </c:numCache>
            </c:numRef>
          </c:val>
          <c:extLst>
            <c:ext xmlns:c16="http://schemas.microsoft.com/office/drawing/2014/chart" uri="{C3380CC4-5D6E-409C-BE32-E72D297353CC}">
              <c16:uniqueId val="{00000004-99E9-0B4F-BC4D-9900F37547C1}"/>
            </c:ext>
          </c:extLst>
        </c:ser>
        <c:ser>
          <c:idx val="8"/>
          <c:order val="7"/>
          <c:tx>
            <c:strRef>
              <c:f>'4. Analyse'!$B$57</c:f>
              <c:strCache>
                <c:ptCount val="1"/>
                <c:pt idx="0">
                  <c:v>B&amp;O en periodieke kosten laadinfra &amp; net</c:v>
                </c:pt>
              </c:strCache>
            </c:strRef>
          </c:tx>
          <c:spPr>
            <a:solidFill>
              <a:srgbClr val="FFC000"/>
            </a:solidFill>
            <a:ln>
              <a:noFill/>
            </a:ln>
            <a:effectLst/>
          </c:spPr>
          <c:invertIfNegative val="0"/>
          <c:val>
            <c:numRef>
              <c:f>'4. Analyse'!$I$57:$J$57</c:f>
              <c:numCache>
                <c:formatCode>_("€"\ * #,##0_);_("€"\ * \(#,##0\);_("€"\ * "-"??_);_(@_)</c:formatCode>
                <c:ptCount val="2"/>
                <c:pt idx="0">
                  <c:v>0</c:v>
                </c:pt>
                <c:pt idx="1">
                  <c:v>0</c:v>
                </c:pt>
              </c:numCache>
            </c:numRef>
          </c:val>
          <c:extLst>
            <c:ext xmlns:c16="http://schemas.microsoft.com/office/drawing/2014/chart" uri="{C3380CC4-5D6E-409C-BE32-E72D297353CC}">
              <c16:uniqueId val="{00000009-99E9-0B4F-BC4D-9900F37547C1}"/>
            </c:ext>
          </c:extLst>
        </c:ser>
        <c:ser>
          <c:idx val="7"/>
          <c:order val="8"/>
          <c:tx>
            <c:strRef>
              <c:f>'4. Analyse'!$B$53</c:f>
              <c:strCache>
                <c:ptCount val="1"/>
                <c:pt idx="0">
                  <c:v>Meerkosten chauffeur</c:v>
                </c:pt>
              </c:strCache>
            </c:strRef>
          </c:tx>
          <c:spPr>
            <a:pattFill prst="wdUpDiag">
              <a:fgClr>
                <a:srgbClr val="C00000"/>
              </a:fgClr>
              <a:bgClr>
                <a:schemeClr val="bg1"/>
              </a:bgClr>
            </a:pattFill>
            <a:ln>
              <a:noFill/>
            </a:ln>
            <a:effectLst/>
          </c:spPr>
          <c:invertIfNegative val="0"/>
          <c:val>
            <c:numRef>
              <c:f>'4. Analyse'!$I$53:$J$53</c:f>
              <c:numCache>
                <c:formatCode>_("€"\ * #,##0_);_("€"\ * \(#,##0\);_("€"\ * "-"??_);_(@_)</c:formatCode>
                <c:ptCount val="2"/>
                <c:pt idx="0">
                  <c:v>0</c:v>
                </c:pt>
                <c:pt idx="1">
                  <c:v>0</c:v>
                </c:pt>
              </c:numCache>
            </c:numRef>
          </c:val>
          <c:extLst>
            <c:ext xmlns:c16="http://schemas.microsoft.com/office/drawing/2014/chart" uri="{C3380CC4-5D6E-409C-BE32-E72D297353CC}">
              <c16:uniqueId val="{00000008-99E9-0B4F-BC4D-9900F37547C1}"/>
            </c:ext>
          </c:extLst>
        </c:ser>
        <c:dLbls>
          <c:showLegendKey val="0"/>
          <c:showVal val="0"/>
          <c:showCatName val="0"/>
          <c:showSerName val="0"/>
          <c:showPercent val="0"/>
          <c:showBubbleSize val="0"/>
        </c:dLbls>
        <c:gapWidth val="150"/>
        <c:overlap val="100"/>
        <c:axId val="1268843376"/>
        <c:axId val="1290230896"/>
      </c:barChart>
      <c:scatterChart>
        <c:scatterStyle val="lineMarker"/>
        <c:varyColors val="0"/>
        <c:ser>
          <c:idx val="9"/>
          <c:order val="9"/>
          <c:tx>
            <c:strRef>
              <c:f>'4. Analyse'!$B$68</c:f>
              <c:strCache>
                <c:ptCount val="1"/>
                <c:pt idx="0">
                  <c:v>Totale kosten voor looptijd excl. CO2 monetarisatie</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dLbls>
            <c:dLbl>
              <c:idx val="0"/>
              <c:numFmt formatCode="[$€-413]\ #,##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1-545F-C34A-AA5A-D3E308CFB4FB}"/>
                </c:ext>
              </c:extLst>
            </c:dLbl>
            <c:dLbl>
              <c:idx val="1"/>
              <c:numFmt formatCode="[$€-413]\ #,##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extLst>
                <c:ext xmlns:c16="http://schemas.microsoft.com/office/drawing/2014/chart" uri="{C3380CC4-5D6E-409C-BE32-E72D297353CC}">
                  <c16:uniqueId val="{00000000-545F-C34A-AA5A-D3E308CFB4F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'4. Analyse'!$I$68:$J$68</c:f>
              <c:numCache>
                <c:formatCode>_("€"\ * #,##0_);_("€"\ * \(#,##0\);_("€"\ * "-"??_);_(@_)</c:formatCode>
                <c:ptCount val="2"/>
                <c:pt idx="0">
                  <c:v>0</c:v>
                </c:pt>
                <c:pt idx="1">
                  <c:v>0</c:v>
                </c:pt>
              </c:numCache>
            </c:numRef>
          </c:yVal>
          <c:smooth val="0"/>
          <c:extLst>
            <c:ext xmlns:c16="http://schemas.microsoft.com/office/drawing/2014/chart" uri="{C3380CC4-5D6E-409C-BE32-E72D297353CC}">
              <c16:uniqueId val="{0000000C-99E9-0B4F-BC4D-9900F37547C1}"/>
            </c:ext>
          </c:extLst>
        </c:ser>
        <c:dLbls>
          <c:showLegendKey val="0"/>
          <c:showVal val="0"/>
          <c:showCatName val="0"/>
          <c:showSerName val="0"/>
          <c:showPercent val="0"/>
          <c:showBubbleSize val="0"/>
        </c:dLbls>
        <c:axId val="1268843376"/>
        <c:axId val="1290230896"/>
      </c:scatterChart>
      <c:catAx>
        <c:axId val="126884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90230896"/>
        <c:crosses val="autoZero"/>
        <c:auto val="1"/>
        <c:lblAlgn val="ctr"/>
        <c:lblOffset val="100"/>
        <c:noMultiLvlLbl val="0"/>
      </c:catAx>
      <c:valAx>
        <c:axId val="1290230896"/>
        <c:scaling>
          <c:orientation val="minMax"/>
        </c:scaling>
        <c:delete val="0"/>
        <c:axPos val="l"/>
        <c:majorGridlines>
          <c:spPr>
            <a:ln w="9525" cap="flat" cmpd="sng" algn="ctr">
              <a:solidFill>
                <a:schemeClr val="tx1">
                  <a:lumMod val="15000"/>
                  <a:lumOff val="85000"/>
                </a:schemeClr>
              </a:solidFill>
              <a:round/>
            </a:ln>
            <a:effectLst/>
          </c:spPr>
        </c:majorGridlines>
        <c:numFmt formatCode="[$€-413]\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688433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TCO per kilometer - gem. kosten</a:t>
            </a:r>
            <a:r>
              <a:rPr lang="en-US" b="1" baseline="0"/>
              <a:t> </a:t>
            </a:r>
            <a:r>
              <a:rPr lang="en-US" b="1"/>
              <a:t>per km</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stacked"/>
        <c:varyColors val="0"/>
        <c:ser>
          <c:idx val="0"/>
          <c:order val="0"/>
          <c:tx>
            <c:strRef>
              <c:f>'4. Analyse'!$B$37</c:f>
              <c:strCache>
                <c:ptCount val="1"/>
                <c:pt idx="0">
                  <c:v>Afschrijving voertuigen</c:v>
                </c:pt>
              </c:strCache>
            </c:strRef>
          </c:tx>
          <c:spPr>
            <a:solidFill>
              <a:schemeClr val="accent1"/>
            </a:solidFill>
            <a:ln>
              <a:noFill/>
            </a:ln>
            <a:effectLst/>
          </c:spPr>
          <c:invertIfNegative val="0"/>
          <c:cat>
            <c:multiLvlStrRef>
              <c:f>'4. Analyse'!$F$67:$G$67</c:f>
            </c:multiLvlStrRef>
          </c:cat>
          <c:val>
            <c:numRef>
              <c:f>'4. Analyse'!$L$37:$M$37</c:f>
              <c:numCache>
                <c:formatCode>_("€"\ * #,##0.000_);_("€"\ * \(#,##0.000\);_("€"\ * "-"??_);_(@_)</c:formatCode>
                <c:ptCount val="2"/>
                <c:pt idx="0">
                  <c:v>0</c:v>
                </c:pt>
                <c:pt idx="1">
                  <c:v>0</c:v>
                </c:pt>
              </c:numCache>
            </c:numRef>
          </c:val>
          <c:extLst>
            <c:ext xmlns:c16="http://schemas.microsoft.com/office/drawing/2014/chart" uri="{C3380CC4-5D6E-409C-BE32-E72D297353CC}">
              <c16:uniqueId val="{00000000-674A-B04B-8C13-7D32FCA7ACB7}"/>
            </c:ext>
          </c:extLst>
        </c:ser>
        <c:ser>
          <c:idx val="1"/>
          <c:order val="1"/>
          <c:tx>
            <c:strRef>
              <c:f>'4. Analyse'!$B$44</c:f>
              <c:strCache>
                <c:ptCount val="1"/>
                <c:pt idx="0">
                  <c:v>Afschrijving laadinfra &amp; netaansluiting</c:v>
                </c:pt>
              </c:strCache>
            </c:strRef>
          </c:tx>
          <c:spPr>
            <a:solidFill>
              <a:schemeClr val="accent2"/>
            </a:solidFill>
            <a:ln>
              <a:noFill/>
            </a:ln>
            <a:effectLst/>
          </c:spPr>
          <c:invertIfNegative val="0"/>
          <c:val>
            <c:numRef>
              <c:f>'4. Analyse'!$L$44:$M$44</c:f>
              <c:numCache>
                <c:formatCode>_("€"* #,##0.000_);_("€"* \(#,##0.000\);_("€"* "-"??_);_(@_)</c:formatCode>
                <c:ptCount val="2"/>
                <c:pt idx="0" formatCode="_(&quot;€&quot;* #,##0_);_(&quot;€&quot;* \(#,##0\);_(&quot;€&quot;* &quot;-&quot;??_);_(@_)">
                  <c:v>0</c:v>
                </c:pt>
                <c:pt idx="1">
                  <c:v>0</c:v>
                </c:pt>
              </c:numCache>
            </c:numRef>
          </c:val>
          <c:extLst>
            <c:ext xmlns:c16="http://schemas.microsoft.com/office/drawing/2014/chart" uri="{C3380CC4-5D6E-409C-BE32-E72D297353CC}">
              <c16:uniqueId val="{00000002-A73D-F046-B4E8-1B6055786A27}"/>
            </c:ext>
          </c:extLst>
        </c:ser>
        <c:ser>
          <c:idx val="6"/>
          <c:order val="2"/>
          <c:tx>
            <c:strRef>
              <c:f>'4. Analyse'!$B$52</c:f>
              <c:strCache>
                <c:ptCount val="1"/>
                <c:pt idx="0">
                  <c:v>Brandstofkosten</c:v>
                </c:pt>
              </c:strCache>
            </c:strRef>
          </c:tx>
          <c:spPr>
            <a:solidFill>
              <a:srgbClr val="C00000"/>
            </a:solidFill>
            <a:ln>
              <a:noFill/>
            </a:ln>
            <a:effectLst/>
          </c:spPr>
          <c:invertIfNegative val="0"/>
          <c:val>
            <c:numRef>
              <c:f>'4. Analyse'!$L$52:$M$52</c:f>
              <c:numCache>
                <c:formatCode>_("€"\ * #,##0.000_);_("€"\ * \(#,##0.000\);_("€"\ * "-"??_);_(@_)</c:formatCode>
                <c:ptCount val="2"/>
                <c:pt idx="0">
                  <c:v>0</c:v>
                </c:pt>
                <c:pt idx="1">
                  <c:v>0</c:v>
                </c:pt>
              </c:numCache>
            </c:numRef>
          </c:val>
          <c:extLst>
            <c:ext xmlns:c16="http://schemas.microsoft.com/office/drawing/2014/chart" uri="{C3380CC4-5D6E-409C-BE32-E72D297353CC}">
              <c16:uniqueId val="{00000007-A73D-F046-B4E8-1B6055786A27}"/>
            </c:ext>
          </c:extLst>
        </c:ser>
        <c:ser>
          <c:idx val="4"/>
          <c:order val="3"/>
          <c:tx>
            <c:strRef>
              <c:f>'4. Analyse'!$B$50</c:f>
              <c:strCache>
                <c:ptCount val="1"/>
                <c:pt idx="0">
                  <c:v>Onderhoudskosten (ROB)</c:v>
                </c:pt>
              </c:strCache>
            </c:strRef>
          </c:tx>
          <c:spPr>
            <a:solidFill>
              <a:schemeClr val="accent5"/>
            </a:solidFill>
            <a:ln>
              <a:noFill/>
            </a:ln>
            <a:effectLst/>
          </c:spPr>
          <c:invertIfNegative val="0"/>
          <c:val>
            <c:numRef>
              <c:f>'4. Analyse'!$L$50:$M$50</c:f>
              <c:numCache>
                <c:formatCode>_("€"\ * #,##0.000_);_("€"\ * \(#,##0.000\);_("€"\ * "-"??_);_(@_)</c:formatCode>
                <c:ptCount val="2"/>
                <c:pt idx="0">
                  <c:v>0</c:v>
                </c:pt>
                <c:pt idx="1">
                  <c:v>0</c:v>
                </c:pt>
              </c:numCache>
            </c:numRef>
          </c:val>
          <c:extLst>
            <c:ext xmlns:c16="http://schemas.microsoft.com/office/drawing/2014/chart" uri="{C3380CC4-5D6E-409C-BE32-E72D297353CC}">
              <c16:uniqueId val="{00000005-A73D-F046-B4E8-1B6055786A27}"/>
            </c:ext>
          </c:extLst>
        </c:ser>
        <c:ser>
          <c:idx val="2"/>
          <c:order val="4"/>
          <c:tx>
            <c:strRef>
              <c:f>'4. Analyse'!$B$48</c:f>
              <c:strCache>
                <c:ptCount val="1"/>
                <c:pt idx="0">
                  <c:v>Verzekeringskosten</c:v>
                </c:pt>
              </c:strCache>
            </c:strRef>
          </c:tx>
          <c:spPr>
            <a:solidFill>
              <a:schemeClr val="accent4">
                <a:lumMod val="40000"/>
                <a:lumOff val="60000"/>
              </a:schemeClr>
            </a:solidFill>
            <a:ln>
              <a:noFill/>
            </a:ln>
            <a:effectLst/>
          </c:spPr>
          <c:invertIfNegative val="0"/>
          <c:val>
            <c:numRef>
              <c:f>'4. Analyse'!$L$48:$M$48</c:f>
              <c:numCache>
                <c:formatCode>_("€"\ * #,##0.000_);_("€"\ * \(#,##0.000\);_("€"\ * "-"??_);_(@_)</c:formatCode>
                <c:ptCount val="2"/>
                <c:pt idx="0">
                  <c:v>0</c:v>
                </c:pt>
                <c:pt idx="1">
                  <c:v>0</c:v>
                </c:pt>
              </c:numCache>
            </c:numRef>
          </c:val>
          <c:extLst>
            <c:ext xmlns:c16="http://schemas.microsoft.com/office/drawing/2014/chart" uri="{C3380CC4-5D6E-409C-BE32-E72D297353CC}">
              <c16:uniqueId val="{00000003-A73D-F046-B4E8-1B6055786A27}"/>
            </c:ext>
          </c:extLst>
        </c:ser>
        <c:ser>
          <c:idx val="5"/>
          <c:order val="5"/>
          <c:tx>
            <c:strRef>
              <c:f>'4. Analyse'!$B$51</c:f>
              <c:strCache>
                <c:ptCount val="1"/>
                <c:pt idx="0">
                  <c:v>Schade</c:v>
                </c:pt>
              </c:strCache>
            </c:strRef>
          </c:tx>
          <c:spPr>
            <a:solidFill>
              <a:schemeClr val="accent6"/>
            </a:solidFill>
            <a:ln>
              <a:noFill/>
            </a:ln>
            <a:effectLst/>
          </c:spPr>
          <c:invertIfNegative val="0"/>
          <c:val>
            <c:numRef>
              <c:f>'4. Analyse'!$L$51:$M$51</c:f>
              <c:numCache>
                <c:formatCode>_("€"\ * #,##0.000_);_("€"\ * \(#,##0.000\);_("€"\ * "-"??_);_(@_)</c:formatCode>
                <c:ptCount val="2"/>
                <c:pt idx="0">
                  <c:v>0</c:v>
                </c:pt>
                <c:pt idx="1">
                  <c:v>0</c:v>
                </c:pt>
              </c:numCache>
            </c:numRef>
          </c:val>
          <c:extLst>
            <c:ext xmlns:c16="http://schemas.microsoft.com/office/drawing/2014/chart" uri="{C3380CC4-5D6E-409C-BE32-E72D297353CC}">
              <c16:uniqueId val="{00000006-A73D-F046-B4E8-1B6055786A27}"/>
            </c:ext>
          </c:extLst>
        </c:ser>
        <c:ser>
          <c:idx val="3"/>
          <c:order val="6"/>
          <c:tx>
            <c:strRef>
              <c:f>'4. Analyse'!$B$49</c:f>
              <c:strCache>
                <c:ptCount val="1"/>
                <c:pt idx="0">
                  <c:v>MRB</c:v>
                </c:pt>
              </c:strCache>
            </c:strRef>
          </c:tx>
          <c:spPr>
            <a:solidFill>
              <a:schemeClr val="accent6">
                <a:lumMod val="50000"/>
              </a:schemeClr>
            </a:solidFill>
            <a:ln>
              <a:noFill/>
            </a:ln>
            <a:effectLst/>
          </c:spPr>
          <c:invertIfNegative val="0"/>
          <c:val>
            <c:numRef>
              <c:f>'4. Analyse'!$L$49:$M$49</c:f>
              <c:numCache>
                <c:formatCode>_("€"\ * #,##0.000_);_("€"\ * \(#,##0.000\);_("€"\ * "-"??_);_(@_)</c:formatCode>
                <c:ptCount val="2"/>
                <c:pt idx="0">
                  <c:v>0</c:v>
                </c:pt>
                <c:pt idx="1">
                  <c:v>0</c:v>
                </c:pt>
              </c:numCache>
            </c:numRef>
          </c:val>
          <c:extLst>
            <c:ext xmlns:c16="http://schemas.microsoft.com/office/drawing/2014/chart" uri="{C3380CC4-5D6E-409C-BE32-E72D297353CC}">
              <c16:uniqueId val="{00000004-A73D-F046-B4E8-1B6055786A27}"/>
            </c:ext>
          </c:extLst>
        </c:ser>
        <c:ser>
          <c:idx val="8"/>
          <c:order val="7"/>
          <c:tx>
            <c:strRef>
              <c:f>'4. Analyse'!$B$57</c:f>
              <c:strCache>
                <c:ptCount val="1"/>
                <c:pt idx="0">
                  <c:v>B&amp;O en periodieke kosten laadinfra &amp; net</c:v>
                </c:pt>
              </c:strCache>
            </c:strRef>
          </c:tx>
          <c:spPr>
            <a:solidFill>
              <a:srgbClr val="FFC000"/>
            </a:solidFill>
            <a:ln>
              <a:noFill/>
            </a:ln>
            <a:effectLst/>
          </c:spPr>
          <c:invertIfNegative val="0"/>
          <c:val>
            <c:numRef>
              <c:f>'4. Analyse'!$L$57:$M$57</c:f>
              <c:numCache>
                <c:formatCode>_("€"\ * #,##0.000_);_("€"\ * \(#,##0.000\);_("€"\ * "-"??_);_(@_)</c:formatCode>
                <c:ptCount val="2"/>
                <c:pt idx="0">
                  <c:v>0</c:v>
                </c:pt>
                <c:pt idx="1">
                  <c:v>0</c:v>
                </c:pt>
              </c:numCache>
            </c:numRef>
          </c:val>
          <c:extLst>
            <c:ext xmlns:c16="http://schemas.microsoft.com/office/drawing/2014/chart" uri="{C3380CC4-5D6E-409C-BE32-E72D297353CC}">
              <c16:uniqueId val="{00000009-A73D-F046-B4E8-1B6055786A27}"/>
            </c:ext>
          </c:extLst>
        </c:ser>
        <c:ser>
          <c:idx val="7"/>
          <c:order val="8"/>
          <c:tx>
            <c:strRef>
              <c:f>'4. Analyse'!$B$53</c:f>
              <c:strCache>
                <c:ptCount val="1"/>
                <c:pt idx="0">
                  <c:v>Meerkosten chauffeur</c:v>
                </c:pt>
              </c:strCache>
            </c:strRef>
          </c:tx>
          <c:spPr>
            <a:pattFill prst="wdUpDiag">
              <a:fgClr>
                <a:srgbClr val="C00000"/>
              </a:fgClr>
              <a:bgClr>
                <a:schemeClr val="bg1"/>
              </a:bgClr>
            </a:pattFill>
            <a:ln>
              <a:noFill/>
            </a:ln>
            <a:effectLst/>
          </c:spPr>
          <c:invertIfNegative val="0"/>
          <c:val>
            <c:numRef>
              <c:f>'4. Analyse'!$L$53:$M$53</c:f>
              <c:numCache>
                <c:formatCode>_("€"\ * #,##0.000_);_("€"\ * \(#,##0.000\);_("€"\ * "-"??_);_(@_)</c:formatCode>
                <c:ptCount val="2"/>
                <c:pt idx="0">
                  <c:v>0</c:v>
                </c:pt>
                <c:pt idx="1">
                  <c:v>0</c:v>
                </c:pt>
              </c:numCache>
            </c:numRef>
          </c:val>
          <c:extLst>
            <c:ext xmlns:c16="http://schemas.microsoft.com/office/drawing/2014/chart" uri="{C3380CC4-5D6E-409C-BE32-E72D297353CC}">
              <c16:uniqueId val="{00000008-A73D-F046-B4E8-1B6055786A27}"/>
            </c:ext>
          </c:extLst>
        </c:ser>
        <c:dLbls>
          <c:showLegendKey val="0"/>
          <c:showVal val="0"/>
          <c:showCatName val="0"/>
          <c:showSerName val="0"/>
          <c:showPercent val="0"/>
          <c:showBubbleSize val="0"/>
        </c:dLbls>
        <c:gapWidth val="219"/>
        <c:overlap val="100"/>
        <c:axId val="1286446176"/>
        <c:axId val="1935188048"/>
      </c:barChart>
      <c:scatterChart>
        <c:scatterStyle val="lineMarker"/>
        <c:varyColors val="0"/>
        <c:ser>
          <c:idx val="9"/>
          <c:order val="9"/>
          <c:tx>
            <c:strRef>
              <c:f>'4. Analyse'!$B$68</c:f>
              <c:strCache>
                <c:ptCount val="1"/>
                <c:pt idx="0">
                  <c:v>Totale kosten voor looptijd excl. CO2 monetarisatie</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dLbls>
            <c:dLbl>
              <c:idx val="1"/>
              <c:layout>
                <c:manualLayout>
                  <c:x val="-6.8155907864225887E-2"/>
                  <c:y val="-5.8838321506899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2A-0044-952F-8A5EB4A6F705}"/>
                </c:ext>
              </c:extLst>
            </c:dLbl>
            <c:numFmt formatCode="&quot;€&quot;\ #,##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'4. Analyse'!$L$68:$M$68</c:f>
              <c:numCache>
                <c:formatCode>_("€"* #,##0.00_);_("€"* \(#,##0.00\);_("€"* "-"??_);_(@_)</c:formatCode>
                <c:ptCount val="2"/>
                <c:pt idx="0">
                  <c:v>0</c:v>
                </c:pt>
                <c:pt idx="1">
                  <c:v>0</c:v>
                </c:pt>
              </c:numCache>
            </c:numRef>
          </c:yVal>
          <c:smooth val="0"/>
          <c:extLst>
            <c:ext xmlns:c16="http://schemas.microsoft.com/office/drawing/2014/chart" uri="{C3380CC4-5D6E-409C-BE32-E72D297353CC}">
              <c16:uniqueId val="{0000000A-A73D-F046-B4E8-1B6055786A27}"/>
            </c:ext>
          </c:extLst>
        </c:ser>
        <c:dLbls>
          <c:showLegendKey val="0"/>
          <c:showVal val="0"/>
          <c:showCatName val="0"/>
          <c:showSerName val="0"/>
          <c:showPercent val="0"/>
          <c:showBubbleSize val="0"/>
        </c:dLbls>
        <c:axId val="1286446176"/>
        <c:axId val="1935188048"/>
      </c:scatterChart>
      <c:catAx>
        <c:axId val="128644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35188048"/>
        <c:crosses val="autoZero"/>
        <c:auto val="1"/>
        <c:lblAlgn val="ctr"/>
        <c:lblOffset val="100"/>
        <c:noMultiLvlLbl val="0"/>
      </c:catAx>
      <c:valAx>
        <c:axId val="1935188048"/>
        <c:scaling>
          <c:orientation val="minMax"/>
        </c:scaling>
        <c:delete val="0"/>
        <c:axPos val="l"/>
        <c:majorGridlines>
          <c:spPr>
            <a:ln w="9525" cap="flat" cmpd="sng" algn="ctr">
              <a:solidFill>
                <a:schemeClr val="tx1">
                  <a:lumMod val="15000"/>
                  <a:lumOff val="85000"/>
                </a:schemeClr>
              </a:solidFill>
              <a:round/>
            </a:ln>
            <a:effectLst/>
          </c:spPr>
        </c:majorGridlines>
        <c:numFmt formatCode="[$€-413]\ #,##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864461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Legenda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3.402061303342592E-2"/>
          <c:y val="0.13059859154929576"/>
          <c:w val="9.3605634612284341E-2"/>
          <c:h val="3.4225352112676057E-2"/>
        </c:manualLayout>
      </c:layout>
      <c:barChart>
        <c:barDir val="col"/>
        <c:grouping val="stacked"/>
        <c:varyColors val="0"/>
        <c:ser>
          <c:idx val="7"/>
          <c:order val="0"/>
          <c:tx>
            <c:strRef>
              <c:f>'4. Analyse'!$B$53</c:f>
              <c:strCache>
                <c:ptCount val="1"/>
                <c:pt idx="0">
                  <c:v>Meerkosten chauffeur</c:v>
                </c:pt>
              </c:strCache>
            </c:strRef>
          </c:tx>
          <c:spPr>
            <a:pattFill prst="wdUpDiag">
              <a:fgClr>
                <a:srgbClr val="C00000"/>
              </a:fgClr>
              <a:bgClr>
                <a:schemeClr val="bg1"/>
              </a:bgClr>
            </a:pattFill>
            <a:ln>
              <a:noFill/>
            </a:ln>
            <a:effectLst/>
          </c:spPr>
          <c:invertIfNegative val="0"/>
          <c:val>
            <c:numRef>
              <c:f>'4. Analyse'!$L$53:$M$53</c:f>
              <c:numCache>
                <c:formatCode>_("€"\ * #,##0.000_);_("€"\ * \(#,##0.000\);_("€"\ * "-"??_);_(@_)</c:formatCode>
                <c:ptCount val="2"/>
                <c:pt idx="0">
                  <c:v>0</c:v>
                </c:pt>
                <c:pt idx="1">
                  <c:v>0</c:v>
                </c:pt>
              </c:numCache>
            </c:numRef>
          </c:val>
          <c:extLst>
            <c:ext xmlns:c16="http://schemas.microsoft.com/office/drawing/2014/chart" uri="{C3380CC4-5D6E-409C-BE32-E72D297353CC}">
              <c16:uniqueId val="{00000007-DCDA-FD44-813E-0B15CD31707D}"/>
            </c:ext>
          </c:extLst>
        </c:ser>
        <c:ser>
          <c:idx val="8"/>
          <c:order val="1"/>
          <c:tx>
            <c:strRef>
              <c:f>'4. Analyse'!$B$57</c:f>
              <c:strCache>
                <c:ptCount val="1"/>
                <c:pt idx="0">
                  <c:v>B&amp;O en periodieke kosten laadinfra &amp; net</c:v>
                </c:pt>
              </c:strCache>
            </c:strRef>
          </c:tx>
          <c:spPr>
            <a:solidFill>
              <a:srgbClr val="FFC000"/>
            </a:solidFill>
            <a:ln>
              <a:noFill/>
            </a:ln>
            <a:effectLst/>
          </c:spPr>
          <c:invertIfNegative val="0"/>
          <c:val>
            <c:numRef>
              <c:f>'4. Analyse'!$L$57:$M$57</c:f>
              <c:numCache>
                <c:formatCode>_("€"\ * #,##0.000_);_("€"\ * \(#,##0.000\);_("€"\ * "-"??_);_(@_)</c:formatCode>
                <c:ptCount val="2"/>
                <c:pt idx="0">
                  <c:v>0</c:v>
                </c:pt>
                <c:pt idx="1">
                  <c:v>0</c:v>
                </c:pt>
              </c:numCache>
            </c:numRef>
          </c:val>
          <c:extLst>
            <c:ext xmlns:c16="http://schemas.microsoft.com/office/drawing/2014/chart" uri="{C3380CC4-5D6E-409C-BE32-E72D297353CC}">
              <c16:uniqueId val="{00000008-DCDA-FD44-813E-0B15CD31707D}"/>
            </c:ext>
          </c:extLst>
        </c:ser>
        <c:ser>
          <c:idx val="6"/>
          <c:order val="2"/>
          <c:tx>
            <c:strRef>
              <c:f>'4. Analyse'!$B$52</c:f>
              <c:strCache>
                <c:ptCount val="1"/>
                <c:pt idx="0">
                  <c:v>Brandstofkosten</c:v>
                </c:pt>
              </c:strCache>
            </c:strRef>
          </c:tx>
          <c:spPr>
            <a:solidFill>
              <a:srgbClr val="C00000"/>
            </a:solidFill>
            <a:ln>
              <a:noFill/>
            </a:ln>
            <a:effectLst/>
          </c:spPr>
          <c:invertIfNegative val="0"/>
          <c:val>
            <c:numRef>
              <c:f>'4. Analyse'!$L$52:$M$52</c:f>
              <c:numCache>
                <c:formatCode>_("€"\ * #,##0.000_);_("€"\ * \(#,##0.000\);_("€"\ * "-"??_);_(@_)</c:formatCode>
                <c:ptCount val="2"/>
                <c:pt idx="0">
                  <c:v>0</c:v>
                </c:pt>
                <c:pt idx="1">
                  <c:v>0</c:v>
                </c:pt>
              </c:numCache>
            </c:numRef>
          </c:val>
          <c:extLst>
            <c:ext xmlns:c16="http://schemas.microsoft.com/office/drawing/2014/chart" uri="{C3380CC4-5D6E-409C-BE32-E72D297353CC}">
              <c16:uniqueId val="{00000006-DCDA-FD44-813E-0B15CD31707D}"/>
            </c:ext>
          </c:extLst>
        </c:ser>
        <c:ser>
          <c:idx val="5"/>
          <c:order val="3"/>
          <c:tx>
            <c:strRef>
              <c:f>'4. Analyse'!$B$51</c:f>
              <c:strCache>
                <c:ptCount val="1"/>
                <c:pt idx="0">
                  <c:v>Schade</c:v>
                </c:pt>
              </c:strCache>
            </c:strRef>
          </c:tx>
          <c:spPr>
            <a:solidFill>
              <a:schemeClr val="accent6"/>
            </a:solidFill>
            <a:ln>
              <a:noFill/>
            </a:ln>
            <a:effectLst/>
          </c:spPr>
          <c:invertIfNegative val="0"/>
          <c:val>
            <c:numRef>
              <c:f>'4. Analyse'!$L$51:$M$51</c:f>
              <c:numCache>
                <c:formatCode>_("€"\ * #,##0.000_);_("€"\ * \(#,##0.000\);_("€"\ * "-"??_);_(@_)</c:formatCode>
                <c:ptCount val="2"/>
                <c:pt idx="0">
                  <c:v>0</c:v>
                </c:pt>
                <c:pt idx="1">
                  <c:v>0</c:v>
                </c:pt>
              </c:numCache>
            </c:numRef>
          </c:val>
          <c:extLst>
            <c:ext xmlns:c16="http://schemas.microsoft.com/office/drawing/2014/chart" uri="{C3380CC4-5D6E-409C-BE32-E72D297353CC}">
              <c16:uniqueId val="{00000005-DCDA-FD44-813E-0B15CD31707D}"/>
            </c:ext>
          </c:extLst>
        </c:ser>
        <c:ser>
          <c:idx val="4"/>
          <c:order val="4"/>
          <c:tx>
            <c:strRef>
              <c:f>'4. Analyse'!$B$50</c:f>
              <c:strCache>
                <c:ptCount val="1"/>
                <c:pt idx="0">
                  <c:v>Onderhoudskosten (ROB)</c:v>
                </c:pt>
              </c:strCache>
            </c:strRef>
          </c:tx>
          <c:spPr>
            <a:solidFill>
              <a:schemeClr val="accent5"/>
            </a:solidFill>
            <a:ln>
              <a:noFill/>
            </a:ln>
            <a:effectLst/>
          </c:spPr>
          <c:invertIfNegative val="0"/>
          <c:val>
            <c:numRef>
              <c:f>'4. Analyse'!$L$50:$M$50</c:f>
              <c:numCache>
                <c:formatCode>_("€"\ * #,##0.000_);_("€"\ * \(#,##0.000\);_("€"\ * "-"??_);_(@_)</c:formatCode>
                <c:ptCount val="2"/>
                <c:pt idx="0">
                  <c:v>0</c:v>
                </c:pt>
                <c:pt idx="1">
                  <c:v>0</c:v>
                </c:pt>
              </c:numCache>
            </c:numRef>
          </c:val>
          <c:extLst>
            <c:ext xmlns:c16="http://schemas.microsoft.com/office/drawing/2014/chart" uri="{C3380CC4-5D6E-409C-BE32-E72D297353CC}">
              <c16:uniqueId val="{00000004-DCDA-FD44-813E-0B15CD31707D}"/>
            </c:ext>
          </c:extLst>
        </c:ser>
        <c:ser>
          <c:idx val="3"/>
          <c:order val="5"/>
          <c:tx>
            <c:strRef>
              <c:f>'4. Analyse'!$B$49</c:f>
              <c:strCache>
                <c:ptCount val="1"/>
                <c:pt idx="0">
                  <c:v>MRB</c:v>
                </c:pt>
              </c:strCache>
            </c:strRef>
          </c:tx>
          <c:spPr>
            <a:solidFill>
              <a:schemeClr val="accent6">
                <a:lumMod val="50000"/>
              </a:schemeClr>
            </a:solidFill>
            <a:ln>
              <a:noFill/>
            </a:ln>
            <a:effectLst/>
          </c:spPr>
          <c:invertIfNegative val="0"/>
          <c:val>
            <c:numRef>
              <c:f>'4. Analyse'!$L$49:$M$49</c:f>
              <c:numCache>
                <c:formatCode>_("€"\ * #,##0.000_);_("€"\ * \(#,##0.000\);_("€"\ * "-"??_);_(@_)</c:formatCode>
                <c:ptCount val="2"/>
                <c:pt idx="0">
                  <c:v>0</c:v>
                </c:pt>
                <c:pt idx="1">
                  <c:v>0</c:v>
                </c:pt>
              </c:numCache>
            </c:numRef>
          </c:val>
          <c:extLst>
            <c:ext xmlns:c16="http://schemas.microsoft.com/office/drawing/2014/chart" uri="{C3380CC4-5D6E-409C-BE32-E72D297353CC}">
              <c16:uniqueId val="{00000003-DCDA-FD44-813E-0B15CD31707D}"/>
            </c:ext>
          </c:extLst>
        </c:ser>
        <c:ser>
          <c:idx val="2"/>
          <c:order val="6"/>
          <c:tx>
            <c:strRef>
              <c:f>'4. Analyse'!$B$48</c:f>
              <c:strCache>
                <c:ptCount val="1"/>
                <c:pt idx="0">
                  <c:v>Verzekeringskosten</c:v>
                </c:pt>
              </c:strCache>
            </c:strRef>
          </c:tx>
          <c:spPr>
            <a:solidFill>
              <a:schemeClr val="accent4">
                <a:lumMod val="40000"/>
                <a:lumOff val="60000"/>
              </a:schemeClr>
            </a:solidFill>
            <a:ln>
              <a:noFill/>
            </a:ln>
            <a:effectLst/>
          </c:spPr>
          <c:invertIfNegative val="0"/>
          <c:val>
            <c:numRef>
              <c:f>'4. Analyse'!$L$48:$M$48</c:f>
              <c:numCache>
                <c:formatCode>_("€"\ * #,##0.000_);_("€"\ * \(#,##0.000\);_("€"\ * "-"??_);_(@_)</c:formatCode>
                <c:ptCount val="2"/>
                <c:pt idx="0">
                  <c:v>0</c:v>
                </c:pt>
                <c:pt idx="1">
                  <c:v>0</c:v>
                </c:pt>
              </c:numCache>
            </c:numRef>
          </c:val>
          <c:extLst>
            <c:ext xmlns:c16="http://schemas.microsoft.com/office/drawing/2014/chart" uri="{C3380CC4-5D6E-409C-BE32-E72D297353CC}">
              <c16:uniqueId val="{00000002-DCDA-FD44-813E-0B15CD31707D}"/>
            </c:ext>
          </c:extLst>
        </c:ser>
        <c:ser>
          <c:idx val="1"/>
          <c:order val="7"/>
          <c:tx>
            <c:strRef>
              <c:f>'4. Analyse'!$B$44</c:f>
              <c:strCache>
                <c:ptCount val="1"/>
                <c:pt idx="0">
                  <c:v>Afschrijving laadinfra &amp; netaansluiting</c:v>
                </c:pt>
              </c:strCache>
            </c:strRef>
          </c:tx>
          <c:spPr>
            <a:solidFill>
              <a:schemeClr val="accent2"/>
            </a:solidFill>
            <a:ln>
              <a:noFill/>
            </a:ln>
            <a:effectLst/>
          </c:spPr>
          <c:invertIfNegative val="0"/>
          <c:val>
            <c:numRef>
              <c:f>'4. Analyse'!$L$44:$M$44</c:f>
              <c:numCache>
                <c:formatCode>_("€"* #,##0.000_);_("€"* \(#,##0.000\);_("€"* "-"??_);_(@_)</c:formatCode>
                <c:ptCount val="2"/>
                <c:pt idx="0" formatCode="_(&quot;€&quot;* #,##0_);_(&quot;€&quot;* \(#,##0\);_(&quot;€&quot;* &quot;-&quot;??_);_(@_)">
                  <c:v>0</c:v>
                </c:pt>
                <c:pt idx="1">
                  <c:v>0</c:v>
                </c:pt>
              </c:numCache>
            </c:numRef>
          </c:val>
          <c:extLst>
            <c:ext xmlns:c16="http://schemas.microsoft.com/office/drawing/2014/chart" uri="{C3380CC4-5D6E-409C-BE32-E72D297353CC}">
              <c16:uniqueId val="{00000001-DCDA-FD44-813E-0B15CD31707D}"/>
            </c:ext>
          </c:extLst>
        </c:ser>
        <c:ser>
          <c:idx val="0"/>
          <c:order val="8"/>
          <c:tx>
            <c:strRef>
              <c:f>'4. Analyse'!$B$37</c:f>
              <c:strCache>
                <c:ptCount val="1"/>
                <c:pt idx="0">
                  <c:v>Afschrijving voertuigen</c:v>
                </c:pt>
              </c:strCache>
            </c:strRef>
          </c:tx>
          <c:spPr>
            <a:solidFill>
              <a:schemeClr val="accent1"/>
            </a:solidFill>
            <a:ln>
              <a:noFill/>
            </a:ln>
            <a:effectLst/>
          </c:spPr>
          <c:invertIfNegative val="0"/>
          <c:cat>
            <c:multiLvlStrRef>
              <c:f>'4. Analyse'!$F$67:$G$67</c:f>
            </c:multiLvlStrRef>
          </c:cat>
          <c:val>
            <c:numRef>
              <c:f>'4. Analyse'!$L$37:$M$37</c:f>
              <c:numCache>
                <c:formatCode>_("€"\ * #,##0.000_);_("€"\ * \(#,##0.000\);_("€"\ * "-"??_);_(@_)</c:formatCode>
                <c:ptCount val="2"/>
                <c:pt idx="0">
                  <c:v>0</c:v>
                </c:pt>
                <c:pt idx="1">
                  <c:v>0</c:v>
                </c:pt>
              </c:numCache>
            </c:numRef>
          </c:val>
          <c:extLst>
            <c:ext xmlns:c16="http://schemas.microsoft.com/office/drawing/2014/chart" uri="{C3380CC4-5D6E-409C-BE32-E72D297353CC}">
              <c16:uniqueId val="{00000000-DCDA-FD44-813E-0B15CD31707D}"/>
            </c:ext>
          </c:extLst>
        </c:ser>
        <c:dLbls>
          <c:showLegendKey val="0"/>
          <c:showVal val="0"/>
          <c:showCatName val="0"/>
          <c:showSerName val="0"/>
          <c:showPercent val="0"/>
          <c:showBubbleSize val="0"/>
        </c:dLbls>
        <c:gapWidth val="219"/>
        <c:overlap val="100"/>
        <c:axId val="1286446176"/>
        <c:axId val="1935188048"/>
      </c:barChart>
      <c:scatterChart>
        <c:scatterStyle val="lineMarker"/>
        <c:varyColors val="0"/>
        <c:ser>
          <c:idx val="9"/>
          <c:order val="9"/>
          <c:tx>
            <c:strRef>
              <c:f>'4. Analyse'!$B$68</c:f>
              <c:strCache>
                <c:ptCount val="1"/>
                <c:pt idx="0">
                  <c:v>Totale kosten voor looptijd excl. CO2 monetarisatie</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yVal>
            <c:numRef>
              <c:f>'4. Analyse'!$L$68:$M$68</c:f>
              <c:numCache>
                <c:formatCode>_("€"* #,##0.00_);_("€"* \(#,##0.00\);_("€"* "-"??_);_(@_)</c:formatCode>
                <c:ptCount val="2"/>
                <c:pt idx="0">
                  <c:v>0</c:v>
                </c:pt>
                <c:pt idx="1">
                  <c:v>0</c:v>
                </c:pt>
              </c:numCache>
            </c:numRef>
          </c:yVal>
          <c:smooth val="0"/>
          <c:extLst>
            <c:ext xmlns:c16="http://schemas.microsoft.com/office/drawing/2014/chart" uri="{C3380CC4-5D6E-409C-BE32-E72D297353CC}">
              <c16:uniqueId val="{00000009-DCDA-FD44-813E-0B15CD31707D}"/>
            </c:ext>
          </c:extLst>
        </c:ser>
        <c:dLbls>
          <c:showLegendKey val="0"/>
          <c:showVal val="0"/>
          <c:showCatName val="0"/>
          <c:showSerName val="0"/>
          <c:showPercent val="0"/>
          <c:showBubbleSize val="0"/>
        </c:dLbls>
        <c:axId val="1286446176"/>
        <c:axId val="1935188048"/>
      </c:scatterChart>
      <c:catAx>
        <c:axId val="128644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35188048"/>
        <c:crosses val="autoZero"/>
        <c:auto val="1"/>
        <c:lblAlgn val="ctr"/>
        <c:lblOffset val="100"/>
        <c:noMultiLvlLbl val="0"/>
      </c:catAx>
      <c:valAx>
        <c:axId val="1935188048"/>
        <c:scaling>
          <c:orientation val="minMax"/>
        </c:scaling>
        <c:delete val="1"/>
        <c:axPos val="l"/>
        <c:majorGridlines>
          <c:spPr>
            <a:ln w="9525" cap="flat" cmpd="sng" algn="ctr">
              <a:solidFill>
                <a:schemeClr val="tx1">
                  <a:lumMod val="15000"/>
                  <a:lumOff val="85000"/>
                </a:schemeClr>
              </a:solidFill>
              <a:round/>
            </a:ln>
            <a:effectLst/>
          </c:spPr>
        </c:majorGridlines>
        <c:numFmt formatCode="[$€-413]\ #,##0.00" sourceLinked="0"/>
        <c:majorTickMark val="none"/>
        <c:minorTickMark val="none"/>
        <c:tickLblPos val="nextTo"/>
        <c:crossAx val="1286446176"/>
        <c:crosses val="autoZero"/>
        <c:crossBetween val="between"/>
      </c:valAx>
      <c:spPr>
        <a:noFill/>
        <a:ln>
          <a:noFill/>
        </a:ln>
        <a:effectLst/>
      </c:spPr>
    </c:plotArea>
    <c:legend>
      <c:legendPos val="r"/>
      <c:layout>
        <c:manualLayout>
          <c:xMode val="edge"/>
          <c:yMode val="edge"/>
          <c:x val="0"/>
          <c:y val="4.451838912541202E-2"/>
          <c:w val="1"/>
          <c:h val="0.86192663857158702"/>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595217264508604"/>
          <c:y val="0.12003236245954693"/>
          <c:w val="5.5846569178852647E-2"/>
          <c:h val="7.9174037320677376E-2"/>
        </c:manualLayout>
      </c:layout>
      <c:barChart>
        <c:barDir val="col"/>
        <c:grouping val="stacked"/>
        <c:varyColors val="0"/>
        <c:ser>
          <c:idx val="7"/>
          <c:order val="0"/>
          <c:tx>
            <c:strRef>
              <c:f>'4. Analyse'!$B$30</c:f>
              <c:strCache>
                <c:ptCount val="1"/>
                <c:pt idx="0">
                  <c:v>Netto prijs voertuigen</c:v>
                </c:pt>
              </c:strCache>
            </c:strRef>
          </c:tx>
          <c:spPr>
            <a:solidFill>
              <a:srgbClr val="4472C4"/>
            </a:solidFill>
            <a:ln>
              <a:noFill/>
            </a:ln>
            <a:effectLst/>
          </c:spPr>
          <c:invertIfNegative val="0"/>
          <c:val>
            <c:numRef>
              <c:f>'4. Analyse'!$C$30:$D$30</c:f>
              <c:numCache>
                <c:formatCode>_("€"\ * #,##0_);_("€"\ * \(#,##0\);_("€"\ * "-"??_);_(@_)</c:formatCode>
                <c:ptCount val="2"/>
                <c:pt idx="0">
                  <c:v>0</c:v>
                </c:pt>
                <c:pt idx="1">
                  <c:v>0</c:v>
                </c:pt>
              </c:numCache>
            </c:numRef>
          </c:val>
          <c:extLst>
            <c:ext xmlns:c16="http://schemas.microsoft.com/office/drawing/2014/chart" uri="{C3380CC4-5D6E-409C-BE32-E72D297353CC}">
              <c16:uniqueId val="{00000000-6902-F547-A8FD-24A4A1EE1E77}"/>
            </c:ext>
          </c:extLst>
        </c:ser>
        <c:ser>
          <c:idx val="8"/>
          <c:order val="1"/>
          <c:tx>
            <c:strRef>
              <c:f>'4. Analyse'!$B$32</c:f>
              <c:strCache>
                <c:ptCount val="1"/>
                <c:pt idx="0">
                  <c:v>BPM</c:v>
                </c:pt>
              </c:strCache>
            </c:strRef>
          </c:tx>
          <c:spPr>
            <a:solidFill>
              <a:srgbClr val="C5E0B4"/>
            </a:solidFill>
            <a:ln>
              <a:noFill/>
            </a:ln>
            <a:effectLst/>
          </c:spPr>
          <c:invertIfNegative val="0"/>
          <c:val>
            <c:numRef>
              <c:f>'4. Analyse'!$C$32:$D$32</c:f>
              <c:numCache>
                <c:formatCode>_("€"\ * #,##0_);_("€"\ * \(#,##0\);_("€"\ * "-"??_);_(@_)</c:formatCode>
                <c:ptCount val="2"/>
                <c:pt idx="0">
                  <c:v>0</c:v>
                </c:pt>
                <c:pt idx="1">
                  <c:v>0</c:v>
                </c:pt>
              </c:numCache>
            </c:numRef>
          </c:val>
          <c:extLst>
            <c:ext xmlns:c16="http://schemas.microsoft.com/office/drawing/2014/chart" uri="{C3380CC4-5D6E-409C-BE32-E72D297353CC}">
              <c16:uniqueId val="{00000001-6902-F547-A8FD-24A4A1EE1E77}"/>
            </c:ext>
          </c:extLst>
        </c:ser>
        <c:ser>
          <c:idx val="9"/>
          <c:order val="2"/>
          <c:tx>
            <c:strRef>
              <c:f>'4. Analyse'!$B$31</c:f>
              <c:strCache>
                <c:ptCount val="1"/>
                <c:pt idx="0">
                  <c:v>BTW voertuigen</c:v>
                </c:pt>
              </c:strCache>
            </c:strRef>
          </c:tx>
          <c:spPr>
            <a:solidFill>
              <a:srgbClr val="767171"/>
            </a:solidFill>
            <a:ln>
              <a:noFill/>
            </a:ln>
            <a:effectLst/>
          </c:spPr>
          <c:invertIfNegative val="0"/>
          <c:val>
            <c:numRef>
              <c:f>'4. Analyse'!$C$31:$D$31</c:f>
              <c:numCache>
                <c:formatCode>_("€"* #,##0_);_("€"* \(#,##0\);_("€"* "-"??_);_(@_)</c:formatCode>
                <c:ptCount val="2"/>
                <c:pt idx="0">
                  <c:v>0</c:v>
                </c:pt>
                <c:pt idx="1">
                  <c:v>0</c:v>
                </c:pt>
              </c:numCache>
            </c:numRef>
          </c:val>
          <c:extLst>
            <c:ext xmlns:c16="http://schemas.microsoft.com/office/drawing/2014/chart" uri="{C3380CC4-5D6E-409C-BE32-E72D297353CC}">
              <c16:uniqueId val="{00000002-6902-F547-A8FD-24A4A1EE1E77}"/>
            </c:ext>
          </c:extLst>
        </c:ser>
        <c:ser>
          <c:idx val="4"/>
          <c:order val="3"/>
          <c:tx>
            <c:strRef>
              <c:f>'4. Analyse'!$B$34</c:f>
              <c:strCache>
                <c:ptCount val="1"/>
                <c:pt idx="0">
                  <c:v>Financieringskosten voertuigen</c:v>
                </c:pt>
              </c:strCache>
            </c:strRef>
          </c:tx>
          <c:spPr>
            <a:solidFill>
              <a:srgbClr val="DFECF8"/>
            </a:solidFill>
            <a:ln>
              <a:noFill/>
            </a:ln>
            <a:effectLst/>
          </c:spPr>
          <c:invertIfNegative val="0"/>
          <c:val>
            <c:numRef>
              <c:f>'4. Analyse'!#REF!</c:f>
              <c:numCache>
                <c:formatCode>General</c:formatCode>
                <c:ptCount val="1"/>
                <c:pt idx="0">
                  <c:v>1</c:v>
                </c:pt>
              </c:numCache>
            </c:numRef>
          </c:val>
          <c:extLst>
            <c:ext xmlns:c16="http://schemas.microsoft.com/office/drawing/2014/chart" uri="{C3380CC4-5D6E-409C-BE32-E72D297353CC}">
              <c16:uniqueId val="{00000003-525A-1948-BA19-58FD91810D8F}"/>
            </c:ext>
          </c:extLst>
        </c:ser>
        <c:ser>
          <c:idx val="3"/>
          <c:order val="4"/>
          <c:tx>
            <c:strRef>
              <c:f>'4. Analyse'!$B$40</c:f>
              <c:strCache>
                <c:ptCount val="1"/>
                <c:pt idx="0">
                  <c:v>Laadinfra en netaansluiting excl. BTW</c:v>
                </c:pt>
              </c:strCache>
            </c:strRef>
          </c:tx>
          <c:spPr>
            <a:solidFill>
              <a:srgbClr val="ED7D31"/>
            </a:solidFill>
            <a:ln>
              <a:noFill/>
            </a:ln>
            <a:effectLst/>
          </c:spPr>
          <c:invertIfNegative val="0"/>
          <c:val>
            <c:numRef>
              <c:f>'4. Analyse'!$L$40:$M$40</c:f>
              <c:numCache>
                <c:formatCode>_("€"\ * #,##0.000_);_("€"\ * \(#,##0.000\);_("€"\ * "-"??_);_(@_)</c:formatCode>
                <c:ptCount val="2"/>
                <c:pt idx="0" formatCode="_(&quot;€&quot;* #,##0.00_);_(&quot;€&quot;* \(#,##0.00\);_(&quot;€&quot;* &quot;-&quot;??_);_(@_)">
                  <c:v>0</c:v>
                </c:pt>
                <c:pt idx="1">
                  <c:v>0</c:v>
                </c:pt>
              </c:numCache>
            </c:numRef>
          </c:val>
          <c:extLst>
            <c:ext xmlns:c16="http://schemas.microsoft.com/office/drawing/2014/chart" uri="{C3380CC4-5D6E-409C-BE32-E72D297353CC}">
              <c16:uniqueId val="{00000000-8506-9F41-96DE-A04AB18A7CE8}"/>
            </c:ext>
          </c:extLst>
        </c:ser>
        <c:ser>
          <c:idx val="5"/>
          <c:order val="5"/>
          <c:tx>
            <c:strRef>
              <c:f>'4. Analyse'!$B$41</c:f>
              <c:strCache>
                <c:ptCount val="1"/>
                <c:pt idx="0">
                  <c:v>BTW laadinfra &amp; net</c:v>
                </c:pt>
              </c:strCache>
            </c:strRef>
          </c:tx>
          <c:spPr>
            <a:solidFill>
              <a:srgbClr val="DBDBDB"/>
            </a:solidFill>
            <a:ln>
              <a:noFill/>
            </a:ln>
            <a:effectLst/>
          </c:spPr>
          <c:invertIfNegative val="0"/>
          <c:val>
            <c:numRef>
              <c:f>'4. Analyse'!$L$41:$M$41</c:f>
              <c:numCache>
                <c:formatCode>_("€"\ * #,##0.000_);_("€"\ * \(#,##0.000\);_("€"\ * "-"??_);_(@_)</c:formatCode>
                <c:ptCount val="2"/>
                <c:pt idx="0" formatCode="_(&quot;€&quot;* #,##0.00_);_(&quot;€&quot;* \(#,##0.00\);_(&quot;€&quot;* &quot;-&quot;??_);_(@_)">
                  <c:v>0</c:v>
                </c:pt>
                <c:pt idx="1">
                  <c:v>0</c:v>
                </c:pt>
              </c:numCache>
            </c:numRef>
          </c:val>
          <c:extLst>
            <c:ext xmlns:c16="http://schemas.microsoft.com/office/drawing/2014/chart" uri="{C3380CC4-5D6E-409C-BE32-E72D297353CC}">
              <c16:uniqueId val="{00000001-8506-9F41-96DE-A04AB18A7CE8}"/>
            </c:ext>
          </c:extLst>
        </c:ser>
        <c:ser>
          <c:idx val="0"/>
          <c:order val="6"/>
          <c:tx>
            <c:strRef>
              <c:f>'4. Analyse'!$B$30</c:f>
              <c:strCache>
                <c:ptCount val="1"/>
                <c:pt idx="0">
                  <c:v>Netto prijs voertuigen</c:v>
                </c:pt>
              </c:strCache>
            </c:strRef>
          </c:tx>
          <c:spPr>
            <a:solidFill>
              <a:schemeClr val="accent1"/>
            </a:solidFill>
            <a:ln>
              <a:noFill/>
            </a:ln>
            <a:effectLst/>
          </c:spPr>
          <c:invertIfNegative val="0"/>
          <c:cat>
            <c:multiLvlStrRef>
              <c:f>'4. Analyse'!$F$28:$G$28</c:f>
            </c:multiLvlStrRef>
          </c:cat>
          <c:val>
            <c:numRef>
              <c:f>'4. Analyse'!$F$30:$G$30</c:f>
            </c:numRef>
          </c:val>
          <c:extLst>
            <c:ext xmlns:c16="http://schemas.microsoft.com/office/drawing/2014/chart" uri="{C3380CC4-5D6E-409C-BE32-E72D297353CC}">
              <c16:uniqueId val="{00000000-525A-1948-BA19-58FD91810D8F}"/>
            </c:ext>
          </c:extLst>
        </c:ser>
        <c:ser>
          <c:idx val="2"/>
          <c:order val="7"/>
          <c:tx>
            <c:strRef>
              <c:f>'4. Analyse'!$B$32</c:f>
              <c:strCache>
                <c:ptCount val="1"/>
                <c:pt idx="0">
                  <c:v>BPM</c:v>
                </c:pt>
              </c:strCache>
            </c:strRef>
          </c:tx>
          <c:spPr>
            <a:solidFill>
              <a:schemeClr val="accent5"/>
            </a:solidFill>
            <a:ln>
              <a:noFill/>
            </a:ln>
            <a:effectLst/>
          </c:spPr>
          <c:invertIfNegative val="0"/>
          <c:cat>
            <c:multiLvlStrRef>
              <c:f>'4. Analyse'!$F$28:$G$28</c:f>
            </c:multiLvlStrRef>
          </c:cat>
          <c:val>
            <c:numRef>
              <c:f>'4. Analyse'!$F$32:$G$32</c:f>
            </c:numRef>
          </c:val>
          <c:extLst>
            <c:ext xmlns:c16="http://schemas.microsoft.com/office/drawing/2014/chart" uri="{C3380CC4-5D6E-409C-BE32-E72D297353CC}">
              <c16:uniqueId val="{00000001-525A-1948-BA19-58FD91810D8F}"/>
            </c:ext>
          </c:extLst>
        </c:ser>
        <c:ser>
          <c:idx val="1"/>
          <c:order val="8"/>
          <c:tx>
            <c:strRef>
              <c:f>'4. Analyse'!$B$31</c:f>
              <c:strCache>
                <c:ptCount val="1"/>
                <c:pt idx="0">
                  <c:v>BTW voertuigen</c:v>
                </c:pt>
              </c:strCache>
            </c:strRef>
          </c:tx>
          <c:spPr>
            <a:solidFill>
              <a:schemeClr val="accent3"/>
            </a:solidFill>
            <a:ln>
              <a:noFill/>
            </a:ln>
            <a:effectLst/>
          </c:spPr>
          <c:invertIfNegative val="0"/>
          <c:cat>
            <c:multiLvlStrRef>
              <c:f>'4. Analyse'!$F$28:$G$28</c:f>
            </c:multiLvlStrRef>
          </c:cat>
          <c:val>
            <c:numRef>
              <c:f>'4. Analyse'!$F$31:$G$31</c:f>
            </c:numRef>
          </c:val>
          <c:extLst>
            <c:ext xmlns:c16="http://schemas.microsoft.com/office/drawing/2014/chart" uri="{C3380CC4-5D6E-409C-BE32-E72D297353CC}">
              <c16:uniqueId val="{00000002-525A-1948-BA19-58FD91810D8F}"/>
            </c:ext>
          </c:extLst>
        </c:ser>
        <c:ser>
          <c:idx val="6"/>
          <c:order val="9"/>
          <c:tx>
            <c:strRef>
              <c:f>'4. Analyse'!$B$42</c:f>
              <c:strCache>
                <c:ptCount val="1"/>
                <c:pt idx="0">
                  <c:v>Financieringskosten laadinfra &amp; net</c:v>
                </c:pt>
              </c:strCache>
            </c:strRef>
          </c:tx>
          <c:spPr>
            <a:solidFill>
              <a:schemeClr val="accent2">
                <a:lumMod val="40000"/>
                <a:lumOff val="60000"/>
              </a:schemeClr>
            </a:solidFill>
            <a:ln>
              <a:noFill/>
            </a:ln>
            <a:effectLst/>
          </c:spPr>
          <c:invertIfNegative val="0"/>
          <c:val>
            <c:numRef>
              <c:f>'4. Analyse'!$L$42:$M$42</c:f>
              <c:numCache>
                <c:formatCode>_("€"* #,##0.000_);_("€"* \(#,##0.000\);_("€"* "-"??_);_(@_)</c:formatCode>
                <c:ptCount val="2"/>
                <c:pt idx="0" formatCode="_(&quot;€&quot;* #,##0_);_(&quot;€&quot;* \(#,##0\);_(&quot;€&quot;* &quot;-&quot;??_);_(@_)">
                  <c:v>0</c:v>
                </c:pt>
                <c:pt idx="1">
                  <c:v>0</c:v>
                </c:pt>
              </c:numCache>
            </c:numRef>
          </c:val>
          <c:extLst>
            <c:ext xmlns:c16="http://schemas.microsoft.com/office/drawing/2014/chart" uri="{C3380CC4-5D6E-409C-BE32-E72D297353CC}">
              <c16:uniqueId val="{00000002-8506-9F41-96DE-A04AB18A7CE8}"/>
            </c:ext>
          </c:extLst>
        </c:ser>
        <c:dLbls>
          <c:showLegendKey val="0"/>
          <c:showVal val="0"/>
          <c:showCatName val="0"/>
          <c:showSerName val="0"/>
          <c:showPercent val="0"/>
          <c:showBubbleSize val="0"/>
        </c:dLbls>
        <c:gapWidth val="7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legend>
      <c:legendPos val="b"/>
      <c:legendEntry>
        <c:idx val="3"/>
        <c:txPr>
          <a:bodyPr rot="0" spcFirstLastPara="1" vertOverflow="ellipsis" vert="horz" wrap="square" anchor="ctr" anchorCtr="1"/>
          <a:lstStyle/>
          <a:p>
            <a:pPr>
              <a:defRPr sz="1100" b="0" i="0" u="none" strike="noStrike" kern="1200" baseline="0">
                <a:solidFill>
                  <a:schemeClr val="bg2">
                    <a:lumMod val="50000"/>
                  </a:schemeClr>
                </a:solidFill>
                <a:latin typeface="+mn-lt"/>
                <a:ea typeface="+mn-ea"/>
                <a:cs typeface="+mn-cs"/>
              </a:defRPr>
            </a:pPr>
            <a:endParaRPr lang="nl-NL"/>
          </a:p>
        </c:txPr>
      </c:legendEntry>
      <c:layout>
        <c:manualLayout>
          <c:xMode val="edge"/>
          <c:yMode val="edge"/>
          <c:x val="2.3575296332548168E-3"/>
          <c:y val="0"/>
          <c:w val="0.99764249480634004"/>
          <c:h val="1"/>
        </c:manualLayout>
      </c:layout>
      <c:overlay val="0"/>
      <c:spPr>
        <a:solidFill>
          <a:sysClr val="window" lastClr="FFFFFF"/>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82234084244247"/>
          <c:y val="0.12702054794520548"/>
          <c:w val="0.11317171631094639"/>
          <c:h val="1.3797094002172883E-2"/>
        </c:manualLayout>
      </c:layout>
      <c:barChart>
        <c:barDir val="col"/>
        <c:grouping val="stacked"/>
        <c:varyColors val="0"/>
        <c:ser>
          <c:idx val="3"/>
          <c:order val="0"/>
          <c:tx>
            <c:strRef>
              <c:f>'4. Analyse'!$B$53</c:f>
              <c:strCache>
                <c:ptCount val="1"/>
                <c:pt idx="0">
                  <c:v>Meerkosten chauffeur</c:v>
                </c:pt>
              </c:strCache>
            </c:strRef>
          </c:tx>
          <c:spPr>
            <a:pattFill prst="wdUpDiag">
              <a:fgClr>
                <a:srgbClr val="C00000"/>
              </a:fgClr>
              <a:bgClr>
                <a:schemeClr val="bg1"/>
              </a:bgClr>
            </a:pattFill>
            <a:ln>
              <a:noFill/>
            </a:ln>
            <a:effectLst/>
          </c:spPr>
          <c:invertIfNegative val="0"/>
          <c:val>
            <c:numRef>
              <c:f>'4. Analyse'!$L$53:$M$53</c:f>
              <c:numCache>
                <c:formatCode>_("€"\ * #,##0.000_);_("€"\ * \(#,##0.000\);_("€"\ * "-"??_);_(@_)</c:formatCode>
                <c:ptCount val="2"/>
                <c:pt idx="0">
                  <c:v>0</c:v>
                </c:pt>
                <c:pt idx="1">
                  <c:v>0</c:v>
                </c:pt>
              </c:numCache>
            </c:numRef>
          </c:val>
          <c:extLst>
            <c:ext xmlns:c16="http://schemas.microsoft.com/office/drawing/2014/chart" uri="{C3380CC4-5D6E-409C-BE32-E72D297353CC}">
              <c16:uniqueId val="{00000005-A797-C149-B777-5EC0CD9894E8}"/>
            </c:ext>
          </c:extLst>
        </c:ser>
        <c:ser>
          <c:idx val="6"/>
          <c:order val="1"/>
          <c:tx>
            <c:strRef>
              <c:f>'4. Analyse'!$B$57</c:f>
              <c:strCache>
                <c:ptCount val="1"/>
                <c:pt idx="0">
                  <c:v>B&amp;O en periodieke kosten laadinfra &amp; net</c:v>
                </c:pt>
              </c:strCache>
            </c:strRef>
          </c:tx>
          <c:spPr>
            <a:solidFill>
              <a:srgbClr val="FFC000"/>
            </a:solidFill>
            <a:ln>
              <a:noFill/>
            </a:ln>
            <a:effectLst/>
          </c:spPr>
          <c:invertIfNegative val="0"/>
          <c:val>
            <c:numRef>
              <c:f>'4. Analyse'!$L$57:$M$57</c:f>
              <c:numCache>
                <c:formatCode>_("€"\ * #,##0.000_);_("€"\ * \(#,##0.000\);_("€"\ * "-"??_);_(@_)</c:formatCode>
                <c:ptCount val="2"/>
                <c:pt idx="0">
                  <c:v>0</c:v>
                </c:pt>
                <c:pt idx="1">
                  <c:v>0</c:v>
                </c:pt>
              </c:numCache>
            </c:numRef>
          </c:val>
          <c:extLst>
            <c:ext xmlns:c16="http://schemas.microsoft.com/office/drawing/2014/chart" uri="{C3380CC4-5D6E-409C-BE32-E72D297353CC}">
              <c16:uniqueId val="{00000006-A797-C149-B777-5EC0CD9894E8}"/>
            </c:ext>
          </c:extLst>
        </c:ser>
        <c:ser>
          <c:idx val="1"/>
          <c:order val="2"/>
          <c:tx>
            <c:strRef>
              <c:f>'4. Analyse'!$B$49</c:f>
              <c:strCache>
                <c:ptCount val="1"/>
                <c:pt idx="0">
                  <c:v>MRB</c:v>
                </c:pt>
              </c:strCache>
            </c:strRef>
          </c:tx>
          <c:spPr>
            <a:solidFill>
              <a:srgbClr val="375623"/>
            </a:solidFill>
            <a:ln>
              <a:noFill/>
            </a:ln>
            <a:effectLst/>
          </c:spPr>
          <c:invertIfNegative val="0"/>
          <c:cat>
            <c:multiLvlStrRef>
              <c:f>'4. Analyse'!$F$46:$G$46</c:f>
            </c:multiLvlStrRef>
          </c:cat>
          <c:val>
            <c:numRef>
              <c:f>'4. Analyse'!$L$49:$M$49</c:f>
              <c:numCache>
                <c:formatCode>_("€"\ * #,##0.000_);_("€"\ * \(#,##0.000\);_("€"\ * "-"??_);_(@_)</c:formatCode>
                <c:ptCount val="2"/>
                <c:pt idx="0">
                  <c:v>0</c:v>
                </c:pt>
                <c:pt idx="1">
                  <c:v>0</c:v>
                </c:pt>
              </c:numCache>
            </c:numRef>
          </c:val>
          <c:extLst>
            <c:ext xmlns:c16="http://schemas.microsoft.com/office/drawing/2014/chart" uri="{C3380CC4-5D6E-409C-BE32-E72D297353CC}">
              <c16:uniqueId val="{00000004-A797-C149-B777-5EC0CD9894E8}"/>
            </c:ext>
          </c:extLst>
        </c:ser>
        <c:ser>
          <c:idx val="5"/>
          <c:order val="3"/>
          <c:tx>
            <c:strRef>
              <c:f>'4. Analyse'!$B$51</c:f>
              <c:strCache>
                <c:ptCount val="1"/>
                <c:pt idx="0">
                  <c:v>Schade</c:v>
                </c:pt>
              </c:strCache>
            </c:strRef>
          </c:tx>
          <c:spPr>
            <a:solidFill>
              <a:srgbClr val="70AD46"/>
            </a:solidFill>
            <a:ln>
              <a:noFill/>
            </a:ln>
            <a:effectLst/>
          </c:spPr>
          <c:invertIfNegative val="0"/>
          <c:val>
            <c:numRef>
              <c:f>'4. Analyse'!$L$51:$M$51</c:f>
              <c:numCache>
                <c:formatCode>_("€"\ * #,##0.000_);_("€"\ * \(#,##0.000\);_("€"\ * "-"??_);_(@_)</c:formatCode>
                <c:ptCount val="2"/>
                <c:pt idx="0">
                  <c:v>0</c:v>
                </c:pt>
                <c:pt idx="1">
                  <c:v>0</c:v>
                </c:pt>
              </c:numCache>
            </c:numRef>
          </c:val>
          <c:extLst>
            <c:ext xmlns:c16="http://schemas.microsoft.com/office/drawing/2014/chart" uri="{C3380CC4-5D6E-409C-BE32-E72D297353CC}">
              <c16:uniqueId val="{00000002-A797-C149-B777-5EC0CD9894E8}"/>
            </c:ext>
          </c:extLst>
        </c:ser>
        <c:ser>
          <c:idx val="0"/>
          <c:order val="4"/>
          <c:tx>
            <c:strRef>
              <c:f>'4. Analyse'!$B$48</c:f>
              <c:strCache>
                <c:ptCount val="1"/>
                <c:pt idx="0">
                  <c:v>Verzekeringskosten</c:v>
                </c:pt>
              </c:strCache>
            </c:strRef>
          </c:tx>
          <c:spPr>
            <a:solidFill>
              <a:srgbClr val="FFE699"/>
            </a:solidFill>
            <a:ln>
              <a:noFill/>
            </a:ln>
            <a:effectLst/>
          </c:spPr>
          <c:invertIfNegative val="0"/>
          <c:cat>
            <c:multiLvlStrRef>
              <c:f>'4. Analyse'!$F$46:$G$46</c:f>
            </c:multiLvlStrRef>
          </c:cat>
          <c:val>
            <c:numRef>
              <c:f>'4. Analyse'!$L$48:$M$48</c:f>
              <c:numCache>
                <c:formatCode>_("€"\ * #,##0.000_);_("€"\ * \(#,##0.000\);_("€"\ * "-"??_);_(@_)</c:formatCode>
                <c:ptCount val="2"/>
                <c:pt idx="0">
                  <c:v>0</c:v>
                </c:pt>
                <c:pt idx="1">
                  <c:v>0</c:v>
                </c:pt>
              </c:numCache>
            </c:numRef>
          </c:val>
          <c:extLst>
            <c:ext xmlns:c16="http://schemas.microsoft.com/office/drawing/2014/chart" uri="{C3380CC4-5D6E-409C-BE32-E72D297353CC}">
              <c16:uniqueId val="{00000001-A797-C149-B777-5EC0CD9894E8}"/>
            </c:ext>
          </c:extLst>
        </c:ser>
        <c:ser>
          <c:idx val="2"/>
          <c:order val="5"/>
          <c:tx>
            <c:strRef>
              <c:f>'4. Analyse'!$B$50</c:f>
              <c:strCache>
                <c:ptCount val="1"/>
                <c:pt idx="0">
                  <c:v>Onderhoudskosten (ROB)</c:v>
                </c:pt>
              </c:strCache>
            </c:strRef>
          </c:tx>
          <c:spPr>
            <a:solidFill>
              <a:srgbClr val="5B9BD5"/>
            </a:solidFill>
            <a:ln>
              <a:noFill/>
            </a:ln>
            <a:effectLst/>
          </c:spPr>
          <c:invertIfNegative val="0"/>
          <c:cat>
            <c:multiLvlStrRef>
              <c:f>'4. Analyse'!$F$46:$G$46</c:f>
            </c:multiLvlStrRef>
          </c:cat>
          <c:val>
            <c:numRef>
              <c:f>'4. Analyse'!$L$50:$M$50</c:f>
              <c:numCache>
                <c:formatCode>_("€"\ * #,##0.000_);_("€"\ * \(#,##0.000\);_("€"\ * "-"??_);_(@_)</c:formatCode>
                <c:ptCount val="2"/>
                <c:pt idx="0">
                  <c:v>0</c:v>
                </c:pt>
                <c:pt idx="1">
                  <c:v>0</c:v>
                </c:pt>
              </c:numCache>
            </c:numRef>
          </c:val>
          <c:extLst>
            <c:ext xmlns:c16="http://schemas.microsoft.com/office/drawing/2014/chart" uri="{C3380CC4-5D6E-409C-BE32-E72D297353CC}">
              <c16:uniqueId val="{00000003-A797-C149-B777-5EC0CD9894E8}"/>
            </c:ext>
          </c:extLst>
        </c:ser>
        <c:ser>
          <c:idx val="4"/>
          <c:order val="6"/>
          <c:tx>
            <c:strRef>
              <c:f>'4. Analyse'!$B$52</c:f>
              <c:strCache>
                <c:ptCount val="1"/>
                <c:pt idx="0">
                  <c:v>Brandstofkosten</c:v>
                </c:pt>
              </c:strCache>
            </c:strRef>
          </c:tx>
          <c:spPr>
            <a:solidFill>
              <a:srgbClr val="C00000"/>
            </a:solidFill>
            <a:ln>
              <a:noFill/>
            </a:ln>
            <a:effectLst/>
          </c:spPr>
          <c:invertIfNegative val="0"/>
          <c:val>
            <c:numRef>
              <c:f>'4. Analyse'!$L$52:$M$52</c:f>
              <c:numCache>
                <c:formatCode>_("€"\ * #,##0.000_);_("€"\ * \(#,##0.000\);_("€"\ * "-"??_);_(@_)</c:formatCode>
                <c:ptCount val="2"/>
                <c:pt idx="0">
                  <c:v>0</c:v>
                </c:pt>
                <c:pt idx="1">
                  <c:v>0</c:v>
                </c:pt>
              </c:numCache>
            </c:numRef>
          </c:val>
          <c:extLst>
            <c:ext xmlns:c16="http://schemas.microsoft.com/office/drawing/2014/chart" uri="{C3380CC4-5D6E-409C-BE32-E72D297353CC}">
              <c16:uniqueId val="{00000000-A797-C149-B777-5EC0CD9894E8}"/>
            </c:ext>
          </c:extLst>
        </c:ser>
        <c:dLbls>
          <c:showLegendKey val="0"/>
          <c:showVal val="0"/>
          <c:showCatName val="0"/>
          <c:showSerName val="0"/>
          <c:showPercent val="0"/>
          <c:showBubbleSize val="0"/>
        </c:dLbls>
        <c:gapWidth val="7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legend>
      <c:legendPos val="r"/>
      <c:layout>
        <c:manualLayout>
          <c:xMode val="edge"/>
          <c:yMode val="edge"/>
          <c:x val="0"/>
          <c:y val="0"/>
          <c:w val="0.98784205489956578"/>
          <c:h val="1"/>
        </c:manualLayout>
      </c:layout>
      <c:overlay val="0"/>
      <c:spPr>
        <a:solidFill>
          <a:schemeClr val="bg1"/>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Restwaarde</a:t>
            </a:r>
            <a:r>
              <a:rPr lang="nl-NL" baseline="0"/>
              <a:t> grafiek</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0"/>
            <c:dispEq val="1"/>
            <c:trendlineLbl>
              <c:layout>
                <c:manualLayout>
                  <c:x val="-7.6328329450173107E-2"/>
                  <c:y val="-0.3063202853856624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trendlineLbl>
          </c:trendline>
          <c:xVal>
            <c:numRef>
              <c:f>Parameters!$A$147:$A$156</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Parameters!$B$147:$B$156</c:f>
              <c:numCache>
                <c:formatCode>0%</c:formatCode>
                <c:ptCount val="10"/>
                <c:pt idx="0">
                  <c:v>0.8</c:v>
                </c:pt>
                <c:pt idx="1">
                  <c:v>0.52452080568625881</c:v>
                </c:pt>
                <c:pt idx="2">
                  <c:v>0.40975394437291829</c:v>
                </c:pt>
                <c:pt idx="3">
                  <c:v>0.34390259449720262</c:v>
                </c:pt>
                <c:pt idx="4">
                  <c:v>0.3</c:v>
                </c:pt>
                <c:pt idx="5">
                  <c:v>0.26865558629450698</c:v>
                </c:pt>
                <c:pt idx="6">
                  <c:v>0.24458244413244112</c:v>
                </c:pt>
                <c:pt idx="7">
                  <c:v>0.22548008242908435</c:v>
                </c:pt>
                <c:pt idx="8">
                  <c:v>0.20987286866145577</c:v>
                </c:pt>
                <c:pt idx="9">
                  <c:v>0.19682940833181017</c:v>
                </c:pt>
              </c:numCache>
            </c:numRef>
          </c:yVal>
          <c:smooth val="0"/>
          <c:extLst>
            <c:ext xmlns:c16="http://schemas.microsoft.com/office/drawing/2014/chart" uri="{C3380CC4-5D6E-409C-BE32-E72D297353CC}">
              <c16:uniqueId val="{00000000-28C4-4F48-A676-6CC1FF50512E}"/>
            </c:ext>
          </c:extLst>
        </c:ser>
        <c:dLbls>
          <c:showLegendKey val="0"/>
          <c:showVal val="0"/>
          <c:showCatName val="0"/>
          <c:showSerName val="0"/>
          <c:showPercent val="0"/>
          <c:showBubbleSize val="0"/>
        </c:dLbls>
        <c:axId val="1742767199"/>
        <c:axId val="1694643407"/>
      </c:scatterChart>
      <c:valAx>
        <c:axId val="174276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94643407"/>
        <c:crosses val="autoZero"/>
        <c:crossBetween val="midCat"/>
      </c:valAx>
      <c:valAx>
        <c:axId val="16946434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74276719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Restwaarde</a:t>
            </a:r>
            <a:r>
              <a:rPr lang="nl-NL" baseline="0"/>
              <a:t> grafiek</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0"/>
            <c:dispEq val="1"/>
            <c:trendlineLbl>
              <c:layout>
                <c:manualLayout>
                  <c:x val="-7.6328329450173107E-2"/>
                  <c:y val="-0.3063202853856624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trendlineLbl>
          </c:trendline>
          <c:xVal>
            <c:numRef>
              <c:f>Parameters!$A$159:$A$168</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Parameters!$B$159:$B$168</c:f>
              <c:numCache>
                <c:formatCode>0%</c:formatCode>
                <c:ptCount val="10"/>
                <c:pt idx="0">
                  <c:v>0.74767439061061025</c:v>
                </c:pt>
                <c:pt idx="1">
                  <c:v>0.50000000000000011</c:v>
                </c:pt>
                <c:pt idx="2">
                  <c:v>0.33437015248821106</c:v>
                </c:pt>
                <c:pt idx="3">
                  <c:v>0.22360679774997899</c:v>
                </c:pt>
                <c:pt idx="4">
                  <c:v>0.14953487812212207</c:v>
                </c:pt>
                <c:pt idx="5">
                  <c:v>0.10000000000000003</c:v>
                </c:pt>
                <c:pt idx="6">
                  <c:v>6.6874030497642206E-2</c:v>
                </c:pt>
                <c:pt idx="7">
                  <c:v>4.4721359549995808E-2</c:v>
                </c:pt>
                <c:pt idx="8">
                  <c:v>2.9906975624424424E-2</c:v>
                </c:pt>
                <c:pt idx="9">
                  <c:v>2.0000000000000004E-2</c:v>
                </c:pt>
              </c:numCache>
            </c:numRef>
          </c:yVal>
          <c:smooth val="0"/>
          <c:extLst>
            <c:ext xmlns:c16="http://schemas.microsoft.com/office/drawing/2014/chart" uri="{C3380CC4-5D6E-409C-BE32-E72D297353CC}">
              <c16:uniqueId val="{00000001-8CDE-6641-8A50-1B9EF4385178}"/>
            </c:ext>
          </c:extLst>
        </c:ser>
        <c:dLbls>
          <c:showLegendKey val="0"/>
          <c:showVal val="0"/>
          <c:showCatName val="0"/>
          <c:showSerName val="0"/>
          <c:showPercent val="0"/>
          <c:showBubbleSize val="0"/>
        </c:dLbls>
        <c:axId val="1742767199"/>
        <c:axId val="1694643407"/>
      </c:scatterChart>
      <c:valAx>
        <c:axId val="174276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94643407"/>
        <c:crosses val="autoZero"/>
        <c:crossBetween val="midCat"/>
      </c:valAx>
      <c:valAx>
        <c:axId val="16946434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74276719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Restwaarde</a:t>
            </a:r>
            <a:r>
              <a:rPr lang="nl-NL" baseline="0"/>
              <a:t> grafiek</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wer"/>
            <c:dispRSqr val="0"/>
            <c:dispEq val="1"/>
            <c:trendlineLbl>
              <c:layout>
                <c:manualLayout>
                  <c:x val="-7.6328329450173107E-2"/>
                  <c:y val="-0.3063202853856624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trendlineLbl>
          </c:trendline>
          <c:xVal>
            <c:numRef>
              <c:f>Parameters!$A$171:$A$180</c:f>
              <c:numCache>
                <c:formatCode>General</c:formatCode>
                <c:ptCount val="10"/>
                <c:pt idx="0">
                  <c:v>1</c:v>
                </c:pt>
                <c:pt idx="1">
                  <c:v>2</c:v>
                </c:pt>
                <c:pt idx="2">
                  <c:v>3</c:v>
                </c:pt>
                <c:pt idx="3">
                  <c:v>4</c:v>
                </c:pt>
                <c:pt idx="4">
                  <c:v>5</c:v>
                </c:pt>
                <c:pt idx="5">
                  <c:v>6</c:v>
                </c:pt>
                <c:pt idx="6">
                  <c:v>7</c:v>
                </c:pt>
                <c:pt idx="7">
                  <c:v>8</c:v>
                </c:pt>
                <c:pt idx="8">
                  <c:v>9</c:v>
                </c:pt>
                <c:pt idx="9">
                  <c:v>10</c:v>
                </c:pt>
              </c:numCache>
            </c:numRef>
          </c:xVal>
          <c:yVal>
            <c:numRef>
              <c:f>Parameters!$B$171:$B$180</c:f>
              <c:numCache>
                <c:formatCode>0%</c:formatCode>
                <c:ptCount val="10"/>
                <c:pt idx="0">
                  <c:v>0.8772053214638601</c:v>
                </c:pt>
                <c:pt idx="1">
                  <c:v>0.51299278400300929</c:v>
                </c:pt>
                <c:pt idx="2">
                  <c:v>0.30000000000000004</c:v>
                </c:pt>
                <c:pt idx="3">
                  <c:v>0.17544106429277201</c:v>
                </c:pt>
                <c:pt idx="4">
                  <c:v>0.10259855680060186</c:v>
                </c:pt>
                <c:pt idx="5">
                  <c:v>0.06</c:v>
                </c:pt>
                <c:pt idx="6">
                  <c:v>3.5088212858554395E-2</c:v>
                </c:pt>
                <c:pt idx="7">
                  <c:v>2.0519711360120371E-2</c:v>
                </c:pt>
                <c:pt idx="8">
                  <c:v>1.1999999999999999E-2</c:v>
                </c:pt>
                <c:pt idx="9">
                  <c:v>7.017642571710881E-3</c:v>
                </c:pt>
              </c:numCache>
            </c:numRef>
          </c:yVal>
          <c:smooth val="0"/>
          <c:extLst>
            <c:ext xmlns:c16="http://schemas.microsoft.com/office/drawing/2014/chart" uri="{C3380CC4-5D6E-409C-BE32-E72D297353CC}">
              <c16:uniqueId val="{00000001-43D2-BF4A-8340-E464887ECE40}"/>
            </c:ext>
          </c:extLst>
        </c:ser>
        <c:dLbls>
          <c:showLegendKey val="0"/>
          <c:showVal val="0"/>
          <c:showCatName val="0"/>
          <c:showSerName val="0"/>
          <c:showPercent val="0"/>
          <c:showBubbleSize val="0"/>
        </c:dLbls>
        <c:axId val="1742767199"/>
        <c:axId val="1694643407"/>
      </c:scatterChart>
      <c:valAx>
        <c:axId val="174276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694643407"/>
        <c:crosses val="autoZero"/>
        <c:crossBetween val="midCat"/>
      </c:valAx>
      <c:valAx>
        <c:axId val="16946434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74276719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Per maand - gem. per voertuig</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stacked"/>
        <c:varyColors val="0"/>
        <c:ser>
          <c:idx val="3"/>
          <c:order val="0"/>
          <c:tx>
            <c:strRef>
              <c:f>'4. Analyse'!$B$60</c:f>
              <c:strCache>
                <c:ptCount val="1"/>
                <c:pt idx="0">
                  <c:v>Totale CO2 uitstoot (WTW) </c:v>
                </c:pt>
              </c:strCache>
            </c:strRef>
          </c:tx>
          <c:spPr>
            <a:solidFill>
              <a:schemeClr val="accent4"/>
            </a:solidFill>
            <a:ln>
              <a:noFill/>
            </a:ln>
            <a:effectLst/>
          </c:spPr>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1-11E6-A74E-88BE-392E6FF72D2B}"/>
              </c:ext>
            </c:extLst>
          </c:dPt>
          <c:dPt>
            <c:idx val="1"/>
            <c:invertIfNegative val="0"/>
            <c:bubble3D val="0"/>
            <c:spPr>
              <a:solidFill>
                <a:srgbClr val="548235"/>
              </a:solidFill>
              <a:ln>
                <a:noFill/>
              </a:ln>
              <a:effectLst/>
            </c:spPr>
            <c:extLst>
              <c:ext xmlns:c16="http://schemas.microsoft.com/office/drawing/2014/chart" uri="{C3380CC4-5D6E-409C-BE32-E72D297353CC}">
                <c16:uniqueId val="{00000003-11E6-A74E-88BE-392E6FF72D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 Analyse'!$F$59:$G$59</c:f>
            </c:multiLvlStrRef>
          </c:cat>
          <c:val>
            <c:numRef>
              <c:f>'4. Analyse'!$I$60:$J$60</c:f>
              <c:numCache>
                <c:formatCode>_(* #,##0.0_);_(* \(#,##0.0\);_(* "-"??_);_(@_)</c:formatCode>
                <c:ptCount val="2"/>
                <c:pt idx="0">
                  <c:v>0</c:v>
                </c:pt>
                <c:pt idx="1">
                  <c:v>0</c:v>
                </c:pt>
              </c:numCache>
            </c:numRef>
          </c:val>
          <c:extLst>
            <c:ext xmlns:c16="http://schemas.microsoft.com/office/drawing/2014/chart" uri="{C3380CC4-5D6E-409C-BE32-E72D297353CC}">
              <c16:uniqueId val="{00000004-11E6-A74E-88BE-392E6FF72D2B}"/>
            </c:ext>
          </c:extLst>
        </c:ser>
        <c:dLbls>
          <c:dLblPos val="ctr"/>
          <c:showLegendKey val="0"/>
          <c:showVal val="1"/>
          <c:showCatName val="0"/>
          <c:showSerName val="0"/>
          <c:showPercent val="0"/>
          <c:showBubbleSize val="0"/>
        </c:dLbls>
        <c:gapWidth val="9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uitstoot (ton/maand)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200" b="1"/>
              <a:t>Totale</a:t>
            </a:r>
            <a:r>
              <a:rPr lang="en-US" sz="1200" b="1" baseline="0"/>
              <a:t> looptijd</a:t>
            </a:r>
            <a:endParaRPr lang="en-US" sz="1200" b="1"/>
          </a:p>
        </c:rich>
      </c:tx>
      <c:layout>
        <c:manualLayout>
          <c:xMode val="edge"/>
          <c:yMode val="edge"/>
          <c:x val="0.39755280589926262"/>
          <c:y val="3.030303030303030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30402116402116403"/>
          <c:y val="0.11141414141414142"/>
          <c:w val="0.62834607630567918"/>
          <c:h val="0.61906572284525041"/>
        </c:manualLayout>
      </c:layout>
      <c:barChart>
        <c:barDir val="col"/>
        <c:grouping val="stacked"/>
        <c:varyColors val="0"/>
        <c:ser>
          <c:idx val="0"/>
          <c:order val="0"/>
          <c:tx>
            <c:strRef>
              <c:f>'4. Analyse'!$B$30</c:f>
              <c:strCache>
                <c:ptCount val="1"/>
                <c:pt idx="0">
                  <c:v>Netto prijs voertuigen</c:v>
                </c:pt>
              </c:strCache>
            </c:strRef>
          </c:tx>
          <c:spPr>
            <a:solidFill>
              <a:srgbClr val="4472C4"/>
            </a:solidFill>
            <a:ln>
              <a:noFill/>
            </a:ln>
            <a:effectLst/>
          </c:spPr>
          <c:invertIfNegative val="0"/>
          <c:cat>
            <c:strRef>
              <c:f>'4. Analyse'!$C$28:$D$28</c:f>
              <c:strCache>
                <c:ptCount val="2"/>
                <c:pt idx="0">
                  <c:v>Huidig</c:v>
                </c:pt>
                <c:pt idx="1">
                  <c:v>Elektrisch</c:v>
                </c:pt>
              </c:strCache>
            </c:strRef>
          </c:cat>
          <c:val>
            <c:numRef>
              <c:f>'4. Analyse'!$C$30:$D$30</c:f>
              <c:numCache>
                <c:formatCode>_("€"\ * #,##0_);_("€"\ * \(#,##0\);_("€"\ * "-"??_);_(@_)</c:formatCode>
                <c:ptCount val="2"/>
                <c:pt idx="0">
                  <c:v>0</c:v>
                </c:pt>
                <c:pt idx="1">
                  <c:v>0</c:v>
                </c:pt>
              </c:numCache>
            </c:numRef>
          </c:val>
          <c:extLst>
            <c:ext xmlns:c16="http://schemas.microsoft.com/office/drawing/2014/chart" uri="{C3380CC4-5D6E-409C-BE32-E72D297353CC}">
              <c16:uniqueId val="{00000000-E523-0E48-A017-F8300563A946}"/>
            </c:ext>
          </c:extLst>
        </c:ser>
        <c:ser>
          <c:idx val="2"/>
          <c:order val="1"/>
          <c:tx>
            <c:strRef>
              <c:f>'4. Analyse'!$B$32</c:f>
              <c:strCache>
                <c:ptCount val="1"/>
                <c:pt idx="0">
                  <c:v>BPM</c:v>
                </c:pt>
              </c:strCache>
            </c:strRef>
          </c:tx>
          <c:spPr>
            <a:solidFill>
              <a:schemeClr val="accent6">
                <a:lumMod val="40000"/>
                <a:lumOff val="60000"/>
              </a:schemeClr>
            </a:solidFill>
            <a:ln>
              <a:noFill/>
            </a:ln>
            <a:effectLst/>
          </c:spPr>
          <c:invertIfNegative val="0"/>
          <c:cat>
            <c:strRef>
              <c:f>'4. Analyse'!$C$28:$D$28</c:f>
              <c:strCache>
                <c:ptCount val="2"/>
                <c:pt idx="0">
                  <c:v>Huidig</c:v>
                </c:pt>
                <c:pt idx="1">
                  <c:v>Elektrisch</c:v>
                </c:pt>
              </c:strCache>
            </c:strRef>
          </c:cat>
          <c:val>
            <c:numRef>
              <c:f>'4. Analyse'!$C$32:$D$32</c:f>
              <c:numCache>
                <c:formatCode>_("€"\ * #,##0_);_("€"\ * \(#,##0\);_("€"\ * "-"??_);_(@_)</c:formatCode>
                <c:ptCount val="2"/>
                <c:pt idx="0">
                  <c:v>0</c:v>
                </c:pt>
                <c:pt idx="1">
                  <c:v>0</c:v>
                </c:pt>
              </c:numCache>
            </c:numRef>
          </c:val>
          <c:extLst>
            <c:ext xmlns:c16="http://schemas.microsoft.com/office/drawing/2014/chart" uri="{C3380CC4-5D6E-409C-BE32-E72D297353CC}">
              <c16:uniqueId val="{00000001-E523-0E48-A017-F8300563A946}"/>
            </c:ext>
          </c:extLst>
        </c:ser>
        <c:ser>
          <c:idx val="1"/>
          <c:order val="2"/>
          <c:tx>
            <c:strRef>
              <c:f>'4. Analyse'!$B$31</c:f>
              <c:strCache>
                <c:ptCount val="1"/>
                <c:pt idx="0">
                  <c:v>BTW voertuigen</c:v>
                </c:pt>
              </c:strCache>
            </c:strRef>
          </c:tx>
          <c:spPr>
            <a:solidFill>
              <a:srgbClr val="767171"/>
            </a:solidFill>
            <a:ln>
              <a:noFill/>
            </a:ln>
            <a:effectLst/>
          </c:spPr>
          <c:invertIfNegative val="0"/>
          <c:cat>
            <c:strRef>
              <c:f>'4. Analyse'!$C$28:$D$28</c:f>
              <c:strCache>
                <c:ptCount val="2"/>
                <c:pt idx="0">
                  <c:v>Huidig</c:v>
                </c:pt>
                <c:pt idx="1">
                  <c:v>Elektrisch</c:v>
                </c:pt>
              </c:strCache>
            </c:strRef>
          </c:cat>
          <c:val>
            <c:numRef>
              <c:f>'4. Analyse'!$C$31:$D$31</c:f>
              <c:numCache>
                <c:formatCode>_("€"* #,##0_);_("€"* \(#,##0\);_("€"* "-"??_);_(@_)</c:formatCode>
                <c:ptCount val="2"/>
                <c:pt idx="0">
                  <c:v>0</c:v>
                </c:pt>
                <c:pt idx="1">
                  <c:v>0</c:v>
                </c:pt>
              </c:numCache>
            </c:numRef>
          </c:val>
          <c:extLst>
            <c:ext xmlns:c16="http://schemas.microsoft.com/office/drawing/2014/chart" uri="{C3380CC4-5D6E-409C-BE32-E72D297353CC}">
              <c16:uniqueId val="{00000002-E523-0E48-A017-F8300563A946}"/>
            </c:ext>
          </c:extLst>
        </c:ser>
        <c:ser>
          <c:idx val="4"/>
          <c:order val="3"/>
          <c:tx>
            <c:strRef>
              <c:f>'4. Analyse'!$B$34</c:f>
              <c:strCache>
                <c:ptCount val="1"/>
                <c:pt idx="0">
                  <c:v>Financieringskosten voertuigen</c:v>
                </c:pt>
              </c:strCache>
            </c:strRef>
          </c:tx>
          <c:spPr>
            <a:solidFill>
              <a:schemeClr val="accent5">
                <a:lumMod val="20000"/>
                <a:lumOff val="80000"/>
              </a:schemeClr>
            </a:solidFill>
            <a:ln>
              <a:noFill/>
            </a:ln>
            <a:effectLst/>
          </c:spPr>
          <c:invertIfNegative val="0"/>
          <c:val>
            <c:numRef>
              <c:f>'4. Analyse'!$C$34:$D$34</c:f>
              <c:numCache>
                <c:formatCode>_("€"\ * #,##0_);_("€"\ * \(#,##0\);_("€"\ * "-"??_);_(@_)</c:formatCode>
                <c:ptCount val="2"/>
                <c:pt idx="0">
                  <c:v>0</c:v>
                </c:pt>
                <c:pt idx="1">
                  <c:v>0</c:v>
                </c:pt>
              </c:numCache>
            </c:numRef>
          </c:val>
          <c:extLst>
            <c:ext xmlns:c16="http://schemas.microsoft.com/office/drawing/2014/chart" uri="{C3380CC4-5D6E-409C-BE32-E72D297353CC}">
              <c16:uniqueId val="{00000003-E523-0E48-A017-F8300563A946}"/>
            </c:ext>
          </c:extLst>
        </c:ser>
        <c:ser>
          <c:idx val="3"/>
          <c:order val="4"/>
          <c:tx>
            <c:strRef>
              <c:f>'4. Analyse'!$B$40</c:f>
              <c:strCache>
                <c:ptCount val="1"/>
                <c:pt idx="0">
                  <c:v>Laadinfra en netaansluiting excl. BTW</c:v>
                </c:pt>
              </c:strCache>
            </c:strRef>
          </c:tx>
          <c:spPr>
            <a:solidFill>
              <a:schemeClr val="accent2"/>
            </a:solidFill>
            <a:ln>
              <a:noFill/>
            </a:ln>
            <a:effectLst/>
          </c:spPr>
          <c:invertIfNegative val="0"/>
          <c:val>
            <c:numRef>
              <c:f>'4. Analyse'!$C$40:$D$40</c:f>
              <c:numCache>
                <c:formatCode>_("€"\ * #,##0_);_("€"\ * \(#,##0\);_("€"\ * "-"??_);_(@_)</c:formatCode>
                <c:ptCount val="2"/>
                <c:pt idx="0" formatCode="_(&quot;€&quot;* #,##0.00_);_(&quot;€&quot;* \(#,##0.00\);_(&quot;€&quot;* &quot;-&quot;??_);_(@_)">
                  <c:v>0</c:v>
                </c:pt>
                <c:pt idx="1">
                  <c:v>0</c:v>
                </c:pt>
              </c:numCache>
            </c:numRef>
          </c:val>
          <c:extLst>
            <c:ext xmlns:c16="http://schemas.microsoft.com/office/drawing/2014/chart" uri="{C3380CC4-5D6E-409C-BE32-E72D297353CC}">
              <c16:uniqueId val="{00000000-FAE3-B64C-85C9-254BE3A94F08}"/>
            </c:ext>
          </c:extLst>
        </c:ser>
        <c:ser>
          <c:idx val="5"/>
          <c:order val="5"/>
          <c:tx>
            <c:strRef>
              <c:f>'4. Analyse'!$B$41</c:f>
              <c:strCache>
                <c:ptCount val="1"/>
                <c:pt idx="0">
                  <c:v>BTW laadinfra &amp; net</c:v>
                </c:pt>
              </c:strCache>
            </c:strRef>
          </c:tx>
          <c:spPr>
            <a:solidFill>
              <a:srgbClr val="DBDBDB"/>
            </a:solidFill>
            <a:ln>
              <a:noFill/>
            </a:ln>
            <a:effectLst/>
          </c:spPr>
          <c:invertIfNegative val="0"/>
          <c:val>
            <c:numRef>
              <c:f>'4. Analyse'!$C$41:$D$41</c:f>
              <c:numCache>
                <c:formatCode>_("€"\ * #,##0_);_("€"\ * \(#,##0\);_("€"\ * "-"??_);_(@_)</c:formatCode>
                <c:ptCount val="2"/>
                <c:pt idx="0" formatCode="_(&quot;€&quot;* #,##0.00_);_(&quot;€&quot;* \(#,##0.00\);_(&quot;€&quot;* &quot;-&quot;??_);_(@_)">
                  <c:v>0</c:v>
                </c:pt>
                <c:pt idx="1">
                  <c:v>0</c:v>
                </c:pt>
              </c:numCache>
            </c:numRef>
          </c:val>
          <c:extLst>
            <c:ext xmlns:c16="http://schemas.microsoft.com/office/drawing/2014/chart" uri="{C3380CC4-5D6E-409C-BE32-E72D297353CC}">
              <c16:uniqueId val="{00000001-FAE3-B64C-85C9-254BE3A94F08}"/>
            </c:ext>
          </c:extLst>
        </c:ser>
        <c:ser>
          <c:idx val="6"/>
          <c:order val="6"/>
          <c:tx>
            <c:strRef>
              <c:f>'4. Analyse'!$B$42</c:f>
              <c:strCache>
                <c:ptCount val="1"/>
                <c:pt idx="0">
                  <c:v>Financieringskosten laadinfra &amp; net</c:v>
                </c:pt>
              </c:strCache>
            </c:strRef>
          </c:tx>
          <c:spPr>
            <a:solidFill>
              <a:schemeClr val="accent2">
                <a:lumMod val="40000"/>
                <a:lumOff val="60000"/>
              </a:schemeClr>
            </a:solidFill>
            <a:ln>
              <a:noFill/>
            </a:ln>
            <a:effectLst/>
          </c:spPr>
          <c:invertIfNegative val="0"/>
          <c:val>
            <c:numRef>
              <c:f>'4. Analyse'!$C$42:$D$42</c:f>
              <c:numCache>
                <c:formatCode>_("€"* #,##0_);_("€"* \(#,##0\);_("€"* "-"??_);_(@_)</c:formatCode>
                <c:ptCount val="2"/>
                <c:pt idx="0">
                  <c:v>0</c:v>
                </c:pt>
                <c:pt idx="1">
                  <c:v>0</c:v>
                </c:pt>
              </c:numCache>
            </c:numRef>
          </c:val>
          <c:extLst>
            <c:ext xmlns:c16="http://schemas.microsoft.com/office/drawing/2014/chart" uri="{C3380CC4-5D6E-409C-BE32-E72D297353CC}">
              <c16:uniqueId val="{00000002-FAE3-B64C-85C9-254BE3A94F08}"/>
            </c:ext>
          </c:extLst>
        </c:ser>
        <c:dLbls>
          <c:showLegendKey val="0"/>
          <c:showVal val="0"/>
          <c:showCatName val="0"/>
          <c:showSerName val="0"/>
          <c:showPercent val="0"/>
          <c:showBubbleSize val="0"/>
        </c:dLbls>
        <c:gapWidth val="7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Totale</a:t>
            </a:r>
            <a:r>
              <a:rPr lang="en-US" sz="1200" b="1" baseline="0"/>
              <a:t> wagenpark (looptijd)</a:t>
            </a:r>
            <a:endParaRPr lang="en-US" sz="1200" b="1"/>
          </a:p>
        </c:rich>
      </c:tx>
      <c:layout>
        <c:manualLayout>
          <c:xMode val="edge"/>
          <c:yMode val="edge"/>
          <c:x val="0.26812469869837696"/>
          <c:y val="2.5000000000000001E-2"/>
        </c:manualLayout>
      </c:layout>
      <c:overlay val="0"/>
      <c:spPr>
        <a:noFill/>
        <a:ln>
          <a:noFill/>
        </a:ln>
        <a:effectLst/>
      </c:spPr>
    </c:title>
    <c:autoTitleDeleted val="0"/>
    <c:plotArea>
      <c:layout/>
      <c:barChart>
        <c:barDir val="col"/>
        <c:grouping val="stacked"/>
        <c:varyColors val="0"/>
        <c:ser>
          <c:idx val="0"/>
          <c:order val="0"/>
          <c:tx>
            <c:strRef>
              <c:f>'4. Analyse'!$B$60</c:f>
              <c:strCache>
                <c:ptCount val="1"/>
                <c:pt idx="0">
                  <c:v>Totale CO2 uitstoot (WTW) </c:v>
                </c:pt>
              </c:strCache>
            </c:strRef>
          </c:tx>
          <c:invertIfNegative val="0"/>
          <c:dPt>
            <c:idx val="0"/>
            <c:invertIfNegative val="0"/>
            <c:bubble3D val="0"/>
            <c:spPr>
              <a:solidFill>
                <a:schemeClr val="tx1"/>
              </a:solidFill>
              <a:ln>
                <a:noFill/>
              </a:ln>
              <a:effectLst/>
            </c:spPr>
            <c:extLst>
              <c:ext xmlns:c16="http://schemas.microsoft.com/office/drawing/2014/chart" uri="{C3380CC4-5D6E-409C-BE32-E72D297353CC}">
                <c16:uniqueId val="{0000000C-B4A9-1441-AA07-880C3F391D01}"/>
              </c:ext>
            </c:extLst>
          </c:dPt>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D-B4A9-1441-AA07-880C3F391D01}"/>
              </c:ext>
            </c:extLst>
          </c:dPt>
          <c:dLbls>
            <c:numFmt formatCode="#,##0" sourceLinked="0"/>
            <c:spPr>
              <a:noFill/>
              <a:ln>
                <a:noFill/>
              </a:ln>
              <a:effectLst/>
            </c:spPr>
            <c:txPr>
              <a:bodyPr wrap="square" lIns="38100" tIns="19050" rIns="38100" bIns="19050" anchor="ctr">
                <a:spAutoFit/>
              </a:bodyPr>
              <a:lstStyle/>
              <a:p>
                <a:pPr>
                  <a:defRPr b="0">
                    <a:solidFill>
                      <a:schemeClr val="bg1"/>
                    </a:solidFil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 Analyse'!$C$59:$D$59</c:f>
              <c:strCache>
                <c:ptCount val="2"/>
                <c:pt idx="0">
                  <c:v> Huidig </c:v>
                </c:pt>
                <c:pt idx="1">
                  <c:v> Elektrisch </c:v>
                </c:pt>
              </c:strCache>
            </c:strRef>
          </c:cat>
          <c:val>
            <c:numRef>
              <c:f>'4. Analyse'!$C$60:$D$60</c:f>
              <c:numCache>
                <c:formatCode>_(* #,##0.0_);_(* \(#,##0.0\);_(* "-"??_);_(@_)</c:formatCode>
                <c:ptCount val="2"/>
                <c:pt idx="0">
                  <c:v>0</c:v>
                </c:pt>
                <c:pt idx="1">
                  <c:v>0</c:v>
                </c:pt>
              </c:numCache>
            </c:numRef>
          </c:val>
          <c:extLst>
            <c:ext xmlns:c16="http://schemas.microsoft.com/office/drawing/2014/chart" uri="{C3380CC4-5D6E-409C-BE32-E72D297353CC}">
              <c16:uniqueId val="{0000000B-B4A9-1441-AA07-880C3F391D01}"/>
            </c:ext>
          </c:extLst>
        </c:ser>
        <c:dLbls>
          <c:showLegendKey val="0"/>
          <c:showVal val="0"/>
          <c:showCatName val="0"/>
          <c:showSerName val="0"/>
          <c:showPercent val="0"/>
          <c:showBubbleSize val="0"/>
        </c:dLbls>
        <c:gapWidth val="9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CO2 uitstoot (ton)</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plotArea>
    <c:plotVisOnly val="1"/>
    <c:dispBlanksAs val="gap"/>
    <c:showDLblsOverMax val="0"/>
    <c:extLst/>
  </c:chart>
  <c:spPr>
    <a:ln>
      <a:noFill/>
    </a:ln>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200" b="1"/>
              <a:t>Totale looptijd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2594166872638678"/>
          <c:y val="0.12200657894736842"/>
          <c:w val="0.69125595847604249"/>
          <c:h val="0.64631794732554981"/>
        </c:manualLayout>
      </c:layout>
      <c:barChart>
        <c:barDir val="col"/>
        <c:grouping val="stacked"/>
        <c:varyColors val="0"/>
        <c:ser>
          <c:idx val="4"/>
          <c:order val="0"/>
          <c:tx>
            <c:strRef>
              <c:f>'4. Analyse'!$B$52</c:f>
              <c:strCache>
                <c:ptCount val="1"/>
                <c:pt idx="0">
                  <c:v>Brandstofkosten</c:v>
                </c:pt>
              </c:strCache>
            </c:strRef>
          </c:tx>
          <c:spPr>
            <a:solidFill>
              <a:srgbClr val="C00000"/>
            </a:solidFill>
            <a:ln>
              <a:noFill/>
            </a:ln>
            <a:effectLst/>
          </c:spPr>
          <c:invertIfNegative val="0"/>
          <c:val>
            <c:numRef>
              <c:f>'4. Analyse'!$C$52:$D$52</c:f>
              <c:numCache>
                <c:formatCode>_("€"\ * #,##0_);_("€"\ * \(#,##0\);_("€"\ * "-"??_);_(@_)</c:formatCode>
                <c:ptCount val="2"/>
                <c:pt idx="0">
                  <c:v>0</c:v>
                </c:pt>
                <c:pt idx="1">
                  <c:v>0</c:v>
                </c:pt>
              </c:numCache>
            </c:numRef>
          </c:val>
          <c:extLst>
            <c:ext xmlns:c16="http://schemas.microsoft.com/office/drawing/2014/chart" uri="{C3380CC4-5D6E-409C-BE32-E72D297353CC}">
              <c16:uniqueId val="{00000000-311E-9842-8DBC-825DA2004782}"/>
            </c:ext>
          </c:extLst>
        </c:ser>
        <c:ser>
          <c:idx val="2"/>
          <c:order val="1"/>
          <c:tx>
            <c:strRef>
              <c:f>'4. Analyse'!$B$50</c:f>
              <c:strCache>
                <c:ptCount val="1"/>
                <c:pt idx="0">
                  <c:v>Onderhoudskosten (ROB)</c:v>
                </c:pt>
              </c:strCache>
            </c:strRef>
          </c:tx>
          <c:spPr>
            <a:solidFill>
              <a:srgbClr val="5B9BD5"/>
            </a:solidFill>
            <a:ln>
              <a:noFill/>
            </a:ln>
            <a:effectLst/>
          </c:spPr>
          <c:invertIfNegative val="0"/>
          <c:cat>
            <c:strRef>
              <c:f>'4. Analyse'!$C$46:$D$46</c:f>
              <c:strCache>
                <c:ptCount val="2"/>
                <c:pt idx="0">
                  <c:v>Huidig</c:v>
                </c:pt>
                <c:pt idx="1">
                  <c:v>Elektrisch</c:v>
                </c:pt>
              </c:strCache>
            </c:strRef>
          </c:cat>
          <c:val>
            <c:numRef>
              <c:f>'4. Analyse'!$C$50:$D$50</c:f>
              <c:numCache>
                <c:formatCode>_("€"\ * #,##0_);_("€"\ * \(#,##0\);_("€"\ * "-"??_);_(@_)</c:formatCode>
                <c:ptCount val="2"/>
                <c:pt idx="0">
                  <c:v>0</c:v>
                </c:pt>
                <c:pt idx="1">
                  <c:v>0</c:v>
                </c:pt>
              </c:numCache>
            </c:numRef>
          </c:val>
          <c:extLst>
            <c:ext xmlns:c16="http://schemas.microsoft.com/office/drawing/2014/chart" uri="{C3380CC4-5D6E-409C-BE32-E72D297353CC}">
              <c16:uniqueId val="{00000002-311E-9842-8DBC-825DA2004782}"/>
            </c:ext>
          </c:extLst>
        </c:ser>
        <c:ser>
          <c:idx val="0"/>
          <c:order val="2"/>
          <c:tx>
            <c:strRef>
              <c:f>'4. Analyse'!$B$48</c:f>
              <c:strCache>
                <c:ptCount val="1"/>
                <c:pt idx="0">
                  <c:v>Verzekeringskosten</c:v>
                </c:pt>
              </c:strCache>
            </c:strRef>
          </c:tx>
          <c:spPr>
            <a:solidFill>
              <a:srgbClr val="FFE699"/>
            </a:solidFill>
            <a:ln>
              <a:noFill/>
            </a:ln>
            <a:effectLst/>
          </c:spPr>
          <c:invertIfNegative val="0"/>
          <c:cat>
            <c:strRef>
              <c:f>'4. Analyse'!$C$46:$D$46</c:f>
              <c:strCache>
                <c:ptCount val="2"/>
                <c:pt idx="0">
                  <c:v>Huidig</c:v>
                </c:pt>
                <c:pt idx="1">
                  <c:v>Elektrisch</c:v>
                </c:pt>
              </c:strCache>
            </c:strRef>
          </c:cat>
          <c:val>
            <c:numRef>
              <c:f>'4. Analyse'!$C$48:$D$48</c:f>
              <c:numCache>
                <c:formatCode>_("€"\ * #,##0_);_("€"\ * \(#,##0\);_("€"\ * "-"??_);_(@_)</c:formatCode>
                <c:ptCount val="2"/>
                <c:pt idx="0">
                  <c:v>0</c:v>
                </c:pt>
                <c:pt idx="1">
                  <c:v>0</c:v>
                </c:pt>
              </c:numCache>
            </c:numRef>
          </c:val>
          <c:extLst>
            <c:ext xmlns:c16="http://schemas.microsoft.com/office/drawing/2014/chart" uri="{C3380CC4-5D6E-409C-BE32-E72D297353CC}">
              <c16:uniqueId val="{00000001-311E-9842-8DBC-825DA2004782}"/>
            </c:ext>
          </c:extLst>
        </c:ser>
        <c:ser>
          <c:idx val="5"/>
          <c:order val="3"/>
          <c:tx>
            <c:strRef>
              <c:f>'4. Analyse'!$B$51</c:f>
              <c:strCache>
                <c:ptCount val="1"/>
                <c:pt idx="0">
                  <c:v>Schade</c:v>
                </c:pt>
              </c:strCache>
            </c:strRef>
          </c:tx>
          <c:spPr>
            <a:solidFill>
              <a:srgbClr val="70AD46"/>
            </a:solidFill>
            <a:ln>
              <a:noFill/>
            </a:ln>
            <a:effectLst/>
          </c:spPr>
          <c:invertIfNegative val="0"/>
          <c:val>
            <c:numRef>
              <c:f>'4. Analyse'!$C$51:$D$51</c:f>
              <c:numCache>
                <c:formatCode>_("€"\ * #,##0_);_("€"\ * \(#,##0\);_("€"\ * "-"??_);_(@_)</c:formatCode>
                <c:ptCount val="2"/>
                <c:pt idx="0">
                  <c:v>0</c:v>
                </c:pt>
                <c:pt idx="1">
                  <c:v>0</c:v>
                </c:pt>
              </c:numCache>
            </c:numRef>
          </c:val>
          <c:extLst>
            <c:ext xmlns:c16="http://schemas.microsoft.com/office/drawing/2014/chart" uri="{C3380CC4-5D6E-409C-BE32-E72D297353CC}">
              <c16:uniqueId val="{00000003-311E-9842-8DBC-825DA2004782}"/>
            </c:ext>
          </c:extLst>
        </c:ser>
        <c:ser>
          <c:idx val="1"/>
          <c:order val="4"/>
          <c:tx>
            <c:strRef>
              <c:f>'4. Analyse'!$B$49</c:f>
              <c:strCache>
                <c:ptCount val="1"/>
                <c:pt idx="0">
                  <c:v>MRB</c:v>
                </c:pt>
              </c:strCache>
            </c:strRef>
          </c:tx>
          <c:spPr>
            <a:solidFill>
              <a:srgbClr val="375623"/>
            </a:solidFill>
            <a:ln>
              <a:noFill/>
            </a:ln>
            <a:effectLst/>
          </c:spPr>
          <c:invertIfNegative val="0"/>
          <c:cat>
            <c:strRef>
              <c:f>'4. Analyse'!$C$46:$D$46</c:f>
              <c:strCache>
                <c:ptCount val="2"/>
                <c:pt idx="0">
                  <c:v>Huidig</c:v>
                </c:pt>
                <c:pt idx="1">
                  <c:v>Elektrisch</c:v>
                </c:pt>
              </c:strCache>
            </c:strRef>
          </c:cat>
          <c:val>
            <c:numRef>
              <c:f>'4. Analyse'!$C$49:$D$49</c:f>
              <c:numCache>
                <c:formatCode>_("€"\ * #,##0_);_("€"\ * \(#,##0\);_("€"\ * "-"??_);_(@_)</c:formatCode>
                <c:ptCount val="2"/>
                <c:pt idx="0">
                  <c:v>0</c:v>
                </c:pt>
                <c:pt idx="1">
                  <c:v>0</c:v>
                </c:pt>
              </c:numCache>
            </c:numRef>
          </c:val>
          <c:extLst>
            <c:ext xmlns:c16="http://schemas.microsoft.com/office/drawing/2014/chart" uri="{C3380CC4-5D6E-409C-BE32-E72D297353CC}">
              <c16:uniqueId val="{00000005-311E-9842-8DBC-825DA2004782}"/>
            </c:ext>
          </c:extLst>
        </c:ser>
        <c:ser>
          <c:idx val="6"/>
          <c:order val="5"/>
          <c:tx>
            <c:strRef>
              <c:f>'4. Analyse'!$B$57</c:f>
              <c:strCache>
                <c:ptCount val="1"/>
                <c:pt idx="0">
                  <c:v>B&amp;O en periodieke kosten laadinfra &amp; net</c:v>
                </c:pt>
              </c:strCache>
            </c:strRef>
          </c:tx>
          <c:spPr>
            <a:solidFill>
              <a:srgbClr val="FFC000"/>
            </a:solidFill>
            <a:ln>
              <a:noFill/>
            </a:ln>
            <a:effectLst/>
          </c:spPr>
          <c:invertIfNegative val="0"/>
          <c:val>
            <c:numRef>
              <c:f>'4. Analyse'!$C$57:$D$57</c:f>
              <c:numCache>
                <c:formatCode>_("€"\ * #,##0_);_("€"\ * \(#,##0\);_("€"\ * "-"??_);_(@_)</c:formatCode>
                <c:ptCount val="2"/>
                <c:pt idx="0">
                  <c:v>0</c:v>
                </c:pt>
                <c:pt idx="1">
                  <c:v>0</c:v>
                </c:pt>
              </c:numCache>
            </c:numRef>
          </c:val>
          <c:extLst>
            <c:ext xmlns:c16="http://schemas.microsoft.com/office/drawing/2014/chart" uri="{C3380CC4-5D6E-409C-BE32-E72D297353CC}">
              <c16:uniqueId val="{00000000-2937-8441-9895-2C4304929583}"/>
            </c:ext>
          </c:extLst>
        </c:ser>
        <c:ser>
          <c:idx val="3"/>
          <c:order val="6"/>
          <c:tx>
            <c:strRef>
              <c:f>'4. Analyse'!$B$53</c:f>
              <c:strCache>
                <c:ptCount val="1"/>
                <c:pt idx="0">
                  <c:v>Meerkosten chauffeur</c:v>
                </c:pt>
              </c:strCache>
            </c:strRef>
          </c:tx>
          <c:spPr>
            <a:pattFill prst="wdUpDiag">
              <a:fgClr>
                <a:srgbClr val="C00000"/>
              </a:fgClr>
              <a:bgClr>
                <a:schemeClr val="bg1"/>
              </a:bgClr>
            </a:pattFill>
            <a:ln>
              <a:noFill/>
            </a:ln>
            <a:effectLst/>
          </c:spPr>
          <c:invertIfNegative val="0"/>
          <c:val>
            <c:numRef>
              <c:f>'4. Analyse'!$C$53:$D$53</c:f>
              <c:numCache>
                <c:formatCode>_("€"\ * #,##0_);_("€"\ * \(#,##0\);_("€"\ * "-"??_);_(@_)</c:formatCode>
                <c:ptCount val="2"/>
                <c:pt idx="0">
                  <c:v>0</c:v>
                </c:pt>
                <c:pt idx="1">
                  <c:v>0</c:v>
                </c:pt>
              </c:numCache>
            </c:numRef>
          </c:val>
          <c:extLst>
            <c:ext xmlns:c16="http://schemas.microsoft.com/office/drawing/2014/chart" uri="{C3380CC4-5D6E-409C-BE32-E72D297353CC}">
              <c16:uniqueId val="{00000004-311E-9842-8DBC-825DA2004782}"/>
            </c:ext>
          </c:extLst>
        </c:ser>
        <c:dLbls>
          <c:showLegendKey val="0"/>
          <c:showVal val="0"/>
          <c:showCatName val="0"/>
          <c:showSerName val="0"/>
          <c:showPercent val="0"/>
          <c:showBubbleSize val="0"/>
        </c:dLbls>
        <c:gapWidth val="7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Per maand - gem. per voertuig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18229396325459318"/>
          <c:y val="0.12322259136212625"/>
          <c:w val="0.77456878184344602"/>
          <c:h val="0.63994418077877246"/>
        </c:manualLayout>
      </c:layout>
      <c:barChart>
        <c:barDir val="col"/>
        <c:grouping val="stacked"/>
        <c:varyColors val="0"/>
        <c:ser>
          <c:idx val="4"/>
          <c:order val="0"/>
          <c:tx>
            <c:strRef>
              <c:f>'4. Analyse'!$B$52</c:f>
              <c:strCache>
                <c:ptCount val="1"/>
                <c:pt idx="0">
                  <c:v>Brandstofkosten</c:v>
                </c:pt>
              </c:strCache>
            </c:strRef>
          </c:tx>
          <c:spPr>
            <a:solidFill>
              <a:srgbClr val="C00000"/>
            </a:solidFill>
            <a:ln>
              <a:noFill/>
            </a:ln>
            <a:effectLst/>
          </c:spPr>
          <c:invertIfNegative val="0"/>
          <c:val>
            <c:numRef>
              <c:f>'4. Analyse'!$I$52:$J$52</c:f>
              <c:numCache>
                <c:formatCode>_("€"\ * #,##0_);_("€"\ * \(#,##0\);_("€"\ * "-"??_);_(@_)</c:formatCode>
                <c:ptCount val="2"/>
                <c:pt idx="0">
                  <c:v>0</c:v>
                </c:pt>
                <c:pt idx="1">
                  <c:v>0</c:v>
                </c:pt>
              </c:numCache>
            </c:numRef>
          </c:val>
          <c:extLst>
            <c:ext xmlns:c16="http://schemas.microsoft.com/office/drawing/2014/chart" uri="{C3380CC4-5D6E-409C-BE32-E72D297353CC}">
              <c16:uniqueId val="{00000000-075C-EC4E-961E-904FCD768B8B}"/>
            </c:ext>
          </c:extLst>
        </c:ser>
        <c:ser>
          <c:idx val="2"/>
          <c:order val="1"/>
          <c:tx>
            <c:strRef>
              <c:f>'4. Analyse'!$B$50</c:f>
              <c:strCache>
                <c:ptCount val="1"/>
                <c:pt idx="0">
                  <c:v>Onderhoudskosten (ROB)</c:v>
                </c:pt>
              </c:strCache>
            </c:strRef>
          </c:tx>
          <c:spPr>
            <a:solidFill>
              <a:srgbClr val="5B9BD5"/>
            </a:solidFill>
            <a:ln>
              <a:noFill/>
            </a:ln>
            <a:effectLst/>
          </c:spPr>
          <c:invertIfNegative val="0"/>
          <c:cat>
            <c:multiLvlStrRef>
              <c:f>'4. Analyse'!$F$46:$G$46</c:f>
            </c:multiLvlStrRef>
          </c:cat>
          <c:val>
            <c:numRef>
              <c:f>'4. Analyse'!$I$50:$J$50</c:f>
              <c:numCache>
                <c:formatCode>_("€"\ * #,##0_);_("€"\ * \(#,##0\);_("€"\ * "-"??_);_(@_)</c:formatCode>
                <c:ptCount val="2"/>
                <c:pt idx="0">
                  <c:v>0</c:v>
                </c:pt>
                <c:pt idx="1">
                  <c:v>0</c:v>
                </c:pt>
              </c:numCache>
            </c:numRef>
          </c:val>
          <c:extLst>
            <c:ext xmlns:c16="http://schemas.microsoft.com/office/drawing/2014/chart" uri="{C3380CC4-5D6E-409C-BE32-E72D297353CC}">
              <c16:uniqueId val="{00000003-075C-EC4E-961E-904FCD768B8B}"/>
            </c:ext>
          </c:extLst>
        </c:ser>
        <c:ser>
          <c:idx val="0"/>
          <c:order val="2"/>
          <c:tx>
            <c:strRef>
              <c:f>'4. Analyse'!$B$48</c:f>
              <c:strCache>
                <c:ptCount val="1"/>
                <c:pt idx="0">
                  <c:v>Verzekeringskosten</c:v>
                </c:pt>
              </c:strCache>
            </c:strRef>
          </c:tx>
          <c:spPr>
            <a:solidFill>
              <a:srgbClr val="FFE699"/>
            </a:solidFill>
            <a:ln>
              <a:noFill/>
            </a:ln>
            <a:effectLst/>
          </c:spPr>
          <c:invertIfNegative val="0"/>
          <c:cat>
            <c:multiLvlStrRef>
              <c:f>'4. Analyse'!$F$46:$G$46</c:f>
            </c:multiLvlStrRef>
          </c:cat>
          <c:val>
            <c:numRef>
              <c:f>'4. Analyse'!$I$48:$J$48</c:f>
              <c:numCache>
                <c:formatCode>_("€"\ * #,##0_);_("€"\ * \(#,##0\);_("€"\ * "-"??_);_(@_)</c:formatCode>
                <c:ptCount val="2"/>
                <c:pt idx="0">
                  <c:v>0</c:v>
                </c:pt>
                <c:pt idx="1">
                  <c:v>0</c:v>
                </c:pt>
              </c:numCache>
            </c:numRef>
          </c:val>
          <c:extLst>
            <c:ext xmlns:c16="http://schemas.microsoft.com/office/drawing/2014/chart" uri="{C3380CC4-5D6E-409C-BE32-E72D297353CC}">
              <c16:uniqueId val="{00000001-075C-EC4E-961E-904FCD768B8B}"/>
            </c:ext>
          </c:extLst>
        </c:ser>
        <c:ser>
          <c:idx val="5"/>
          <c:order val="3"/>
          <c:tx>
            <c:strRef>
              <c:f>'4. Analyse'!$B$51</c:f>
              <c:strCache>
                <c:ptCount val="1"/>
                <c:pt idx="0">
                  <c:v>Schade</c:v>
                </c:pt>
              </c:strCache>
            </c:strRef>
          </c:tx>
          <c:spPr>
            <a:solidFill>
              <a:srgbClr val="70AD46"/>
            </a:solidFill>
            <a:ln>
              <a:noFill/>
            </a:ln>
            <a:effectLst/>
          </c:spPr>
          <c:invertIfNegative val="0"/>
          <c:val>
            <c:numRef>
              <c:f>'4. Analyse'!$I$51:$J$51</c:f>
              <c:numCache>
                <c:formatCode>_("€"\ * #,##0_);_("€"\ * \(#,##0\);_("€"\ * "-"??_);_(@_)</c:formatCode>
                <c:ptCount val="2"/>
                <c:pt idx="0">
                  <c:v>0</c:v>
                </c:pt>
                <c:pt idx="1">
                  <c:v>0</c:v>
                </c:pt>
              </c:numCache>
            </c:numRef>
          </c:val>
          <c:extLst>
            <c:ext xmlns:c16="http://schemas.microsoft.com/office/drawing/2014/chart" uri="{C3380CC4-5D6E-409C-BE32-E72D297353CC}">
              <c16:uniqueId val="{00000002-075C-EC4E-961E-904FCD768B8B}"/>
            </c:ext>
          </c:extLst>
        </c:ser>
        <c:ser>
          <c:idx val="1"/>
          <c:order val="4"/>
          <c:tx>
            <c:strRef>
              <c:f>'4. Analyse'!$B$49</c:f>
              <c:strCache>
                <c:ptCount val="1"/>
                <c:pt idx="0">
                  <c:v>MRB</c:v>
                </c:pt>
              </c:strCache>
            </c:strRef>
          </c:tx>
          <c:spPr>
            <a:solidFill>
              <a:srgbClr val="375623"/>
            </a:solidFill>
            <a:ln>
              <a:noFill/>
            </a:ln>
            <a:effectLst/>
          </c:spPr>
          <c:invertIfNegative val="0"/>
          <c:cat>
            <c:multiLvlStrRef>
              <c:f>'4. Analyse'!$F$46:$G$46</c:f>
            </c:multiLvlStrRef>
          </c:cat>
          <c:val>
            <c:numRef>
              <c:f>'4. Analyse'!$I$49:$J$49</c:f>
              <c:numCache>
                <c:formatCode>_("€"\ * #,##0_);_("€"\ * \(#,##0\);_("€"\ * "-"??_);_(@_)</c:formatCode>
                <c:ptCount val="2"/>
                <c:pt idx="0">
                  <c:v>0</c:v>
                </c:pt>
                <c:pt idx="1">
                  <c:v>0</c:v>
                </c:pt>
              </c:numCache>
            </c:numRef>
          </c:val>
          <c:extLst>
            <c:ext xmlns:c16="http://schemas.microsoft.com/office/drawing/2014/chart" uri="{C3380CC4-5D6E-409C-BE32-E72D297353CC}">
              <c16:uniqueId val="{00000005-075C-EC4E-961E-904FCD768B8B}"/>
            </c:ext>
          </c:extLst>
        </c:ser>
        <c:ser>
          <c:idx val="6"/>
          <c:order val="5"/>
          <c:tx>
            <c:strRef>
              <c:f>'4. Analyse'!$B$57</c:f>
              <c:strCache>
                <c:ptCount val="1"/>
                <c:pt idx="0">
                  <c:v>B&amp;O en periodieke kosten laadinfra &amp; net</c:v>
                </c:pt>
              </c:strCache>
            </c:strRef>
          </c:tx>
          <c:spPr>
            <a:solidFill>
              <a:srgbClr val="FFC000"/>
            </a:solidFill>
            <a:ln>
              <a:noFill/>
            </a:ln>
            <a:effectLst/>
          </c:spPr>
          <c:invertIfNegative val="0"/>
          <c:val>
            <c:numRef>
              <c:f>'4. Analyse'!$I$57:$J$57</c:f>
              <c:numCache>
                <c:formatCode>_("€"\ * #,##0_);_("€"\ * \(#,##0\);_("€"\ * "-"??_);_(@_)</c:formatCode>
                <c:ptCount val="2"/>
                <c:pt idx="0">
                  <c:v>0</c:v>
                </c:pt>
                <c:pt idx="1">
                  <c:v>0</c:v>
                </c:pt>
              </c:numCache>
            </c:numRef>
          </c:val>
          <c:extLst>
            <c:ext xmlns:c16="http://schemas.microsoft.com/office/drawing/2014/chart" uri="{C3380CC4-5D6E-409C-BE32-E72D297353CC}">
              <c16:uniqueId val="{00000000-FBC7-AE41-A4B1-48396877A9F2}"/>
            </c:ext>
          </c:extLst>
        </c:ser>
        <c:ser>
          <c:idx val="3"/>
          <c:order val="6"/>
          <c:tx>
            <c:strRef>
              <c:f>'4. Analyse'!$B$53</c:f>
              <c:strCache>
                <c:ptCount val="1"/>
                <c:pt idx="0">
                  <c:v>Meerkosten chauffeur</c:v>
                </c:pt>
              </c:strCache>
            </c:strRef>
          </c:tx>
          <c:spPr>
            <a:pattFill prst="wdUpDiag">
              <a:fgClr>
                <a:srgbClr val="C00000"/>
              </a:fgClr>
              <a:bgClr>
                <a:schemeClr val="bg1"/>
              </a:bgClr>
            </a:pattFill>
            <a:ln>
              <a:noFill/>
            </a:ln>
            <a:effectLst/>
          </c:spPr>
          <c:invertIfNegative val="0"/>
          <c:val>
            <c:numRef>
              <c:f>'4. Analyse'!$I$53:$J$53</c:f>
              <c:numCache>
                <c:formatCode>_("€"\ * #,##0_);_("€"\ * \(#,##0\);_("€"\ * "-"??_);_(@_)</c:formatCode>
                <c:ptCount val="2"/>
                <c:pt idx="0">
                  <c:v>0</c:v>
                </c:pt>
                <c:pt idx="1">
                  <c:v>0</c:v>
                </c:pt>
              </c:numCache>
            </c:numRef>
          </c:val>
          <c:extLst>
            <c:ext xmlns:c16="http://schemas.microsoft.com/office/drawing/2014/chart" uri="{C3380CC4-5D6E-409C-BE32-E72D297353CC}">
              <c16:uniqueId val="{00000004-075C-EC4E-961E-904FCD768B8B}"/>
            </c:ext>
          </c:extLst>
        </c:ser>
        <c:dLbls>
          <c:showLegendKey val="0"/>
          <c:showVal val="0"/>
          <c:showCatName val="0"/>
          <c:showSerName val="0"/>
          <c:showPercent val="0"/>
          <c:showBubbleSize val="0"/>
        </c:dLbls>
        <c:gapWidth val="7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200" b="1"/>
              <a:t>Per maand - gem. per voertuig </a:t>
            </a:r>
          </a:p>
        </c:rich>
      </c:tx>
      <c:layout>
        <c:manualLayout>
          <c:xMode val="edge"/>
          <c:yMode val="edge"/>
          <c:x val="0.16495410797881663"/>
          <c:y val="2.050962929787087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24023802024746907"/>
          <c:y val="0.12003236245954693"/>
          <c:w val="0.70156085489313835"/>
          <c:h val="0.62537306543578608"/>
        </c:manualLayout>
      </c:layout>
      <c:barChart>
        <c:barDir val="col"/>
        <c:grouping val="stacked"/>
        <c:varyColors val="0"/>
        <c:ser>
          <c:idx val="0"/>
          <c:order val="0"/>
          <c:tx>
            <c:strRef>
              <c:f>'4. Analyse'!$B$30</c:f>
              <c:strCache>
                <c:ptCount val="1"/>
                <c:pt idx="0">
                  <c:v>Netto prijs voertuigen</c:v>
                </c:pt>
              </c:strCache>
            </c:strRef>
          </c:tx>
          <c:spPr>
            <a:solidFill>
              <a:srgbClr val="4472C4"/>
            </a:solidFill>
            <a:ln>
              <a:noFill/>
            </a:ln>
            <a:effectLst/>
          </c:spPr>
          <c:invertIfNegative val="0"/>
          <c:cat>
            <c:multiLvlStrRef>
              <c:f>'4. Analyse'!$F$28:$G$28</c:f>
            </c:multiLvlStrRef>
          </c:cat>
          <c:val>
            <c:numRef>
              <c:f>'4. Analyse'!$I$30:$J$30</c:f>
              <c:numCache>
                <c:formatCode>_("€"\ * #,##0_);_("€"\ * \(#,##0\);_("€"\ * "-"??_);_(@_)</c:formatCode>
                <c:ptCount val="2"/>
                <c:pt idx="0">
                  <c:v>0</c:v>
                </c:pt>
                <c:pt idx="1">
                  <c:v>0</c:v>
                </c:pt>
              </c:numCache>
            </c:numRef>
          </c:val>
          <c:extLst>
            <c:ext xmlns:c16="http://schemas.microsoft.com/office/drawing/2014/chart" uri="{C3380CC4-5D6E-409C-BE32-E72D297353CC}">
              <c16:uniqueId val="{00000000-2D2F-F44F-A300-1106EC892D6B}"/>
            </c:ext>
          </c:extLst>
        </c:ser>
        <c:ser>
          <c:idx val="2"/>
          <c:order val="1"/>
          <c:tx>
            <c:strRef>
              <c:f>'4. Analyse'!$B$32</c:f>
              <c:strCache>
                <c:ptCount val="1"/>
                <c:pt idx="0">
                  <c:v>BPM</c:v>
                </c:pt>
              </c:strCache>
            </c:strRef>
          </c:tx>
          <c:spPr>
            <a:solidFill>
              <a:schemeClr val="accent6">
                <a:lumMod val="40000"/>
                <a:lumOff val="60000"/>
              </a:schemeClr>
            </a:solidFill>
            <a:ln>
              <a:noFill/>
            </a:ln>
            <a:effectLst/>
          </c:spPr>
          <c:invertIfNegative val="0"/>
          <c:cat>
            <c:multiLvlStrRef>
              <c:f>'4. Analyse'!$F$28:$G$28</c:f>
            </c:multiLvlStrRef>
          </c:cat>
          <c:val>
            <c:numRef>
              <c:f>'4. Analyse'!$I$32:$J$32</c:f>
              <c:numCache>
                <c:formatCode>_("€"\ * #,##0_);_("€"\ * \(#,##0\);_("€"\ * "-"??_);_(@_)</c:formatCode>
                <c:ptCount val="2"/>
                <c:pt idx="0">
                  <c:v>0</c:v>
                </c:pt>
                <c:pt idx="1">
                  <c:v>0</c:v>
                </c:pt>
              </c:numCache>
            </c:numRef>
          </c:val>
          <c:extLst>
            <c:ext xmlns:c16="http://schemas.microsoft.com/office/drawing/2014/chart" uri="{C3380CC4-5D6E-409C-BE32-E72D297353CC}">
              <c16:uniqueId val="{00000003-2D2F-F44F-A300-1106EC892D6B}"/>
            </c:ext>
          </c:extLst>
        </c:ser>
        <c:ser>
          <c:idx val="1"/>
          <c:order val="2"/>
          <c:tx>
            <c:strRef>
              <c:f>'4. Analyse'!$B$31</c:f>
              <c:strCache>
                <c:ptCount val="1"/>
                <c:pt idx="0">
                  <c:v>BTW voertuigen</c:v>
                </c:pt>
              </c:strCache>
            </c:strRef>
          </c:tx>
          <c:spPr>
            <a:solidFill>
              <a:srgbClr val="767171"/>
            </a:solidFill>
            <a:ln>
              <a:noFill/>
            </a:ln>
            <a:effectLst/>
          </c:spPr>
          <c:invertIfNegative val="0"/>
          <c:cat>
            <c:multiLvlStrRef>
              <c:f>'4. Analyse'!$F$28:$G$28</c:f>
            </c:multiLvlStrRef>
          </c:cat>
          <c:val>
            <c:numRef>
              <c:f>'4. Analyse'!$I$31:$J$31</c:f>
              <c:numCache>
                <c:formatCode>_("€"\ * #,##0_);_("€"\ * \(#,##0\);_("€"\ * "-"??_);_(@_)</c:formatCode>
                <c:ptCount val="2"/>
                <c:pt idx="0">
                  <c:v>0</c:v>
                </c:pt>
                <c:pt idx="1">
                  <c:v>0</c:v>
                </c:pt>
              </c:numCache>
            </c:numRef>
          </c:val>
          <c:extLst>
            <c:ext xmlns:c16="http://schemas.microsoft.com/office/drawing/2014/chart" uri="{C3380CC4-5D6E-409C-BE32-E72D297353CC}">
              <c16:uniqueId val="{00000002-2D2F-F44F-A300-1106EC892D6B}"/>
            </c:ext>
          </c:extLst>
        </c:ser>
        <c:ser>
          <c:idx val="4"/>
          <c:order val="3"/>
          <c:tx>
            <c:strRef>
              <c:f>'4. Analyse'!$B$34</c:f>
              <c:strCache>
                <c:ptCount val="1"/>
                <c:pt idx="0">
                  <c:v>Financieringskosten voertuigen</c:v>
                </c:pt>
              </c:strCache>
            </c:strRef>
          </c:tx>
          <c:spPr>
            <a:solidFill>
              <a:schemeClr val="accent5">
                <a:lumMod val="20000"/>
                <a:lumOff val="80000"/>
              </a:schemeClr>
            </a:solidFill>
            <a:ln>
              <a:noFill/>
            </a:ln>
            <a:effectLst/>
          </c:spPr>
          <c:invertIfNegative val="0"/>
          <c:val>
            <c:numRef>
              <c:f>'4. Analyse'!$I$34:$J$34</c:f>
              <c:numCache>
                <c:formatCode>_("€"\ * #,##0_);_("€"\ * \(#,##0\);_("€"\ * "-"??_);_(@_)</c:formatCode>
                <c:ptCount val="2"/>
                <c:pt idx="0">
                  <c:v>0</c:v>
                </c:pt>
                <c:pt idx="1">
                  <c:v>0</c:v>
                </c:pt>
              </c:numCache>
            </c:numRef>
          </c:val>
          <c:extLst>
            <c:ext xmlns:c16="http://schemas.microsoft.com/office/drawing/2014/chart" uri="{C3380CC4-5D6E-409C-BE32-E72D297353CC}">
              <c16:uniqueId val="{00000001-2D2F-F44F-A300-1106EC892D6B}"/>
            </c:ext>
          </c:extLst>
        </c:ser>
        <c:ser>
          <c:idx val="3"/>
          <c:order val="4"/>
          <c:tx>
            <c:strRef>
              <c:f>'4. Analyse'!$B$40</c:f>
              <c:strCache>
                <c:ptCount val="1"/>
                <c:pt idx="0">
                  <c:v>Laadinfra en netaansluiting excl. BTW</c:v>
                </c:pt>
              </c:strCache>
            </c:strRef>
          </c:tx>
          <c:spPr>
            <a:solidFill>
              <a:schemeClr val="accent2"/>
            </a:solidFill>
            <a:ln>
              <a:noFill/>
            </a:ln>
            <a:effectLst/>
          </c:spPr>
          <c:invertIfNegative val="0"/>
          <c:val>
            <c:numRef>
              <c:f>'4. Analyse'!$I$40:$J$40</c:f>
              <c:numCache>
                <c:formatCode>_("€"\ * #,##0_);_("€"\ * \(#,##0\);_("€"\ * "-"??_);_(@_)</c:formatCode>
                <c:ptCount val="2"/>
                <c:pt idx="0" formatCode="_(&quot;€&quot;* #,##0.00_);_(&quot;€&quot;* \(#,##0.00\);_(&quot;€&quot;* &quot;-&quot;??_);_(@_)">
                  <c:v>0</c:v>
                </c:pt>
                <c:pt idx="1">
                  <c:v>0</c:v>
                </c:pt>
              </c:numCache>
            </c:numRef>
          </c:val>
          <c:extLst>
            <c:ext xmlns:c16="http://schemas.microsoft.com/office/drawing/2014/chart" uri="{C3380CC4-5D6E-409C-BE32-E72D297353CC}">
              <c16:uniqueId val="{00000003-D6DD-C147-A4BB-D84364FBBC29}"/>
            </c:ext>
          </c:extLst>
        </c:ser>
        <c:ser>
          <c:idx val="5"/>
          <c:order val="5"/>
          <c:tx>
            <c:strRef>
              <c:f>'4. Analyse'!$B$41</c:f>
              <c:strCache>
                <c:ptCount val="1"/>
                <c:pt idx="0">
                  <c:v>BTW laadinfra &amp; net</c:v>
                </c:pt>
              </c:strCache>
            </c:strRef>
          </c:tx>
          <c:spPr>
            <a:solidFill>
              <a:srgbClr val="DBDBDB"/>
            </a:solidFill>
            <a:ln>
              <a:noFill/>
            </a:ln>
            <a:effectLst/>
          </c:spPr>
          <c:invertIfNegative val="0"/>
          <c:val>
            <c:numRef>
              <c:f>'4. Analyse'!$I$41:$J$41</c:f>
              <c:numCache>
                <c:formatCode>_("€"\ * #,##0_);_("€"\ * \(#,##0\);_("€"\ * "-"??_);_(@_)</c:formatCode>
                <c:ptCount val="2"/>
                <c:pt idx="0" formatCode="_(&quot;€&quot;* #,##0.00_);_(&quot;€&quot;* \(#,##0.00\);_(&quot;€&quot;* &quot;-&quot;??_);_(@_)">
                  <c:v>0</c:v>
                </c:pt>
                <c:pt idx="1">
                  <c:v>0</c:v>
                </c:pt>
              </c:numCache>
            </c:numRef>
          </c:val>
          <c:extLst>
            <c:ext xmlns:c16="http://schemas.microsoft.com/office/drawing/2014/chart" uri="{C3380CC4-5D6E-409C-BE32-E72D297353CC}">
              <c16:uniqueId val="{00000004-D6DD-C147-A4BB-D84364FBBC29}"/>
            </c:ext>
          </c:extLst>
        </c:ser>
        <c:ser>
          <c:idx val="6"/>
          <c:order val="6"/>
          <c:tx>
            <c:strRef>
              <c:f>'4. Analyse'!$B$42</c:f>
              <c:strCache>
                <c:ptCount val="1"/>
                <c:pt idx="0">
                  <c:v>Financieringskosten laadinfra &amp; net</c:v>
                </c:pt>
              </c:strCache>
            </c:strRef>
          </c:tx>
          <c:spPr>
            <a:solidFill>
              <a:schemeClr val="accent2">
                <a:lumMod val="40000"/>
                <a:lumOff val="60000"/>
              </a:schemeClr>
            </a:solidFill>
            <a:ln>
              <a:noFill/>
            </a:ln>
            <a:effectLst/>
          </c:spPr>
          <c:invertIfNegative val="0"/>
          <c:val>
            <c:numRef>
              <c:f>'4. Analyse'!$I$42:$J$42</c:f>
              <c:numCache>
                <c:formatCode>_("€"\ * #,##0_);_("€"\ * \(#,##0\);_("€"\ * "-"??_);_(@_)</c:formatCode>
                <c:ptCount val="2"/>
                <c:pt idx="0" formatCode="_(&quot;€&quot;* #,##0.00_);_(&quot;€&quot;* \(#,##0.00\);_(&quot;€&quot;* &quot;-&quot;??_);_(@_)">
                  <c:v>0</c:v>
                </c:pt>
                <c:pt idx="1">
                  <c:v>0</c:v>
                </c:pt>
              </c:numCache>
            </c:numRef>
          </c:val>
          <c:extLst>
            <c:ext xmlns:c16="http://schemas.microsoft.com/office/drawing/2014/chart" uri="{C3380CC4-5D6E-409C-BE32-E72D297353CC}">
              <c16:uniqueId val="{00000005-D6DD-C147-A4BB-D84364FBBC29}"/>
            </c:ext>
          </c:extLst>
        </c:ser>
        <c:dLbls>
          <c:showLegendKey val="0"/>
          <c:showVal val="0"/>
          <c:showCatName val="0"/>
          <c:showSerName val="0"/>
          <c:showPercent val="0"/>
          <c:showBubbleSize val="0"/>
        </c:dLbls>
        <c:gapWidth val="7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200" b="1"/>
              <a:t>Gem. per km</a:t>
            </a:r>
          </a:p>
        </c:rich>
      </c:tx>
      <c:layout>
        <c:manualLayout>
          <c:xMode val="edge"/>
          <c:yMode val="edge"/>
          <c:x val="0.39154559309118625"/>
          <c:y val="2.787456445993031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24595217264508604"/>
          <c:y val="0.12003236245954693"/>
          <c:w val="0.69584676915385579"/>
          <c:h val="0.63396855786862261"/>
        </c:manualLayout>
      </c:layout>
      <c:barChart>
        <c:barDir val="col"/>
        <c:grouping val="stacked"/>
        <c:varyColors val="0"/>
        <c:ser>
          <c:idx val="0"/>
          <c:order val="0"/>
          <c:tx>
            <c:strRef>
              <c:f>'4. Analyse'!$B$30</c:f>
              <c:strCache>
                <c:ptCount val="1"/>
                <c:pt idx="0">
                  <c:v>Netto prijs voertuigen</c:v>
                </c:pt>
              </c:strCache>
            </c:strRef>
          </c:tx>
          <c:spPr>
            <a:solidFill>
              <a:srgbClr val="4472C4"/>
            </a:solidFill>
            <a:ln>
              <a:noFill/>
            </a:ln>
            <a:effectLst/>
          </c:spPr>
          <c:invertIfNegative val="0"/>
          <c:cat>
            <c:multiLvlStrRef>
              <c:f>'4. Analyse'!$F$28:$G$28</c:f>
            </c:multiLvlStrRef>
          </c:cat>
          <c:val>
            <c:numRef>
              <c:f>'4. Analyse'!$L$30:$M$30</c:f>
              <c:numCache>
                <c:formatCode>_("€"\ * #,##0.000_);_("€"\ * \(#,##0.000\);_("€"\ * "-"??_);_(@_)</c:formatCode>
                <c:ptCount val="2"/>
                <c:pt idx="0">
                  <c:v>0</c:v>
                </c:pt>
                <c:pt idx="1">
                  <c:v>0</c:v>
                </c:pt>
              </c:numCache>
            </c:numRef>
          </c:val>
          <c:extLst>
            <c:ext xmlns:c16="http://schemas.microsoft.com/office/drawing/2014/chart" uri="{C3380CC4-5D6E-409C-BE32-E72D297353CC}">
              <c16:uniqueId val="{00000000-4201-D946-A170-B6966BBDB8EF}"/>
            </c:ext>
          </c:extLst>
        </c:ser>
        <c:ser>
          <c:idx val="1"/>
          <c:order val="1"/>
          <c:tx>
            <c:strRef>
              <c:f>'4. Analyse'!$B$31</c:f>
              <c:strCache>
                <c:ptCount val="1"/>
                <c:pt idx="0">
                  <c:v>BTW voertuigen</c:v>
                </c:pt>
              </c:strCache>
            </c:strRef>
          </c:tx>
          <c:spPr>
            <a:solidFill>
              <a:schemeClr val="bg2">
                <a:lumMod val="50000"/>
              </a:schemeClr>
            </a:solidFill>
            <a:ln>
              <a:noFill/>
            </a:ln>
            <a:effectLst/>
          </c:spPr>
          <c:invertIfNegative val="0"/>
          <c:cat>
            <c:multiLvlStrRef>
              <c:f>'4. Analyse'!$F$28:$G$28</c:f>
            </c:multiLvlStrRef>
          </c:cat>
          <c:val>
            <c:numRef>
              <c:f>'4. Analyse'!$L$31:$M$31</c:f>
              <c:numCache>
                <c:formatCode>_("€"\ * #,##0.000_);_("€"\ * \(#,##0.000\);_("€"\ * "-"??_);_(@_)</c:formatCode>
                <c:ptCount val="2"/>
                <c:pt idx="0">
                  <c:v>0</c:v>
                </c:pt>
                <c:pt idx="1">
                  <c:v>0</c:v>
                </c:pt>
              </c:numCache>
            </c:numRef>
          </c:val>
          <c:extLst>
            <c:ext xmlns:c16="http://schemas.microsoft.com/office/drawing/2014/chart" uri="{C3380CC4-5D6E-409C-BE32-E72D297353CC}">
              <c16:uniqueId val="{00000002-4201-D946-A170-B6966BBDB8EF}"/>
            </c:ext>
          </c:extLst>
        </c:ser>
        <c:ser>
          <c:idx val="2"/>
          <c:order val="2"/>
          <c:tx>
            <c:strRef>
              <c:f>'4. Analyse'!$B$32</c:f>
              <c:strCache>
                <c:ptCount val="1"/>
                <c:pt idx="0">
                  <c:v>BPM</c:v>
                </c:pt>
              </c:strCache>
            </c:strRef>
          </c:tx>
          <c:spPr>
            <a:solidFill>
              <a:schemeClr val="accent6">
                <a:lumMod val="40000"/>
                <a:lumOff val="60000"/>
              </a:schemeClr>
            </a:solidFill>
            <a:ln>
              <a:noFill/>
            </a:ln>
            <a:effectLst/>
          </c:spPr>
          <c:invertIfNegative val="0"/>
          <c:cat>
            <c:multiLvlStrRef>
              <c:f>'4. Analyse'!$F$28:$G$28</c:f>
            </c:multiLvlStrRef>
          </c:cat>
          <c:val>
            <c:numRef>
              <c:f>'4. Analyse'!$L$32:$M$32</c:f>
              <c:numCache>
                <c:formatCode>_("€"\ * #,##0.000_);_("€"\ * \(#,##0.000\);_("€"\ * "-"??_);_(@_)</c:formatCode>
                <c:ptCount val="2"/>
                <c:pt idx="0">
                  <c:v>0</c:v>
                </c:pt>
                <c:pt idx="1">
                  <c:v>0</c:v>
                </c:pt>
              </c:numCache>
            </c:numRef>
          </c:val>
          <c:extLst>
            <c:ext xmlns:c16="http://schemas.microsoft.com/office/drawing/2014/chart" uri="{C3380CC4-5D6E-409C-BE32-E72D297353CC}">
              <c16:uniqueId val="{00000001-4201-D946-A170-B6966BBDB8EF}"/>
            </c:ext>
          </c:extLst>
        </c:ser>
        <c:ser>
          <c:idx val="4"/>
          <c:order val="3"/>
          <c:tx>
            <c:strRef>
              <c:f>'4. Analyse'!$B$34</c:f>
              <c:strCache>
                <c:ptCount val="1"/>
                <c:pt idx="0">
                  <c:v>Financieringskosten voertuigen</c:v>
                </c:pt>
              </c:strCache>
            </c:strRef>
          </c:tx>
          <c:spPr>
            <a:solidFill>
              <a:schemeClr val="accent5">
                <a:lumMod val="20000"/>
                <a:lumOff val="80000"/>
              </a:schemeClr>
            </a:solidFill>
            <a:ln>
              <a:noFill/>
            </a:ln>
            <a:effectLst/>
          </c:spPr>
          <c:invertIfNegative val="0"/>
          <c:val>
            <c:numRef>
              <c:f>'4. Analyse'!$L$34:$M$34</c:f>
              <c:numCache>
                <c:formatCode>_("€"\ * #,##0.000_);_("€"\ * \(#,##0.000\);_("€"\ * "-"??_);_(@_)</c:formatCode>
                <c:ptCount val="2"/>
                <c:pt idx="0">
                  <c:v>0</c:v>
                </c:pt>
                <c:pt idx="1">
                  <c:v>0</c:v>
                </c:pt>
              </c:numCache>
            </c:numRef>
          </c:val>
          <c:extLst>
            <c:ext xmlns:c16="http://schemas.microsoft.com/office/drawing/2014/chart" uri="{C3380CC4-5D6E-409C-BE32-E72D297353CC}">
              <c16:uniqueId val="{00000003-4201-D946-A170-B6966BBDB8EF}"/>
            </c:ext>
          </c:extLst>
        </c:ser>
        <c:ser>
          <c:idx val="3"/>
          <c:order val="4"/>
          <c:tx>
            <c:strRef>
              <c:f>'4. Analyse'!$B$40</c:f>
              <c:strCache>
                <c:ptCount val="1"/>
                <c:pt idx="0">
                  <c:v>Laadinfra en netaansluiting excl. BTW</c:v>
                </c:pt>
              </c:strCache>
            </c:strRef>
          </c:tx>
          <c:spPr>
            <a:solidFill>
              <a:schemeClr val="accent2"/>
            </a:solidFill>
            <a:ln>
              <a:noFill/>
            </a:ln>
            <a:effectLst/>
          </c:spPr>
          <c:invertIfNegative val="0"/>
          <c:val>
            <c:numRef>
              <c:f>'4. Analyse'!$L$40:$M$40</c:f>
              <c:numCache>
                <c:formatCode>_("€"\ * #,##0.000_);_("€"\ * \(#,##0.000\);_("€"\ * "-"??_);_(@_)</c:formatCode>
                <c:ptCount val="2"/>
                <c:pt idx="0" formatCode="_(&quot;€&quot;* #,##0.00_);_(&quot;€&quot;* \(#,##0.00\);_(&quot;€&quot;* &quot;-&quot;??_);_(@_)">
                  <c:v>0</c:v>
                </c:pt>
                <c:pt idx="1">
                  <c:v>0</c:v>
                </c:pt>
              </c:numCache>
            </c:numRef>
          </c:val>
          <c:extLst>
            <c:ext xmlns:c16="http://schemas.microsoft.com/office/drawing/2014/chart" uri="{C3380CC4-5D6E-409C-BE32-E72D297353CC}">
              <c16:uniqueId val="{00000000-D106-BE4F-A95D-53D501D773E5}"/>
            </c:ext>
          </c:extLst>
        </c:ser>
        <c:ser>
          <c:idx val="5"/>
          <c:order val="5"/>
          <c:tx>
            <c:strRef>
              <c:f>'4. Analyse'!$B$41</c:f>
              <c:strCache>
                <c:ptCount val="1"/>
                <c:pt idx="0">
                  <c:v>BTW laadinfra &amp; net</c:v>
                </c:pt>
              </c:strCache>
            </c:strRef>
          </c:tx>
          <c:spPr>
            <a:solidFill>
              <a:srgbClr val="DBDBDB"/>
            </a:solidFill>
            <a:ln>
              <a:noFill/>
            </a:ln>
            <a:effectLst/>
          </c:spPr>
          <c:invertIfNegative val="0"/>
          <c:val>
            <c:numRef>
              <c:f>'4. Analyse'!$L$41:$M$41</c:f>
              <c:numCache>
                <c:formatCode>_("€"\ * #,##0.000_);_("€"\ * \(#,##0.000\);_("€"\ * "-"??_);_(@_)</c:formatCode>
                <c:ptCount val="2"/>
                <c:pt idx="0" formatCode="_(&quot;€&quot;* #,##0.00_);_(&quot;€&quot;* \(#,##0.00\);_(&quot;€&quot;* &quot;-&quot;??_);_(@_)">
                  <c:v>0</c:v>
                </c:pt>
                <c:pt idx="1">
                  <c:v>0</c:v>
                </c:pt>
              </c:numCache>
            </c:numRef>
          </c:val>
          <c:extLst>
            <c:ext xmlns:c16="http://schemas.microsoft.com/office/drawing/2014/chart" uri="{C3380CC4-5D6E-409C-BE32-E72D297353CC}">
              <c16:uniqueId val="{00000001-D106-BE4F-A95D-53D501D773E5}"/>
            </c:ext>
          </c:extLst>
        </c:ser>
        <c:ser>
          <c:idx val="6"/>
          <c:order val="6"/>
          <c:tx>
            <c:strRef>
              <c:f>'4. Analyse'!$B$42</c:f>
              <c:strCache>
                <c:ptCount val="1"/>
                <c:pt idx="0">
                  <c:v>Financieringskosten laadinfra &amp; net</c:v>
                </c:pt>
              </c:strCache>
            </c:strRef>
          </c:tx>
          <c:spPr>
            <a:solidFill>
              <a:schemeClr val="accent2">
                <a:lumMod val="40000"/>
                <a:lumOff val="60000"/>
              </a:schemeClr>
            </a:solidFill>
            <a:ln>
              <a:noFill/>
            </a:ln>
            <a:effectLst/>
          </c:spPr>
          <c:invertIfNegative val="0"/>
          <c:val>
            <c:numRef>
              <c:f>'4. Analyse'!$L$42:$M$42</c:f>
              <c:numCache>
                <c:formatCode>_("€"* #,##0.000_);_("€"* \(#,##0.000\);_("€"* "-"??_);_(@_)</c:formatCode>
                <c:ptCount val="2"/>
                <c:pt idx="0" formatCode="_(&quot;€&quot;* #,##0_);_(&quot;€&quot;* \(#,##0\);_(&quot;€&quot;* &quot;-&quot;??_);_(@_)">
                  <c:v>0</c:v>
                </c:pt>
                <c:pt idx="1">
                  <c:v>0</c:v>
                </c:pt>
              </c:numCache>
            </c:numRef>
          </c:val>
          <c:extLst>
            <c:ext xmlns:c16="http://schemas.microsoft.com/office/drawing/2014/chart" uri="{C3380CC4-5D6E-409C-BE32-E72D297353CC}">
              <c16:uniqueId val="{00000002-D106-BE4F-A95D-53D501D773E5}"/>
            </c:ext>
          </c:extLst>
        </c:ser>
        <c:dLbls>
          <c:showLegendKey val="0"/>
          <c:showVal val="0"/>
          <c:showCatName val="0"/>
          <c:showSerName val="0"/>
          <c:showPercent val="0"/>
          <c:showBubbleSize val="0"/>
        </c:dLbls>
        <c:gapWidth val="7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Gem.</a:t>
            </a:r>
            <a:r>
              <a:rPr lang="en-US" sz="1200" b="1" baseline="0"/>
              <a:t> per km </a:t>
            </a:r>
            <a:endParaRPr lang="en-US" sz="12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2057961117692147"/>
          <c:y val="0.12702054794520548"/>
          <c:w val="0.74553132185910387"/>
          <c:h val="0.62037077985114875"/>
        </c:manualLayout>
      </c:layout>
      <c:barChart>
        <c:barDir val="col"/>
        <c:grouping val="stacked"/>
        <c:varyColors val="0"/>
        <c:ser>
          <c:idx val="4"/>
          <c:order val="0"/>
          <c:tx>
            <c:strRef>
              <c:f>'4. Analyse'!$B$52</c:f>
              <c:strCache>
                <c:ptCount val="1"/>
                <c:pt idx="0">
                  <c:v>Brandstofkosten</c:v>
                </c:pt>
              </c:strCache>
            </c:strRef>
          </c:tx>
          <c:spPr>
            <a:solidFill>
              <a:srgbClr val="C00000"/>
            </a:solidFill>
            <a:ln>
              <a:noFill/>
            </a:ln>
            <a:effectLst/>
          </c:spPr>
          <c:invertIfNegative val="0"/>
          <c:val>
            <c:numRef>
              <c:f>'4. Analyse'!$L$52:$M$52</c:f>
              <c:numCache>
                <c:formatCode>_("€"\ * #,##0.000_);_("€"\ * \(#,##0.000\);_("€"\ * "-"??_);_(@_)</c:formatCode>
                <c:ptCount val="2"/>
                <c:pt idx="0">
                  <c:v>0</c:v>
                </c:pt>
                <c:pt idx="1">
                  <c:v>0</c:v>
                </c:pt>
              </c:numCache>
            </c:numRef>
          </c:val>
          <c:extLst>
            <c:ext xmlns:c16="http://schemas.microsoft.com/office/drawing/2014/chart" uri="{C3380CC4-5D6E-409C-BE32-E72D297353CC}">
              <c16:uniqueId val="{00000000-6C24-3745-AABC-81FA115A1710}"/>
            </c:ext>
          </c:extLst>
        </c:ser>
        <c:ser>
          <c:idx val="2"/>
          <c:order val="1"/>
          <c:tx>
            <c:strRef>
              <c:f>'4. Analyse'!$B$50</c:f>
              <c:strCache>
                <c:ptCount val="1"/>
                <c:pt idx="0">
                  <c:v>Onderhoudskosten (ROB)</c:v>
                </c:pt>
              </c:strCache>
            </c:strRef>
          </c:tx>
          <c:spPr>
            <a:solidFill>
              <a:srgbClr val="5B9BD5"/>
            </a:solidFill>
            <a:ln>
              <a:noFill/>
            </a:ln>
            <a:effectLst/>
          </c:spPr>
          <c:invertIfNegative val="0"/>
          <c:cat>
            <c:multiLvlStrRef>
              <c:f>'4. Analyse'!$F$46:$G$46</c:f>
            </c:multiLvlStrRef>
          </c:cat>
          <c:val>
            <c:numRef>
              <c:f>'4. Analyse'!$L$50:$M$50</c:f>
              <c:numCache>
                <c:formatCode>_("€"\ * #,##0.000_);_("€"\ * \(#,##0.000\);_("€"\ * "-"??_);_(@_)</c:formatCode>
                <c:ptCount val="2"/>
                <c:pt idx="0">
                  <c:v>0</c:v>
                </c:pt>
                <c:pt idx="1">
                  <c:v>0</c:v>
                </c:pt>
              </c:numCache>
            </c:numRef>
          </c:val>
          <c:extLst>
            <c:ext xmlns:c16="http://schemas.microsoft.com/office/drawing/2014/chart" uri="{C3380CC4-5D6E-409C-BE32-E72D297353CC}">
              <c16:uniqueId val="{00000003-6C24-3745-AABC-81FA115A1710}"/>
            </c:ext>
          </c:extLst>
        </c:ser>
        <c:ser>
          <c:idx val="0"/>
          <c:order val="2"/>
          <c:tx>
            <c:strRef>
              <c:f>'4. Analyse'!$B$48</c:f>
              <c:strCache>
                <c:ptCount val="1"/>
                <c:pt idx="0">
                  <c:v>Verzekeringskosten</c:v>
                </c:pt>
              </c:strCache>
            </c:strRef>
          </c:tx>
          <c:spPr>
            <a:solidFill>
              <a:srgbClr val="FFE699"/>
            </a:solidFill>
            <a:ln>
              <a:noFill/>
            </a:ln>
            <a:effectLst/>
          </c:spPr>
          <c:invertIfNegative val="0"/>
          <c:cat>
            <c:multiLvlStrRef>
              <c:f>'4. Analyse'!$F$46:$G$46</c:f>
            </c:multiLvlStrRef>
          </c:cat>
          <c:val>
            <c:numRef>
              <c:f>'4. Analyse'!$L$48:$M$48</c:f>
              <c:numCache>
                <c:formatCode>_("€"\ * #,##0.000_);_("€"\ * \(#,##0.000\);_("€"\ * "-"??_);_(@_)</c:formatCode>
                <c:ptCount val="2"/>
                <c:pt idx="0">
                  <c:v>0</c:v>
                </c:pt>
                <c:pt idx="1">
                  <c:v>0</c:v>
                </c:pt>
              </c:numCache>
            </c:numRef>
          </c:val>
          <c:extLst>
            <c:ext xmlns:c16="http://schemas.microsoft.com/office/drawing/2014/chart" uri="{C3380CC4-5D6E-409C-BE32-E72D297353CC}">
              <c16:uniqueId val="{00000001-6C24-3745-AABC-81FA115A1710}"/>
            </c:ext>
          </c:extLst>
        </c:ser>
        <c:ser>
          <c:idx val="5"/>
          <c:order val="3"/>
          <c:tx>
            <c:strRef>
              <c:f>'4. Analyse'!$B$51</c:f>
              <c:strCache>
                <c:ptCount val="1"/>
                <c:pt idx="0">
                  <c:v>Schade</c:v>
                </c:pt>
              </c:strCache>
            </c:strRef>
          </c:tx>
          <c:spPr>
            <a:solidFill>
              <a:srgbClr val="70AD46"/>
            </a:solidFill>
            <a:ln>
              <a:noFill/>
            </a:ln>
            <a:effectLst/>
          </c:spPr>
          <c:invertIfNegative val="0"/>
          <c:val>
            <c:numRef>
              <c:f>'4. Analyse'!$L$51:$M$51</c:f>
              <c:numCache>
                <c:formatCode>_("€"\ * #,##0.000_);_("€"\ * \(#,##0.000\);_("€"\ * "-"??_);_(@_)</c:formatCode>
                <c:ptCount val="2"/>
                <c:pt idx="0">
                  <c:v>0</c:v>
                </c:pt>
                <c:pt idx="1">
                  <c:v>0</c:v>
                </c:pt>
              </c:numCache>
            </c:numRef>
          </c:val>
          <c:extLst>
            <c:ext xmlns:c16="http://schemas.microsoft.com/office/drawing/2014/chart" uri="{C3380CC4-5D6E-409C-BE32-E72D297353CC}">
              <c16:uniqueId val="{00000002-6C24-3745-AABC-81FA115A1710}"/>
            </c:ext>
          </c:extLst>
        </c:ser>
        <c:ser>
          <c:idx val="1"/>
          <c:order val="4"/>
          <c:tx>
            <c:strRef>
              <c:f>'4. Analyse'!$B$49</c:f>
              <c:strCache>
                <c:ptCount val="1"/>
                <c:pt idx="0">
                  <c:v>MRB</c:v>
                </c:pt>
              </c:strCache>
            </c:strRef>
          </c:tx>
          <c:spPr>
            <a:solidFill>
              <a:srgbClr val="375623"/>
            </a:solidFill>
            <a:ln>
              <a:noFill/>
            </a:ln>
            <a:effectLst/>
          </c:spPr>
          <c:invertIfNegative val="0"/>
          <c:cat>
            <c:multiLvlStrRef>
              <c:f>'4. Analyse'!$F$46:$G$46</c:f>
            </c:multiLvlStrRef>
          </c:cat>
          <c:val>
            <c:numRef>
              <c:f>'4. Analyse'!$L$49:$M$49</c:f>
              <c:numCache>
                <c:formatCode>_("€"\ * #,##0.000_);_("€"\ * \(#,##0.000\);_("€"\ * "-"??_);_(@_)</c:formatCode>
                <c:ptCount val="2"/>
                <c:pt idx="0">
                  <c:v>0</c:v>
                </c:pt>
                <c:pt idx="1">
                  <c:v>0</c:v>
                </c:pt>
              </c:numCache>
            </c:numRef>
          </c:val>
          <c:extLst>
            <c:ext xmlns:c16="http://schemas.microsoft.com/office/drawing/2014/chart" uri="{C3380CC4-5D6E-409C-BE32-E72D297353CC}">
              <c16:uniqueId val="{00000005-6C24-3745-AABC-81FA115A1710}"/>
            </c:ext>
          </c:extLst>
        </c:ser>
        <c:ser>
          <c:idx val="6"/>
          <c:order val="5"/>
          <c:tx>
            <c:strRef>
              <c:f>'4. Analyse'!$B$57</c:f>
              <c:strCache>
                <c:ptCount val="1"/>
                <c:pt idx="0">
                  <c:v>B&amp;O en periodieke kosten laadinfra &amp; net</c:v>
                </c:pt>
              </c:strCache>
            </c:strRef>
          </c:tx>
          <c:spPr>
            <a:solidFill>
              <a:srgbClr val="FFC000"/>
            </a:solidFill>
            <a:ln>
              <a:noFill/>
            </a:ln>
            <a:effectLst/>
          </c:spPr>
          <c:invertIfNegative val="0"/>
          <c:val>
            <c:numRef>
              <c:f>'4. Analyse'!$L$57:$M$57</c:f>
              <c:numCache>
                <c:formatCode>_("€"\ * #,##0.000_);_("€"\ * \(#,##0.000\);_("€"\ * "-"??_);_(@_)</c:formatCode>
                <c:ptCount val="2"/>
                <c:pt idx="0">
                  <c:v>0</c:v>
                </c:pt>
                <c:pt idx="1">
                  <c:v>0</c:v>
                </c:pt>
              </c:numCache>
            </c:numRef>
          </c:val>
          <c:extLst>
            <c:ext xmlns:c16="http://schemas.microsoft.com/office/drawing/2014/chart" uri="{C3380CC4-5D6E-409C-BE32-E72D297353CC}">
              <c16:uniqueId val="{00000000-2DFC-A542-BDB4-36CDA31E775E}"/>
            </c:ext>
          </c:extLst>
        </c:ser>
        <c:ser>
          <c:idx val="3"/>
          <c:order val="6"/>
          <c:tx>
            <c:strRef>
              <c:f>'4. Analyse'!$B$53</c:f>
              <c:strCache>
                <c:ptCount val="1"/>
                <c:pt idx="0">
                  <c:v>Meerkosten chauffeur</c:v>
                </c:pt>
              </c:strCache>
            </c:strRef>
          </c:tx>
          <c:spPr>
            <a:pattFill prst="wdUpDiag">
              <a:fgClr>
                <a:srgbClr val="C00000"/>
              </a:fgClr>
              <a:bgClr>
                <a:schemeClr val="bg1"/>
              </a:bgClr>
            </a:pattFill>
            <a:ln>
              <a:noFill/>
            </a:ln>
            <a:effectLst/>
          </c:spPr>
          <c:invertIfNegative val="0"/>
          <c:val>
            <c:numRef>
              <c:f>'4. Analyse'!$L$53:$M$53</c:f>
              <c:numCache>
                <c:formatCode>_("€"\ * #,##0.000_);_("€"\ * \(#,##0.000\);_("€"\ * "-"??_);_(@_)</c:formatCode>
                <c:ptCount val="2"/>
                <c:pt idx="0">
                  <c:v>0</c:v>
                </c:pt>
                <c:pt idx="1">
                  <c:v>0</c:v>
                </c:pt>
              </c:numCache>
            </c:numRef>
          </c:val>
          <c:extLst>
            <c:ext xmlns:c16="http://schemas.microsoft.com/office/drawing/2014/chart" uri="{C3380CC4-5D6E-409C-BE32-E72D297353CC}">
              <c16:uniqueId val="{00000004-6C24-3745-AABC-81FA115A1710}"/>
            </c:ext>
          </c:extLst>
        </c:ser>
        <c:dLbls>
          <c:showLegendKey val="0"/>
          <c:showVal val="0"/>
          <c:showCatName val="0"/>
          <c:showSerName val="0"/>
          <c:showPercent val="0"/>
          <c:showBubbleSize val="0"/>
        </c:dLbls>
        <c:gapWidth val="75"/>
        <c:overlap val="100"/>
        <c:axId val="1956958960"/>
        <c:axId val="1927775328"/>
      </c:barChart>
      <c:catAx>
        <c:axId val="195695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1927775328"/>
        <c:crosses val="autoZero"/>
        <c:auto val="1"/>
        <c:lblAlgn val="ctr"/>
        <c:lblOffset val="100"/>
        <c:noMultiLvlLbl val="0"/>
      </c:catAx>
      <c:valAx>
        <c:axId val="192777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6958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chartData>
  <cx:chart>
    <cx:plotArea>
      <cx:plotAreaRegion>
        <cx:series layoutId="sunburst" uniqueId="{D7BBA45B-8FB0-994F-82D2-277EF3D4BE33}">
          <cx:tx>
            <cx:txData>
              <cx:f>_xlchart.v1.1</cx:f>
              <cx:v>Aantal</cx:v>
            </cx:txData>
          </cx:tx>
          <cx:dataLabels pos="ctr">
            <cx:visibility seriesName="0" categoryName="1" value="0"/>
          </cx:dataLabels>
          <cx:dataId val="0"/>
        </cx:series>
      </cx:plotAreaRegion>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6.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5.emf"/><Relationship Id="rId5" Type="http://schemas.openxmlformats.org/officeDocument/2006/relationships/image" Target="../media/image4.jpeg"/><Relationship Id="rId4" Type="http://schemas.openxmlformats.org/officeDocument/2006/relationships/hyperlink" Target="https://www.pianoo.nl/nl"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5.emf"/><Relationship Id="rId5" Type="http://schemas.openxmlformats.org/officeDocument/2006/relationships/image" Target="../media/image4.jpeg"/><Relationship Id="rId4" Type="http://schemas.openxmlformats.org/officeDocument/2006/relationships/hyperlink" Target="https://www.pianoo.nl/nl" TargetMode="External"/></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microsoft.com/office/2014/relationships/chartEx" Target="../charts/chartEx1.xml"/><Relationship Id="rId15" Type="http://schemas.openxmlformats.org/officeDocument/2006/relationships/chart" Target="../charts/chart14.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 Id="rId14"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3" Type="http://schemas.openxmlformats.org/officeDocument/2006/relationships/image" Target="../media/image9.tiff"/><Relationship Id="rId2" Type="http://schemas.openxmlformats.org/officeDocument/2006/relationships/image" Target="../media/image8.jpeg"/><Relationship Id="rId1" Type="http://schemas.openxmlformats.org/officeDocument/2006/relationships/chart" Target="../charts/chart17.xml"/><Relationship Id="rId5" Type="http://schemas.openxmlformats.org/officeDocument/2006/relationships/chart" Target="../charts/chart19.xml"/><Relationship Id="rId4" Type="http://schemas.openxmlformats.org/officeDocument/2006/relationships/chart" Target="../charts/chart18.xml"/></Relationships>
</file>

<file path=xl/drawings/_rels/drawing9.xml.rels><?xml version="1.0" encoding="UTF-8" standalone="yes"?>
<Relationships xmlns="http://schemas.openxmlformats.org/package/2006/relationships"><Relationship Id="rId8" Type="http://schemas.openxmlformats.org/officeDocument/2006/relationships/image" Target="../media/image17.jpeg"/><Relationship Id="rId13" Type="http://schemas.openxmlformats.org/officeDocument/2006/relationships/image" Target="../media/image22.jpeg"/><Relationship Id="rId18" Type="http://schemas.openxmlformats.org/officeDocument/2006/relationships/image" Target="../media/image27.jpeg"/><Relationship Id="rId3" Type="http://schemas.openxmlformats.org/officeDocument/2006/relationships/image" Target="../media/image12.jpeg"/><Relationship Id="rId21" Type="http://schemas.openxmlformats.org/officeDocument/2006/relationships/image" Target="../media/image30.jpeg"/><Relationship Id="rId7" Type="http://schemas.openxmlformats.org/officeDocument/2006/relationships/image" Target="../media/image16.jpeg"/><Relationship Id="rId12" Type="http://schemas.openxmlformats.org/officeDocument/2006/relationships/image" Target="../media/image21.jpeg"/><Relationship Id="rId17" Type="http://schemas.openxmlformats.org/officeDocument/2006/relationships/image" Target="../media/image26.jpeg"/><Relationship Id="rId25" Type="http://schemas.openxmlformats.org/officeDocument/2006/relationships/image" Target="../media/image34.jpeg"/><Relationship Id="rId2" Type="http://schemas.openxmlformats.org/officeDocument/2006/relationships/image" Target="../media/image11.jpeg"/><Relationship Id="rId16" Type="http://schemas.openxmlformats.org/officeDocument/2006/relationships/image" Target="../media/image25.jpeg"/><Relationship Id="rId20" Type="http://schemas.openxmlformats.org/officeDocument/2006/relationships/image" Target="../media/image29.jpeg"/><Relationship Id="rId1" Type="http://schemas.openxmlformats.org/officeDocument/2006/relationships/image" Target="../media/image10.jpeg"/><Relationship Id="rId6" Type="http://schemas.openxmlformats.org/officeDocument/2006/relationships/image" Target="../media/image15.jpeg"/><Relationship Id="rId11" Type="http://schemas.openxmlformats.org/officeDocument/2006/relationships/image" Target="../media/image20.jpeg"/><Relationship Id="rId24" Type="http://schemas.openxmlformats.org/officeDocument/2006/relationships/image" Target="../media/image33.jpeg"/><Relationship Id="rId5" Type="http://schemas.openxmlformats.org/officeDocument/2006/relationships/image" Target="../media/image14.jpeg"/><Relationship Id="rId15" Type="http://schemas.openxmlformats.org/officeDocument/2006/relationships/image" Target="../media/image24.jpeg"/><Relationship Id="rId23" Type="http://schemas.openxmlformats.org/officeDocument/2006/relationships/image" Target="../media/image32.jpeg"/><Relationship Id="rId10" Type="http://schemas.openxmlformats.org/officeDocument/2006/relationships/image" Target="../media/image19.jpeg"/><Relationship Id="rId19" Type="http://schemas.openxmlformats.org/officeDocument/2006/relationships/image" Target="../media/image28.jpeg"/><Relationship Id="rId4" Type="http://schemas.openxmlformats.org/officeDocument/2006/relationships/image" Target="../media/image13.jpeg"/><Relationship Id="rId9" Type="http://schemas.openxmlformats.org/officeDocument/2006/relationships/image" Target="../media/image18.jpeg"/><Relationship Id="rId14" Type="http://schemas.openxmlformats.org/officeDocument/2006/relationships/image" Target="../media/image23.jpeg"/><Relationship Id="rId22" Type="http://schemas.openxmlformats.org/officeDocument/2006/relationships/image" Target="../media/image31.jpeg"/></Relationships>
</file>

<file path=xl/drawings/drawing1.xml><?xml version="1.0" encoding="utf-8"?>
<xdr:wsDr xmlns:xdr="http://schemas.openxmlformats.org/drawingml/2006/spreadsheetDrawing" xmlns:a="http://schemas.openxmlformats.org/drawingml/2006/main">
  <xdr:oneCellAnchor>
    <xdr:from>
      <xdr:col>7</xdr:col>
      <xdr:colOff>63499</xdr:colOff>
      <xdr:row>10</xdr:row>
      <xdr:rowOff>165100</xdr:rowOff>
    </xdr:from>
    <xdr:ext cx="7772401" cy="1862406"/>
    <xdr:pic>
      <xdr:nvPicPr>
        <xdr:cNvPr id="3" name="Afbeelding 2" descr="(1) Reduceren van CO2 uistoot: 7,3 Mton minder in 2030&#10;(2) Luchtkwaliteit en geluidshinder&#10;(3) Voorbeeld- en aanjaagfunctie van de overheid&#10;(4) Economische voordelen&#10;(5) Energietransitie " title="Waarom zero emissie vervoer stimuleren als publieke organisatie?">
          <a:extLst>
            <a:ext uri="{FF2B5EF4-FFF2-40B4-BE49-F238E27FC236}">
              <a16:creationId xmlns:a16="http://schemas.microsoft.com/office/drawing/2014/main" id="{7D2EB62C-58E9-0449-8BDD-C68B79DDF62B}"/>
            </a:ext>
          </a:extLst>
        </xdr:cNvPr>
        <xdr:cNvPicPr>
          <a:picLocks noChangeAspect="1"/>
        </xdr:cNvPicPr>
      </xdr:nvPicPr>
      <xdr:blipFill>
        <a:blip xmlns:r="http://schemas.openxmlformats.org/officeDocument/2006/relationships" r:embed="rId1"/>
        <a:stretch>
          <a:fillRect/>
        </a:stretch>
      </xdr:blipFill>
      <xdr:spPr>
        <a:xfrm>
          <a:off x="5841999" y="2197100"/>
          <a:ext cx="7772401" cy="1862406"/>
        </a:xfrm>
        <a:prstGeom prst="rect">
          <a:avLst/>
        </a:prstGeom>
      </xdr:spPr>
    </xdr:pic>
    <xdr:clientData/>
  </xdr:oneCellAnchor>
  <xdr:oneCellAnchor>
    <xdr:from>
      <xdr:col>5</xdr:col>
      <xdr:colOff>282045</xdr:colOff>
      <xdr:row>13</xdr:row>
      <xdr:rowOff>146052</xdr:rowOff>
    </xdr:from>
    <xdr:ext cx="9401705" cy="4006848"/>
    <xdr:pic>
      <xdr:nvPicPr>
        <xdr:cNvPr id="4" name="Afbeelding 3" descr="Aandeel transport in NOx-emissies in Nederland: Transport 57%, Overig 43%.&#10;&#10;Aandeel transport: auto's, bestelwagens en vrachtwagens 57%, vaart 25%, landbouw 6%, trein en bouw: 11%&#10;" title="NOx en PM10 emissies">
          <a:extLst>
            <a:ext uri="{FF2B5EF4-FFF2-40B4-BE49-F238E27FC236}">
              <a16:creationId xmlns:a16="http://schemas.microsoft.com/office/drawing/2014/main" id="{2D484407-5125-D14D-BD48-0FF78F921C18}"/>
            </a:ext>
          </a:extLst>
        </xdr:cNvPr>
        <xdr:cNvPicPr>
          <a:picLocks noChangeAspect="1"/>
        </xdr:cNvPicPr>
      </xdr:nvPicPr>
      <xdr:blipFill>
        <a:blip xmlns:r="http://schemas.openxmlformats.org/officeDocument/2006/relationships" r:embed="rId2"/>
        <a:stretch>
          <a:fillRect/>
        </a:stretch>
      </xdr:blipFill>
      <xdr:spPr>
        <a:xfrm>
          <a:off x="4409545" y="2787652"/>
          <a:ext cx="9401705" cy="4006848"/>
        </a:xfrm>
        <a:prstGeom prst="rect">
          <a:avLst/>
        </a:prstGeom>
      </xdr:spPr>
    </xdr:pic>
    <xdr:clientData/>
  </xdr:oneCellAnchor>
  <xdr:oneCellAnchor>
    <xdr:from>
      <xdr:col>1</xdr:col>
      <xdr:colOff>139699</xdr:colOff>
      <xdr:row>13</xdr:row>
      <xdr:rowOff>165100</xdr:rowOff>
    </xdr:from>
    <xdr:ext cx="8851901" cy="3988566"/>
    <xdr:pic>
      <xdr:nvPicPr>
        <xdr:cNvPr id="5" name="Afbeelding 4" descr="Aandeel transport in CO2-emissies in Nederland: Transport 28% en Overig 72%.&#10;&#10;Aandeel wegverkeer in CO2-emissies in Nederland. Vliegverkeer 25%, wegverkeer 56%, vaart 13% en overig 6%.&#10;&#10;Verdeling CO2-emissies wegverkeer in Nederland. Auto's 63%, bussen 2%, bestelwagens 14%, vrachtwagens 18%, overig 3%. " title="CO2 emissies transport in Nederland">
          <a:extLst>
            <a:ext uri="{FF2B5EF4-FFF2-40B4-BE49-F238E27FC236}">
              <a16:creationId xmlns:a16="http://schemas.microsoft.com/office/drawing/2014/main" id="{F0B26BA5-6FE3-F641-B9D6-04A48CD654FC}"/>
            </a:ext>
          </a:extLst>
        </xdr:cNvPr>
        <xdr:cNvPicPr>
          <a:picLocks noChangeAspect="1"/>
        </xdr:cNvPicPr>
      </xdr:nvPicPr>
      <xdr:blipFill>
        <a:blip xmlns:r="http://schemas.openxmlformats.org/officeDocument/2006/relationships" r:embed="rId3"/>
        <a:stretch>
          <a:fillRect/>
        </a:stretch>
      </xdr:blipFill>
      <xdr:spPr>
        <a:xfrm>
          <a:off x="965199" y="2806700"/>
          <a:ext cx="8851901" cy="3988566"/>
        </a:xfrm>
        <a:prstGeom prst="rect">
          <a:avLst/>
        </a:prstGeom>
      </xdr:spPr>
    </xdr:pic>
    <xdr:clientData/>
  </xdr:oneCellAnchor>
  <xdr:oneCellAnchor>
    <xdr:from>
      <xdr:col>1</xdr:col>
      <xdr:colOff>50800</xdr:colOff>
      <xdr:row>0</xdr:row>
      <xdr:rowOff>63500</xdr:rowOff>
    </xdr:from>
    <xdr:ext cx="2133600" cy="430227"/>
    <xdr:pic>
      <xdr:nvPicPr>
        <xdr:cNvPr id="6" name="Afbeelding 5" descr="Afbeeldingsresultaat voor pianoo logo" title="Logo PIANOo">
          <a:hlinkClick xmlns:r="http://schemas.openxmlformats.org/officeDocument/2006/relationships" r:id="rId4" tooltip="Klik op het logo van PIANOo om naar de website te gaan"/>
          <a:extLst>
            <a:ext uri="{FF2B5EF4-FFF2-40B4-BE49-F238E27FC236}">
              <a16:creationId xmlns:a16="http://schemas.microsoft.com/office/drawing/2014/main" id="{FC14D1D9-B4A9-8C42-A600-C179C1E57D66}"/>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39407" b="40741"/>
        <a:stretch/>
      </xdr:blipFill>
      <xdr:spPr bwMode="auto">
        <a:xfrm>
          <a:off x="876300" y="63500"/>
          <a:ext cx="2133600" cy="4302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469899</xdr:colOff>
      <xdr:row>10</xdr:row>
      <xdr:rowOff>2057400</xdr:rowOff>
    </xdr:from>
    <xdr:ext cx="7035801" cy="2623349"/>
    <xdr:pic>
      <xdr:nvPicPr>
        <xdr:cNvPr id="7" name="Afbeelding 6" descr="CO2-emissie door wegverkeer in 2016: 29 Mton.&#10;&#10;CO2-emissie per jaar bij EV met huidige energiemix: 17 Mton&#10;&#10;CO2-emissie per jaar bij EV met 100% duurzame opwek: 1,5 Mton. " title="Wat kan EV doen aan CO2-emissie door wegverkeer?">
          <a:extLst>
            <a:ext uri="{FF2B5EF4-FFF2-40B4-BE49-F238E27FC236}">
              <a16:creationId xmlns:a16="http://schemas.microsoft.com/office/drawing/2014/main" id="{D473B144-6DFD-0543-9210-9DD3CCE1D5CF}"/>
            </a:ext>
          </a:extLst>
        </xdr:cNvPr>
        <xdr:cNvPicPr>
          <a:picLocks noChangeAspect="1"/>
        </xdr:cNvPicPr>
      </xdr:nvPicPr>
      <xdr:blipFill>
        <a:blip xmlns:r="http://schemas.openxmlformats.org/officeDocument/2006/relationships" r:embed="rId6"/>
        <a:stretch>
          <a:fillRect/>
        </a:stretch>
      </xdr:blipFill>
      <xdr:spPr>
        <a:xfrm>
          <a:off x="6248399" y="2235200"/>
          <a:ext cx="7035801" cy="2623349"/>
        </a:xfrm>
        <a:prstGeom prst="rect">
          <a:avLst/>
        </a:prstGeom>
      </xdr:spPr>
    </xdr:pic>
    <xdr:clientData/>
  </xdr:oneCellAnchor>
  <xdr:oneCellAnchor>
    <xdr:from>
      <xdr:col>8</xdr:col>
      <xdr:colOff>1066800</xdr:colOff>
      <xdr:row>2</xdr:row>
      <xdr:rowOff>132645</xdr:rowOff>
    </xdr:from>
    <xdr:ext cx="4737100" cy="955208"/>
    <xdr:pic>
      <xdr:nvPicPr>
        <xdr:cNvPr id="9" name="Afbeelding 8" descr="Afbeeldingsresultaat voor pianoo logo" title="Logo PIANOo">
          <a:hlinkClick xmlns:r="http://schemas.openxmlformats.org/officeDocument/2006/relationships" r:id="rId4" tooltip="Klik op het logo van PIANOo om naar de website te gaan"/>
          <a:extLst>
            <a:ext uri="{FF2B5EF4-FFF2-40B4-BE49-F238E27FC236}">
              <a16:creationId xmlns:a16="http://schemas.microsoft.com/office/drawing/2014/main" id="{95B35E2F-94FE-A144-9ECB-EE3F6971C8B8}"/>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39407" b="40741"/>
        <a:stretch/>
      </xdr:blipFill>
      <xdr:spPr bwMode="auto">
        <a:xfrm>
          <a:off x="11328400" y="1059745"/>
          <a:ext cx="4737100" cy="9552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292101</xdr:colOff>
      <xdr:row>2</xdr:row>
      <xdr:rowOff>1079500</xdr:rowOff>
    </xdr:from>
    <xdr:to>
      <xdr:col>10</xdr:col>
      <xdr:colOff>4127500</xdr:colOff>
      <xdr:row>3</xdr:row>
      <xdr:rowOff>4241909</xdr:rowOff>
    </xdr:to>
    <xdr:pic>
      <xdr:nvPicPr>
        <xdr:cNvPr id="11" name="Afbeelding 10">
          <a:extLst>
            <a:ext uri="{FF2B5EF4-FFF2-40B4-BE49-F238E27FC236}">
              <a16:creationId xmlns:a16="http://schemas.microsoft.com/office/drawing/2014/main" id="{F0AABF33-7B3C-CB4D-927C-D0D19A3211B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515601" y="2006600"/>
          <a:ext cx="6400799" cy="51182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0</xdr:colOff>
      <xdr:row>69</xdr:row>
      <xdr:rowOff>0</xdr:rowOff>
    </xdr:from>
    <xdr:to>
      <xdr:col>8</xdr:col>
      <xdr:colOff>139700</xdr:colOff>
      <xdr:row>69</xdr:row>
      <xdr:rowOff>139700</xdr:rowOff>
    </xdr:to>
    <xdr:pic>
      <xdr:nvPicPr>
        <xdr:cNvPr id="2" name="Afbeelding 1" descr="Decrease">
          <a:extLst>
            <a:ext uri="{FF2B5EF4-FFF2-40B4-BE49-F238E27FC236}">
              <a16:creationId xmlns:a16="http://schemas.microsoft.com/office/drawing/2014/main" id="{C59498ED-593D-1E4C-A176-6BD4239FC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39400" y="96012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70</xdr:row>
      <xdr:rowOff>0</xdr:rowOff>
    </xdr:from>
    <xdr:to>
      <xdr:col>8</xdr:col>
      <xdr:colOff>139700</xdr:colOff>
      <xdr:row>70</xdr:row>
      <xdr:rowOff>139700</xdr:rowOff>
    </xdr:to>
    <xdr:pic>
      <xdr:nvPicPr>
        <xdr:cNvPr id="3" name="Afbeelding 2" descr="Increase">
          <a:extLst>
            <a:ext uri="{FF2B5EF4-FFF2-40B4-BE49-F238E27FC236}">
              <a16:creationId xmlns:a16="http://schemas.microsoft.com/office/drawing/2014/main" id="{2DD5303C-AB1E-2347-B4DD-F007AFC0C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39400" y="98298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71</xdr:row>
      <xdr:rowOff>0</xdr:rowOff>
    </xdr:from>
    <xdr:to>
      <xdr:col>8</xdr:col>
      <xdr:colOff>139700</xdr:colOff>
      <xdr:row>71</xdr:row>
      <xdr:rowOff>139700</xdr:rowOff>
    </xdr:to>
    <xdr:pic>
      <xdr:nvPicPr>
        <xdr:cNvPr id="4" name="Afbeelding 3" descr="Decrease">
          <a:extLst>
            <a:ext uri="{FF2B5EF4-FFF2-40B4-BE49-F238E27FC236}">
              <a16:creationId xmlns:a16="http://schemas.microsoft.com/office/drawing/2014/main" id="{140C5C63-52FA-0C4A-B55E-DACCEB95C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39400" y="100584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72</xdr:row>
      <xdr:rowOff>0</xdr:rowOff>
    </xdr:from>
    <xdr:to>
      <xdr:col>8</xdr:col>
      <xdr:colOff>139700</xdr:colOff>
      <xdr:row>72</xdr:row>
      <xdr:rowOff>139700</xdr:rowOff>
    </xdr:to>
    <xdr:pic>
      <xdr:nvPicPr>
        <xdr:cNvPr id="5" name="Afbeelding 4" descr="Increase">
          <a:extLst>
            <a:ext uri="{FF2B5EF4-FFF2-40B4-BE49-F238E27FC236}">
              <a16:creationId xmlns:a16="http://schemas.microsoft.com/office/drawing/2014/main" id="{20E6B38F-13B2-7B4F-8B56-41208349E3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39400" y="102870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73</xdr:row>
      <xdr:rowOff>0</xdr:rowOff>
    </xdr:from>
    <xdr:to>
      <xdr:col>8</xdr:col>
      <xdr:colOff>139700</xdr:colOff>
      <xdr:row>73</xdr:row>
      <xdr:rowOff>139700</xdr:rowOff>
    </xdr:to>
    <xdr:pic>
      <xdr:nvPicPr>
        <xdr:cNvPr id="6" name="Afbeelding 5" descr="Increase">
          <a:extLst>
            <a:ext uri="{FF2B5EF4-FFF2-40B4-BE49-F238E27FC236}">
              <a16:creationId xmlns:a16="http://schemas.microsoft.com/office/drawing/2014/main" id="{DC4EBA36-92D2-2D40-B6AA-CEB3318E04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39400" y="105156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49</xdr:row>
      <xdr:rowOff>0</xdr:rowOff>
    </xdr:from>
    <xdr:to>
      <xdr:col>8</xdr:col>
      <xdr:colOff>139700</xdr:colOff>
      <xdr:row>49</xdr:row>
      <xdr:rowOff>139700</xdr:rowOff>
    </xdr:to>
    <xdr:pic>
      <xdr:nvPicPr>
        <xdr:cNvPr id="7" name="Afbeelding 6" descr="Increase">
          <a:extLst>
            <a:ext uri="{FF2B5EF4-FFF2-40B4-BE49-F238E27FC236}">
              <a16:creationId xmlns:a16="http://schemas.microsoft.com/office/drawing/2014/main" id="{29DEA5E4-1CA9-8A46-8B25-6C13A4CDF3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98044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50</xdr:row>
      <xdr:rowOff>0</xdr:rowOff>
    </xdr:from>
    <xdr:to>
      <xdr:col>8</xdr:col>
      <xdr:colOff>139700</xdr:colOff>
      <xdr:row>50</xdr:row>
      <xdr:rowOff>139700</xdr:rowOff>
    </xdr:to>
    <xdr:pic>
      <xdr:nvPicPr>
        <xdr:cNvPr id="8" name="Afbeelding 7" descr="Decrease">
          <a:extLst>
            <a:ext uri="{FF2B5EF4-FFF2-40B4-BE49-F238E27FC236}">
              <a16:creationId xmlns:a16="http://schemas.microsoft.com/office/drawing/2014/main" id="{B78E479A-2C07-5549-B2BE-2C7FFE846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00330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51</xdr:row>
      <xdr:rowOff>0</xdr:rowOff>
    </xdr:from>
    <xdr:to>
      <xdr:col>8</xdr:col>
      <xdr:colOff>139700</xdr:colOff>
      <xdr:row>51</xdr:row>
      <xdr:rowOff>139700</xdr:rowOff>
    </xdr:to>
    <xdr:pic>
      <xdr:nvPicPr>
        <xdr:cNvPr id="9" name="Afbeelding 8" descr="Increase">
          <a:extLst>
            <a:ext uri="{FF2B5EF4-FFF2-40B4-BE49-F238E27FC236}">
              <a16:creationId xmlns:a16="http://schemas.microsoft.com/office/drawing/2014/main" id="{51C99CE4-5EEC-5240-9F59-3204D4E387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02616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52</xdr:row>
      <xdr:rowOff>0</xdr:rowOff>
    </xdr:from>
    <xdr:to>
      <xdr:col>8</xdr:col>
      <xdr:colOff>139700</xdr:colOff>
      <xdr:row>52</xdr:row>
      <xdr:rowOff>139700</xdr:rowOff>
    </xdr:to>
    <xdr:pic>
      <xdr:nvPicPr>
        <xdr:cNvPr id="10" name="Afbeelding 9" descr="Increase">
          <a:extLst>
            <a:ext uri="{FF2B5EF4-FFF2-40B4-BE49-F238E27FC236}">
              <a16:creationId xmlns:a16="http://schemas.microsoft.com/office/drawing/2014/main" id="{C6B8480B-2A66-2447-B935-5FB821B64E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04902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53</xdr:row>
      <xdr:rowOff>0</xdr:rowOff>
    </xdr:from>
    <xdr:to>
      <xdr:col>8</xdr:col>
      <xdr:colOff>139700</xdr:colOff>
      <xdr:row>53</xdr:row>
      <xdr:rowOff>139700</xdr:rowOff>
    </xdr:to>
    <xdr:pic>
      <xdr:nvPicPr>
        <xdr:cNvPr id="11" name="Afbeelding 10" descr="Increase">
          <a:extLst>
            <a:ext uri="{FF2B5EF4-FFF2-40B4-BE49-F238E27FC236}">
              <a16:creationId xmlns:a16="http://schemas.microsoft.com/office/drawing/2014/main" id="{2C0B7D2D-51CD-594F-B19D-E8025EA554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07188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57</xdr:row>
      <xdr:rowOff>0</xdr:rowOff>
    </xdr:from>
    <xdr:to>
      <xdr:col>8</xdr:col>
      <xdr:colOff>139700</xdr:colOff>
      <xdr:row>57</xdr:row>
      <xdr:rowOff>139700</xdr:rowOff>
    </xdr:to>
    <xdr:pic>
      <xdr:nvPicPr>
        <xdr:cNvPr id="17" name="Afbeelding 16" descr="Increase">
          <a:extLst>
            <a:ext uri="{FF2B5EF4-FFF2-40B4-BE49-F238E27FC236}">
              <a16:creationId xmlns:a16="http://schemas.microsoft.com/office/drawing/2014/main" id="{A854E87E-2AAD-D54A-99F9-2B9D10B8C6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24587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58</xdr:row>
      <xdr:rowOff>0</xdr:rowOff>
    </xdr:from>
    <xdr:to>
      <xdr:col>8</xdr:col>
      <xdr:colOff>139700</xdr:colOff>
      <xdr:row>58</xdr:row>
      <xdr:rowOff>139700</xdr:rowOff>
    </xdr:to>
    <xdr:pic>
      <xdr:nvPicPr>
        <xdr:cNvPr id="18" name="Afbeelding 17" descr="Decrease">
          <a:extLst>
            <a:ext uri="{FF2B5EF4-FFF2-40B4-BE49-F238E27FC236}">
              <a16:creationId xmlns:a16="http://schemas.microsoft.com/office/drawing/2014/main" id="{047682FC-451D-CA4D-88CF-8705510A0F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26746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139700</xdr:colOff>
      <xdr:row>59</xdr:row>
      <xdr:rowOff>139700</xdr:rowOff>
    </xdr:to>
    <xdr:pic>
      <xdr:nvPicPr>
        <xdr:cNvPr id="19" name="Afbeelding 18" descr="Decrease">
          <a:extLst>
            <a:ext uri="{FF2B5EF4-FFF2-40B4-BE49-F238E27FC236}">
              <a16:creationId xmlns:a16="http://schemas.microsoft.com/office/drawing/2014/main" id="{0D5C67E0-434C-FB4C-8388-E62DADE5F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28905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139700</xdr:colOff>
      <xdr:row>60</xdr:row>
      <xdr:rowOff>139700</xdr:rowOff>
    </xdr:to>
    <xdr:pic>
      <xdr:nvPicPr>
        <xdr:cNvPr id="20" name="Afbeelding 19" descr="Decrease">
          <a:extLst>
            <a:ext uri="{FF2B5EF4-FFF2-40B4-BE49-F238E27FC236}">
              <a16:creationId xmlns:a16="http://schemas.microsoft.com/office/drawing/2014/main" id="{FECDDBE6-00DA-CF47-88A3-4AF7F3E1D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31191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61</xdr:row>
      <xdr:rowOff>0</xdr:rowOff>
    </xdr:from>
    <xdr:to>
      <xdr:col>8</xdr:col>
      <xdr:colOff>139700</xdr:colOff>
      <xdr:row>61</xdr:row>
      <xdr:rowOff>139700</xdr:rowOff>
    </xdr:to>
    <xdr:pic>
      <xdr:nvPicPr>
        <xdr:cNvPr id="21" name="Afbeelding 20" descr="Decrease">
          <a:extLst>
            <a:ext uri="{FF2B5EF4-FFF2-40B4-BE49-F238E27FC236}">
              <a16:creationId xmlns:a16="http://schemas.microsoft.com/office/drawing/2014/main" id="{06932267-54CC-AB48-925A-9BB14C07F2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33350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77</xdr:row>
      <xdr:rowOff>0</xdr:rowOff>
    </xdr:from>
    <xdr:to>
      <xdr:col>8</xdr:col>
      <xdr:colOff>139700</xdr:colOff>
      <xdr:row>77</xdr:row>
      <xdr:rowOff>139700</xdr:rowOff>
    </xdr:to>
    <xdr:pic>
      <xdr:nvPicPr>
        <xdr:cNvPr id="22" name="Afbeelding 21" descr="Decrease">
          <a:extLst>
            <a:ext uri="{FF2B5EF4-FFF2-40B4-BE49-F238E27FC236}">
              <a16:creationId xmlns:a16="http://schemas.microsoft.com/office/drawing/2014/main" id="{F9F8490F-2E58-1943-A20A-C51A6FB48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59766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78</xdr:row>
      <xdr:rowOff>0</xdr:rowOff>
    </xdr:from>
    <xdr:to>
      <xdr:col>8</xdr:col>
      <xdr:colOff>139700</xdr:colOff>
      <xdr:row>78</xdr:row>
      <xdr:rowOff>139700</xdr:rowOff>
    </xdr:to>
    <xdr:pic>
      <xdr:nvPicPr>
        <xdr:cNvPr id="23" name="Afbeelding 22" descr="Decrease">
          <a:extLst>
            <a:ext uri="{FF2B5EF4-FFF2-40B4-BE49-F238E27FC236}">
              <a16:creationId xmlns:a16="http://schemas.microsoft.com/office/drawing/2014/main" id="{55D763C2-B0C6-4D4D-8350-9A9E1611D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62052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79</xdr:row>
      <xdr:rowOff>0</xdr:rowOff>
    </xdr:from>
    <xdr:to>
      <xdr:col>8</xdr:col>
      <xdr:colOff>139700</xdr:colOff>
      <xdr:row>79</xdr:row>
      <xdr:rowOff>139700</xdr:rowOff>
    </xdr:to>
    <xdr:pic>
      <xdr:nvPicPr>
        <xdr:cNvPr id="24" name="Afbeelding 23" descr="Decrease">
          <a:extLst>
            <a:ext uri="{FF2B5EF4-FFF2-40B4-BE49-F238E27FC236}">
              <a16:creationId xmlns:a16="http://schemas.microsoft.com/office/drawing/2014/main" id="{1F634DA6-8DAE-ED42-BE45-7A3E86A0E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64338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80</xdr:row>
      <xdr:rowOff>0</xdr:rowOff>
    </xdr:from>
    <xdr:to>
      <xdr:col>8</xdr:col>
      <xdr:colOff>139700</xdr:colOff>
      <xdr:row>80</xdr:row>
      <xdr:rowOff>139700</xdr:rowOff>
    </xdr:to>
    <xdr:pic>
      <xdr:nvPicPr>
        <xdr:cNvPr id="25" name="Afbeelding 24" descr="Decrease">
          <a:extLst>
            <a:ext uri="{FF2B5EF4-FFF2-40B4-BE49-F238E27FC236}">
              <a16:creationId xmlns:a16="http://schemas.microsoft.com/office/drawing/2014/main" id="{15575D88-0847-2C48-A5D9-C490DA9AF8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66624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81</xdr:row>
      <xdr:rowOff>0</xdr:rowOff>
    </xdr:from>
    <xdr:to>
      <xdr:col>8</xdr:col>
      <xdr:colOff>139700</xdr:colOff>
      <xdr:row>81</xdr:row>
      <xdr:rowOff>139700</xdr:rowOff>
    </xdr:to>
    <xdr:pic>
      <xdr:nvPicPr>
        <xdr:cNvPr id="26" name="Afbeelding 25" descr="Decrease">
          <a:extLst>
            <a:ext uri="{FF2B5EF4-FFF2-40B4-BE49-F238E27FC236}">
              <a16:creationId xmlns:a16="http://schemas.microsoft.com/office/drawing/2014/main" id="{41E66410-081E-0A49-A93A-5F9A498679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68910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86</xdr:row>
      <xdr:rowOff>0</xdr:rowOff>
    </xdr:from>
    <xdr:to>
      <xdr:col>8</xdr:col>
      <xdr:colOff>139700</xdr:colOff>
      <xdr:row>86</xdr:row>
      <xdr:rowOff>139700</xdr:rowOff>
    </xdr:to>
    <xdr:pic>
      <xdr:nvPicPr>
        <xdr:cNvPr id="27" name="Afbeelding 26" descr="Increase">
          <a:extLst>
            <a:ext uri="{FF2B5EF4-FFF2-40B4-BE49-F238E27FC236}">
              <a16:creationId xmlns:a16="http://schemas.microsoft.com/office/drawing/2014/main" id="{F3CF594E-8514-AE40-AB57-30B5FDD86E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79832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87</xdr:row>
      <xdr:rowOff>0</xdr:rowOff>
    </xdr:from>
    <xdr:to>
      <xdr:col>8</xdr:col>
      <xdr:colOff>139700</xdr:colOff>
      <xdr:row>87</xdr:row>
      <xdr:rowOff>139700</xdr:rowOff>
    </xdr:to>
    <xdr:pic>
      <xdr:nvPicPr>
        <xdr:cNvPr id="28" name="Afbeelding 27" descr="Increase">
          <a:extLst>
            <a:ext uri="{FF2B5EF4-FFF2-40B4-BE49-F238E27FC236}">
              <a16:creationId xmlns:a16="http://schemas.microsoft.com/office/drawing/2014/main" id="{4F3C0CC9-77B9-A549-8341-8AE6380D99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82118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88</xdr:row>
      <xdr:rowOff>0</xdr:rowOff>
    </xdr:from>
    <xdr:to>
      <xdr:col>8</xdr:col>
      <xdr:colOff>139700</xdr:colOff>
      <xdr:row>88</xdr:row>
      <xdr:rowOff>139700</xdr:rowOff>
    </xdr:to>
    <xdr:pic>
      <xdr:nvPicPr>
        <xdr:cNvPr id="29" name="Afbeelding 28" descr="Decrease">
          <a:extLst>
            <a:ext uri="{FF2B5EF4-FFF2-40B4-BE49-F238E27FC236}">
              <a16:creationId xmlns:a16="http://schemas.microsoft.com/office/drawing/2014/main" id="{60257EBC-C971-764B-989D-FE6D0D22B1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184404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89</xdr:row>
      <xdr:rowOff>0</xdr:rowOff>
    </xdr:from>
    <xdr:to>
      <xdr:col>8</xdr:col>
      <xdr:colOff>139700</xdr:colOff>
      <xdr:row>89</xdr:row>
      <xdr:rowOff>139700</xdr:rowOff>
    </xdr:to>
    <xdr:pic>
      <xdr:nvPicPr>
        <xdr:cNvPr id="30" name="Afbeelding 29" descr="Increase">
          <a:extLst>
            <a:ext uri="{FF2B5EF4-FFF2-40B4-BE49-F238E27FC236}">
              <a16:creationId xmlns:a16="http://schemas.microsoft.com/office/drawing/2014/main" id="{69CD06C0-2573-FD44-BA1F-34AC052833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86690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90</xdr:row>
      <xdr:rowOff>0</xdr:rowOff>
    </xdr:from>
    <xdr:to>
      <xdr:col>8</xdr:col>
      <xdr:colOff>139700</xdr:colOff>
      <xdr:row>90</xdr:row>
      <xdr:rowOff>139700</xdr:rowOff>
    </xdr:to>
    <xdr:pic>
      <xdr:nvPicPr>
        <xdr:cNvPr id="31" name="Afbeelding 30" descr="Increase">
          <a:extLst>
            <a:ext uri="{FF2B5EF4-FFF2-40B4-BE49-F238E27FC236}">
              <a16:creationId xmlns:a16="http://schemas.microsoft.com/office/drawing/2014/main" id="{3B52F41E-7443-3348-8901-8769A3553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88976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95</xdr:row>
      <xdr:rowOff>0</xdr:rowOff>
    </xdr:from>
    <xdr:to>
      <xdr:col>8</xdr:col>
      <xdr:colOff>139700</xdr:colOff>
      <xdr:row>95</xdr:row>
      <xdr:rowOff>139700</xdr:rowOff>
    </xdr:to>
    <xdr:pic>
      <xdr:nvPicPr>
        <xdr:cNvPr id="37" name="Afbeelding 36" descr="Decrease">
          <a:extLst>
            <a:ext uri="{FF2B5EF4-FFF2-40B4-BE49-F238E27FC236}">
              <a16:creationId xmlns:a16="http://schemas.microsoft.com/office/drawing/2014/main" id="{4907347E-0B75-DE41-B0A8-80F505398B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219964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96</xdr:row>
      <xdr:rowOff>0</xdr:rowOff>
    </xdr:from>
    <xdr:to>
      <xdr:col>8</xdr:col>
      <xdr:colOff>139700</xdr:colOff>
      <xdr:row>96</xdr:row>
      <xdr:rowOff>139700</xdr:rowOff>
    </xdr:to>
    <xdr:pic>
      <xdr:nvPicPr>
        <xdr:cNvPr id="38" name="Afbeelding 37" descr="Decrease">
          <a:extLst>
            <a:ext uri="{FF2B5EF4-FFF2-40B4-BE49-F238E27FC236}">
              <a16:creationId xmlns:a16="http://schemas.microsoft.com/office/drawing/2014/main" id="{0A4471F2-B12B-AF44-A128-0B661BF4E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222250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97</xdr:row>
      <xdr:rowOff>0</xdr:rowOff>
    </xdr:from>
    <xdr:to>
      <xdr:col>8</xdr:col>
      <xdr:colOff>139700</xdr:colOff>
      <xdr:row>97</xdr:row>
      <xdr:rowOff>139700</xdr:rowOff>
    </xdr:to>
    <xdr:pic>
      <xdr:nvPicPr>
        <xdr:cNvPr id="39" name="Afbeelding 38" descr="Increase">
          <a:extLst>
            <a:ext uri="{FF2B5EF4-FFF2-40B4-BE49-F238E27FC236}">
              <a16:creationId xmlns:a16="http://schemas.microsoft.com/office/drawing/2014/main" id="{0FFF5FFB-190F-AB46-B7EF-BC59DDF75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224536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98</xdr:row>
      <xdr:rowOff>0</xdr:rowOff>
    </xdr:from>
    <xdr:to>
      <xdr:col>8</xdr:col>
      <xdr:colOff>139700</xdr:colOff>
      <xdr:row>98</xdr:row>
      <xdr:rowOff>139700</xdr:rowOff>
    </xdr:to>
    <xdr:pic>
      <xdr:nvPicPr>
        <xdr:cNvPr id="40" name="Afbeelding 39" descr="Increase">
          <a:extLst>
            <a:ext uri="{FF2B5EF4-FFF2-40B4-BE49-F238E27FC236}">
              <a16:creationId xmlns:a16="http://schemas.microsoft.com/office/drawing/2014/main" id="{47CEC518-C227-9F48-B955-E37F07D5D1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226822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99</xdr:row>
      <xdr:rowOff>0</xdr:rowOff>
    </xdr:from>
    <xdr:to>
      <xdr:col>8</xdr:col>
      <xdr:colOff>139700</xdr:colOff>
      <xdr:row>99</xdr:row>
      <xdr:rowOff>139700</xdr:rowOff>
    </xdr:to>
    <xdr:pic>
      <xdr:nvPicPr>
        <xdr:cNvPr id="41" name="Afbeelding 40" descr="Decrease">
          <a:extLst>
            <a:ext uri="{FF2B5EF4-FFF2-40B4-BE49-F238E27FC236}">
              <a16:creationId xmlns:a16="http://schemas.microsoft.com/office/drawing/2014/main" id="{B05F9DA3-6681-EF47-9059-A6AD4811D9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229108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103</xdr:row>
      <xdr:rowOff>0</xdr:rowOff>
    </xdr:from>
    <xdr:to>
      <xdr:col>8</xdr:col>
      <xdr:colOff>139700</xdr:colOff>
      <xdr:row>103</xdr:row>
      <xdr:rowOff>139700</xdr:rowOff>
    </xdr:to>
    <xdr:pic>
      <xdr:nvPicPr>
        <xdr:cNvPr id="42" name="Afbeelding 41" descr="Decrease">
          <a:extLst>
            <a:ext uri="{FF2B5EF4-FFF2-40B4-BE49-F238E27FC236}">
              <a16:creationId xmlns:a16="http://schemas.microsoft.com/office/drawing/2014/main" id="{5B9F6071-974B-984E-9B0A-5FFD7BB1B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219964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104</xdr:row>
      <xdr:rowOff>0</xdr:rowOff>
    </xdr:from>
    <xdr:to>
      <xdr:col>8</xdr:col>
      <xdr:colOff>139700</xdr:colOff>
      <xdr:row>104</xdr:row>
      <xdr:rowOff>139700</xdr:rowOff>
    </xdr:to>
    <xdr:pic>
      <xdr:nvPicPr>
        <xdr:cNvPr id="43" name="Afbeelding 42" descr="Increase">
          <a:extLst>
            <a:ext uri="{FF2B5EF4-FFF2-40B4-BE49-F238E27FC236}">
              <a16:creationId xmlns:a16="http://schemas.microsoft.com/office/drawing/2014/main" id="{E4C36C69-9CB9-4B4C-B606-742D2DD6ED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222250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105</xdr:row>
      <xdr:rowOff>0</xdr:rowOff>
    </xdr:from>
    <xdr:to>
      <xdr:col>8</xdr:col>
      <xdr:colOff>139700</xdr:colOff>
      <xdr:row>105</xdr:row>
      <xdr:rowOff>139700</xdr:rowOff>
    </xdr:to>
    <xdr:pic>
      <xdr:nvPicPr>
        <xdr:cNvPr id="44" name="Afbeelding 43" descr="Increase">
          <a:extLst>
            <a:ext uri="{FF2B5EF4-FFF2-40B4-BE49-F238E27FC236}">
              <a16:creationId xmlns:a16="http://schemas.microsoft.com/office/drawing/2014/main" id="{526F6B88-4013-DD47-8BF1-5CF7AD37F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224536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106</xdr:row>
      <xdr:rowOff>0</xdr:rowOff>
    </xdr:from>
    <xdr:to>
      <xdr:col>8</xdr:col>
      <xdr:colOff>139700</xdr:colOff>
      <xdr:row>106</xdr:row>
      <xdr:rowOff>139700</xdr:rowOff>
    </xdr:to>
    <xdr:pic>
      <xdr:nvPicPr>
        <xdr:cNvPr id="45" name="Afbeelding 44" descr="Increase">
          <a:extLst>
            <a:ext uri="{FF2B5EF4-FFF2-40B4-BE49-F238E27FC236}">
              <a16:creationId xmlns:a16="http://schemas.microsoft.com/office/drawing/2014/main" id="{C04768CA-7D42-1E45-9D9F-6BD7F3678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226822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107</xdr:row>
      <xdr:rowOff>0</xdr:rowOff>
    </xdr:from>
    <xdr:to>
      <xdr:col>8</xdr:col>
      <xdr:colOff>139700</xdr:colOff>
      <xdr:row>107</xdr:row>
      <xdr:rowOff>139700</xdr:rowOff>
    </xdr:to>
    <xdr:pic>
      <xdr:nvPicPr>
        <xdr:cNvPr id="46" name="Afbeelding 45" descr="Decrease">
          <a:extLst>
            <a:ext uri="{FF2B5EF4-FFF2-40B4-BE49-F238E27FC236}">
              <a16:creationId xmlns:a16="http://schemas.microsoft.com/office/drawing/2014/main" id="{6B605160-8BF9-BF42-919D-9D1FD95B4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00" y="22910800"/>
          <a:ext cx="139700" cy="13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63499</xdr:colOff>
      <xdr:row>10</xdr:row>
      <xdr:rowOff>165100</xdr:rowOff>
    </xdr:from>
    <xdr:to>
      <xdr:col>10</xdr:col>
      <xdr:colOff>4762500</xdr:colOff>
      <xdr:row>10</xdr:row>
      <xdr:rowOff>2027506</xdr:rowOff>
    </xdr:to>
    <xdr:pic>
      <xdr:nvPicPr>
        <xdr:cNvPr id="2" name="Afbeelding 1" descr="(1) Reduceren van CO2 uistoot: 7,3 Mton minder in 2030&#10;(2) Luchtkwaliteit en geluidshinder&#10;(3) Voorbeeld- en aanjaagfunctie van de overheid&#10;(4) Economische voordelen&#10;(5) Energietransitie " title="Waarom zero emissie vervoer stimuleren als publieke organisatie?">
          <a:extLst>
            <a:ext uri="{FF2B5EF4-FFF2-40B4-BE49-F238E27FC236}">
              <a16:creationId xmlns:a16="http://schemas.microsoft.com/office/drawing/2014/main" id="{DB2133D3-10E7-4441-A3EA-258393D90B38}"/>
            </a:ext>
          </a:extLst>
        </xdr:cNvPr>
        <xdr:cNvPicPr>
          <a:picLocks noChangeAspect="1"/>
        </xdr:cNvPicPr>
      </xdr:nvPicPr>
      <xdr:blipFill>
        <a:blip xmlns:r="http://schemas.openxmlformats.org/officeDocument/2006/relationships" r:embed="rId1"/>
        <a:stretch>
          <a:fillRect/>
        </a:stretch>
      </xdr:blipFill>
      <xdr:spPr>
        <a:xfrm>
          <a:off x="9690099" y="11480800"/>
          <a:ext cx="7772401" cy="1862406"/>
        </a:xfrm>
        <a:prstGeom prst="rect">
          <a:avLst/>
        </a:prstGeom>
      </xdr:spPr>
    </xdr:pic>
    <xdr:clientData/>
  </xdr:twoCellAnchor>
  <xdr:twoCellAnchor editAs="oneCell">
    <xdr:from>
      <xdr:col>5</xdr:col>
      <xdr:colOff>282045</xdr:colOff>
      <xdr:row>13</xdr:row>
      <xdr:rowOff>146052</xdr:rowOff>
    </xdr:from>
    <xdr:to>
      <xdr:col>11</xdr:col>
      <xdr:colOff>527050</xdr:colOff>
      <xdr:row>14</xdr:row>
      <xdr:rowOff>304800</xdr:rowOff>
    </xdr:to>
    <xdr:pic>
      <xdr:nvPicPr>
        <xdr:cNvPr id="3" name="Afbeelding 2" descr="Aandeel transport in NOx-emissies in Nederland: Transport 57%, Overig 43%.&#10;&#10;Aandeel transport: auto's, bestelwagens en vrachtwagens 57%, vaart 25%, landbouw 6%, trein en bouw: 11%&#10;" title="NOx en PM10 emissies ten gevolge van wegverkeer">
          <a:extLst>
            <a:ext uri="{FF2B5EF4-FFF2-40B4-BE49-F238E27FC236}">
              <a16:creationId xmlns:a16="http://schemas.microsoft.com/office/drawing/2014/main" id="{0C05BD0A-B1C5-4346-BF10-19C9F480298D}"/>
            </a:ext>
          </a:extLst>
        </xdr:cNvPr>
        <xdr:cNvPicPr>
          <a:picLocks noChangeAspect="1"/>
        </xdr:cNvPicPr>
      </xdr:nvPicPr>
      <xdr:blipFill>
        <a:blip xmlns:r="http://schemas.openxmlformats.org/officeDocument/2006/relationships" r:embed="rId2"/>
        <a:stretch>
          <a:fillRect/>
        </a:stretch>
      </xdr:blipFill>
      <xdr:spPr>
        <a:xfrm>
          <a:off x="8956145" y="16897352"/>
          <a:ext cx="9401705" cy="4006848"/>
        </a:xfrm>
        <a:prstGeom prst="rect">
          <a:avLst/>
        </a:prstGeom>
      </xdr:spPr>
    </xdr:pic>
    <xdr:clientData/>
  </xdr:twoCellAnchor>
  <xdr:twoCellAnchor editAs="oneCell">
    <xdr:from>
      <xdr:col>1</xdr:col>
      <xdr:colOff>139699</xdr:colOff>
      <xdr:row>13</xdr:row>
      <xdr:rowOff>165100</xdr:rowOff>
    </xdr:from>
    <xdr:to>
      <xdr:col>6</xdr:col>
      <xdr:colOff>0</xdr:colOff>
      <xdr:row>14</xdr:row>
      <xdr:rowOff>305566</xdr:rowOff>
    </xdr:to>
    <xdr:pic>
      <xdr:nvPicPr>
        <xdr:cNvPr id="4" name="Afbeelding 3" descr="Aandeel transport in CO2-emissies in Nederland: Transport 28% en Overig 72%.&#10;&#10;Aandeel wegverkeer in CO2-emissies in Nederland. Vliegverkeer 25%, wegverkeer 56%, vaart 13% en overig 6%.&#10;&#10;Verdeling CO2-emissies wegverkeer in Nederland. Auto's 63%, bussen 2%, bestelwagens 14%, vrachtwagens 18%, overig 3%. " title="CO2 emissies transport in Nederland">
          <a:extLst>
            <a:ext uri="{FF2B5EF4-FFF2-40B4-BE49-F238E27FC236}">
              <a16:creationId xmlns:a16="http://schemas.microsoft.com/office/drawing/2014/main" id="{7D0F568E-5108-E445-8927-BA0D3F666137}"/>
            </a:ext>
          </a:extLst>
        </xdr:cNvPr>
        <xdr:cNvPicPr>
          <a:picLocks noChangeAspect="1"/>
        </xdr:cNvPicPr>
      </xdr:nvPicPr>
      <xdr:blipFill>
        <a:blip xmlns:r="http://schemas.openxmlformats.org/officeDocument/2006/relationships" r:embed="rId3"/>
        <a:stretch>
          <a:fillRect/>
        </a:stretch>
      </xdr:blipFill>
      <xdr:spPr>
        <a:xfrm>
          <a:off x="469899" y="16916400"/>
          <a:ext cx="8851901" cy="3988566"/>
        </a:xfrm>
        <a:prstGeom prst="rect">
          <a:avLst/>
        </a:prstGeom>
      </xdr:spPr>
    </xdr:pic>
    <xdr:clientData/>
  </xdr:twoCellAnchor>
  <xdr:twoCellAnchor editAs="oneCell">
    <xdr:from>
      <xdr:col>1</xdr:col>
      <xdr:colOff>50800</xdr:colOff>
      <xdr:row>0</xdr:row>
      <xdr:rowOff>63500</xdr:rowOff>
    </xdr:from>
    <xdr:to>
      <xdr:col>1</xdr:col>
      <xdr:colOff>2184400</xdr:colOff>
      <xdr:row>0</xdr:row>
      <xdr:rowOff>493727</xdr:rowOff>
    </xdr:to>
    <xdr:pic>
      <xdr:nvPicPr>
        <xdr:cNvPr id="5" name="Afbeelding 4" descr="Afbeeldingsresultaat voor pianoo logo" title="Logo PIANOo">
          <a:hlinkClick xmlns:r="http://schemas.openxmlformats.org/officeDocument/2006/relationships" r:id="rId4" tooltip="Klik op het logo van PIANOo om naar de website te gaan"/>
          <a:extLst>
            <a:ext uri="{FF2B5EF4-FFF2-40B4-BE49-F238E27FC236}">
              <a16:creationId xmlns:a16="http://schemas.microsoft.com/office/drawing/2014/main" id="{84FB3B35-EB38-724F-A620-1699D5A9B6F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39407" b="40741"/>
        <a:stretch/>
      </xdr:blipFill>
      <xdr:spPr bwMode="auto">
        <a:xfrm>
          <a:off x="381000" y="63500"/>
          <a:ext cx="2133600" cy="430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469899</xdr:colOff>
      <xdr:row>10</xdr:row>
      <xdr:rowOff>2057400</xdr:rowOff>
    </xdr:from>
    <xdr:to>
      <xdr:col>10</xdr:col>
      <xdr:colOff>4432300</xdr:colOff>
      <xdr:row>10</xdr:row>
      <xdr:rowOff>4680749</xdr:rowOff>
    </xdr:to>
    <xdr:pic>
      <xdr:nvPicPr>
        <xdr:cNvPr id="6" name="Afbeelding 5" descr="CO2-emissie door wegverkeer in 2016: 29 Mton.&#10;&#10;CO2-emissie per jaar bij EV met huidige energiemix: 17 Mton&#10;&#10;CO2-emissie per jaar bij EV met 100% duurzame opwek: 1,5 Mton. " title="Wat kan EV doen aan CO2-emissie door wegverkeer?">
          <a:extLst>
            <a:ext uri="{FF2B5EF4-FFF2-40B4-BE49-F238E27FC236}">
              <a16:creationId xmlns:a16="http://schemas.microsoft.com/office/drawing/2014/main" id="{6DCD2407-E20E-0E4A-BCC4-D079E625649C}"/>
            </a:ext>
          </a:extLst>
        </xdr:cNvPr>
        <xdr:cNvPicPr>
          <a:picLocks noChangeAspect="1"/>
        </xdr:cNvPicPr>
      </xdr:nvPicPr>
      <xdr:blipFill>
        <a:blip xmlns:r="http://schemas.openxmlformats.org/officeDocument/2006/relationships" r:embed="rId6"/>
        <a:stretch>
          <a:fillRect/>
        </a:stretch>
      </xdr:blipFill>
      <xdr:spPr>
        <a:xfrm>
          <a:off x="10096499" y="13373100"/>
          <a:ext cx="7035801" cy="2623349"/>
        </a:xfrm>
        <a:prstGeom prst="rect">
          <a:avLst/>
        </a:prstGeom>
      </xdr:spPr>
    </xdr:pic>
    <xdr:clientData/>
  </xdr:twoCellAnchor>
  <xdr:twoCellAnchor editAs="oneCell">
    <xdr:from>
      <xdr:col>8</xdr:col>
      <xdr:colOff>165100</xdr:colOff>
      <xdr:row>2</xdr:row>
      <xdr:rowOff>993037</xdr:rowOff>
    </xdr:from>
    <xdr:to>
      <xdr:col>10</xdr:col>
      <xdr:colOff>4216400</xdr:colOff>
      <xdr:row>3</xdr:row>
      <xdr:rowOff>4762862</xdr:rowOff>
    </xdr:to>
    <xdr:pic>
      <xdr:nvPicPr>
        <xdr:cNvPr id="8" name="Picture 63" descr="Het dashboard geeft inzicht in de mogelijke kostenbesparingen en emissiereducties." title="Overzicht dashboard">
          <a:extLst>
            <a:ext uri="{FF2B5EF4-FFF2-40B4-BE49-F238E27FC236}">
              <a16:creationId xmlns:a16="http://schemas.microsoft.com/office/drawing/2014/main" id="{A10613B5-CB6E-C843-B629-B78218BD0B8C}"/>
            </a:ext>
          </a:extLst>
        </xdr:cNvPr>
        <xdr:cNvPicPr>
          <a:picLocks noChangeAspect="1"/>
        </xdr:cNvPicPr>
      </xdr:nvPicPr>
      <xdr:blipFill>
        <a:blip xmlns:r="http://schemas.openxmlformats.org/officeDocument/2006/relationships" r:embed="rId7"/>
        <a:stretch>
          <a:fillRect/>
        </a:stretch>
      </xdr:blipFill>
      <xdr:spPr>
        <a:xfrm>
          <a:off x="10299700" y="1920137"/>
          <a:ext cx="6616700" cy="5725625"/>
        </a:xfrm>
        <a:prstGeom prst="rect">
          <a:avLst/>
        </a:prstGeom>
      </xdr:spPr>
    </xdr:pic>
    <xdr:clientData/>
  </xdr:twoCellAnchor>
  <xdr:twoCellAnchor editAs="oneCell">
    <xdr:from>
      <xdr:col>8</xdr:col>
      <xdr:colOff>1562100</xdr:colOff>
      <xdr:row>2</xdr:row>
      <xdr:rowOff>177801</xdr:rowOff>
    </xdr:from>
    <xdr:to>
      <xdr:col>10</xdr:col>
      <xdr:colOff>2768600</xdr:colOff>
      <xdr:row>2</xdr:row>
      <xdr:rowOff>938382</xdr:rowOff>
    </xdr:to>
    <xdr:pic>
      <xdr:nvPicPr>
        <xdr:cNvPr id="9" name="Afbeelding 8" descr="Afbeeldingsresultaat voor pianoo logo" title="Logo PIANOo">
          <a:hlinkClick xmlns:r="http://schemas.openxmlformats.org/officeDocument/2006/relationships" r:id="rId4" tooltip="Klik op het logo van PIANOo om naar de website te gaan"/>
          <a:extLst>
            <a:ext uri="{FF2B5EF4-FFF2-40B4-BE49-F238E27FC236}">
              <a16:creationId xmlns:a16="http://schemas.microsoft.com/office/drawing/2014/main" id="{4E181BE1-00C8-2049-9141-E3034999BB8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39407" b="40741"/>
        <a:stretch/>
      </xdr:blipFill>
      <xdr:spPr bwMode="auto">
        <a:xfrm>
          <a:off x="11696700" y="1104901"/>
          <a:ext cx="3771900" cy="760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xdr:colOff>
      <xdr:row>183</xdr:row>
      <xdr:rowOff>101601</xdr:rowOff>
    </xdr:from>
    <xdr:to>
      <xdr:col>8</xdr:col>
      <xdr:colOff>0</xdr:colOff>
      <xdr:row>194</xdr:row>
      <xdr:rowOff>141111</xdr:rowOff>
    </xdr:to>
    <xdr:sp macro="" textlink="">
      <xdr:nvSpPr>
        <xdr:cNvPr id="2" name="Tekstvak 1">
          <a:extLst>
            <a:ext uri="{FF2B5EF4-FFF2-40B4-BE49-F238E27FC236}">
              <a16:creationId xmlns:a16="http://schemas.microsoft.com/office/drawing/2014/main" id="{2C672202-208C-594E-BCD8-E146FCAA7DEA}"/>
            </a:ext>
          </a:extLst>
        </xdr:cNvPr>
        <xdr:cNvSpPr txBox="1"/>
      </xdr:nvSpPr>
      <xdr:spPr>
        <a:xfrm>
          <a:off x="210256" y="41969268"/>
          <a:ext cx="17160522" cy="3454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latin typeface="Corbel" panose="020B0503020204020204" pitchFamily="34" charset="0"/>
            </a:rPr>
            <a:t>Aanschafbelasting auto (BPM)</a:t>
          </a:r>
        </a:p>
        <a:p>
          <a:endParaRPr lang="nl-NL" sz="1400" b="1">
            <a:latin typeface="Corbel" panose="020B0503020204020204" pitchFamily="34" charset="0"/>
          </a:endParaRPr>
        </a:p>
        <a:p>
          <a:r>
            <a:rPr lang="nl-NL" sz="1400">
              <a:latin typeface="Corbel" panose="020B0503020204020204" pitchFamily="34" charset="0"/>
            </a:rPr>
            <a:t>De vaststelling van de BPM vindt plaats aan de hand van CO2-schijven waarbinnen voor elk gram CO2 per km een bepaald tarief moet worden betaald. Omdat auto’s als gevolg van technologische ontwikkelingen steeds zuiniger worden, worden de CO2-grenzen en tarieven voor BPM-schijven elk jaar aangescherpt. Volledig elektrische auto’s zijn volledig vrijgesteld van BPM. Voor dieselauto’s is een CO2</a:t>
          </a:r>
          <a:r>
            <a:rPr lang="nl-NL" sz="1400" baseline="0">
              <a:latin typeface="Corbel" panose="020B0503020204020204" pitchFamily="34" charset="0"/>
            </a:rPr>
            <a:t> </a:t>
          </a:r>
          <a:r>
            <a:rPr lang="nl-NL" sz="1400">
              <a:latin typeface="Corbel" panose="020B0503020204020204" pitchFamily="34" charset="0"/>
            </a:rPr>
            <a:t>afhankelijke dieseltoeslag van toepassing ter compensatie voor de lagere accijns op diesel ten opzichte van benzine. De dieseltoeslag gaat uit van een tarief per gram boven de CO2 grenswaarde.</a:t>
          </a:r>
        </a:p>
        <a:p>
          <a:endParaRPr lang="nl-NL" sz="1400">
            <a:latin typeface="Corbel" panose="020B0503020204020204" pitchFamily="34" charset="0"/>
          </a:endParaRPr>
        </a:p>
        <a:p>
          <a:r>
            <a:rPr lang="nl-NL" sz="1400">
              <a:latin typeface="Corbel" panose="020B0503020204020204" pitchFamily="34" charset="0"/>
            </a:rPr>
            <a:t>De CO2 uitstoten zijn zo veel mogelijk bepaald op de WALT-normering, in plaats van de NEDC-normering. In december 2020 moeten alle leveranciers zijn overgegaan op de WLTP-normering. Het is de bedoeling van de nieuwe tabellen dat gemiddeld niet meer of minder BPM wordt betaald (los van andere factoren) voor een WLTP-auto na 1 juli 2020, dan destijds voor een NEDC-auto vóór 1 september 2018. Daarbij baseert het kabinet zich op berekeningen van onderzoeksbureau TNO in opdracht van het Ministerie van Financiën. In deze rekentool wordt gebruikt gemaakt van de WLTP CO2 uitstoot waarden en de BPM tarieven die gelden vanaf juli 2020.</a:t>
          </a:r>
        </a:p>
        <a:p>
          <a:endParaRPr lang="nl-NL" sz="1400">
            <a:latin typeface="Corbel" panose="020B0503020204020204" pitchFamily="34" charset="0"/>
          </a:endParaRPr>
        </a:p>
        <a:p>
          <a:r>
            <a:rPr lang="nl-NL" sz="1400">
              <a:latin typeface="Corbel" panose="020B0503020204020204" pitchFamily="34" charset="0"/>
            </a:rPr>
            <a:t>De BPM voor een bestelauto is een percentage van de nettocatalogusprijs met een aftrek of toeslag, afhankelijk van de brandstof. BPM op bestelauto’s is onveranderd gebleven: 37,7% van de netto catalogusprijs, minus € 1.283 (benzine) of plus € 273 (diesel).</a:t>
          </a:r>
        </a:p>
        <a:p>
          <a:endParaRPr lang="nl-NL" sz="1400">
            <a:latin typeface="Corbel" panose="020B0503020204020204" pitchFamily="34" charset="0"/>
          </a:endParaRPr>
        </a:p>
        <a:p>
          <a:r>
            <a:rPr lang="nl-NL" sz="1400" baseline="0">
              <a:solidFill>
                <a:schemeClr val="dk1"/>
              </a:solidFill>
              <a:latin typeface="Corbel" panose="020B0503020204020204" pitchFamily="34" charset="0"/>
              <a:ea typeface="+mn-ea"/>
              <a:cs typeface="+mn-cs"/>
            </a:rPr>
            <a:t>Over de BPM is afgesproken dat emissieloze auto’s tot en met 2024 vrijgesteld blijven van het betalen van de BPM. Vanaf 2025 betalen zij een vaste voet van € 360 per auto aan BPM. BPM is aanschafbelasting en het doel van deze rekentool is om inzicht te geven in de kosten of besparingen voor zero emissie op korte termijn; de BPM waarden zijn voor zero emissie logischerwijs op nul gesteld.</a:t>
          </a:r>
        </a:p>
      </xdr:txBody>
    </xdr:sp>
    <xdr:clientData/>
  </xdr:twoCellAnchor>
  <xdr:twoCellAnchor>
    <xdr:from>
      <xdr:col>0</xdr:col>
      <xdr:colOff>190500</xdr:colOff>
      <xdr:row>202</xdr:row>
      <xdr:rowOff>165101</xdr:rowOff>
    </xdr:from>
    <xdr:to>
      <xdr:col>8</xdr:col>
      <xdr:colOff>0</xdr:colOff>
      <xdr:row>206</xdr:row>
      <xdr:rowOff>141111</xdr:rowOff>
    </xdr:to>
    <xdr:sp macro="" textlink="">
      <xdr:nvSpPr>
        <xdr:cNvPr id="3" name="Tekstvak 2">
          <a:extLst>
            <a:ext uri="{FF2B5EF4-FFF2-40B4-BE49-F238E27FC236}">
              <a16:creationId xmlns:a16="http://schemas.microsoft.com/office/drawing/2014/main" id="{C4B75969-6704-3642-8273-D7791D6390AB}"/>
            </a:ext>
          </a:extLst>
        </xdr:cNvPr>
        <xdr:cNvSpPr txBox="1"/>
      </xdr:nvSpPr>
      <xdr:spPr>
        <a:xfrm>
          <a:off x="190500" y="41821101"/>
          <a:ext cx="17180278" cy="1217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latin typeface="Corbel" panose="020B0503020204020204" pitchFamily="34" charset="0"/>
            </a:rPr>
            <a:t>Motorrijtuigenbelasting (MRB)</a:t>
          </a:r>
        </a:p>
        <a:p>
          <a:endParaRPr lang="nl-NL" sz="1400" b="1">
            <a:latin typeface="Corbel" panose="020B0503020204020204" pitchFamily="34" charset="0"/>
          </a:endParaRPr>
        </a:p>
        <a:p>
          <a:r>
            <a:rPr lang="nl-NL" sz="1400">
              <a:latin typeface="Corbel" panose="020B0503020204020204" pitchFamily="34" charset="0"/>
            </a:rPr>
            <a:t>Volledig elektrische en waterstof</a:t>
          </a:r>
          <a:r>
            <a:rPr lang="nl-NL" sz="1400" baseline="0">
              <a:latin typeface="Corbel" panose="020B0503020204020204" pitchFamily="34" charset="0"/>
            </a:rPr>
            <a:t> </a:t>
          </a:r>
          <a:r>
            <a:rPr lang="nl-NL" sz="1400">
              <a:latin typeface="Corbel" panose="020B0503020204020204" pitchFamily="34" charset="0"/>
            </a:rPr>
            <a:t>elektrische</a:t>
          </a:r>
          <a:r>
            <a:rPr lang="nl-NL" sz="1400" baseline="0">
              <a:latin typeface="Corbel" panose="020B0503020204020204" pitchFamily="34" charset="0"/>
            </a:rPr>
            <a:t> </a:t>
          </a:r>
          <a:r>
            <a:rPr lang="nl-NL" sz="1400">
              <a:latin typeface="Corbel" panose="020B0503020204020204" pitchFamily="34" charset="0"/>
            </a:rPr>
            <a:t>personenauto’ s (0</a:t>
          </a:r>
          <a:r>
            <a:rPr lang="nl-NL" sz="1400" baseline="0">
              <a:latin typeface="Corbel" panose="020B0503020204020204" pitchFamily="34" charset="0"/>
            </a:rPr>
            <a:t> g/km)</a:t>
          </a:r>
          <a:r>
            <a:rPr lang="nl-NL" sz="1400">
              <a:latin typeface="Corbel" panose="020B0503020204020204" pitchFamily="34" charset="0"/>
            </a:rPr>
            <a:t> zijn tot en met 2020 in</a:t>
          </a:r>
          <a:r>
            <a:rPr lang="nl-NL" sz="1400" baseline="0">
              <a:latin typeface="Corbel" panose="020B0503020204020204" pitchFamily="34" charset="0"/>
            </a:rPr>
            <a:t> elk geval </a:t>
          </a:r>
          <a:r>
            <a:rPr lang="nl-NL" sz="1400">
              <a:latin typeface="Corbel" panose="020B0503020204020204" pitchFamily="34" charset="0"/>
            </a:rPr>
            <a:t>vrijgesteld van MRB. Het kabinet wil dit belastingvoordeel voor elektrische auto's verlengen tot en met 2024, maar dit</a:t>
          </a:r>
          <a:r>
            <a:rPr lang="nl-NL" sz="1400" baseline="0">
              <a:latin typeface="Corbel" panose="020B0503020204020204" pitchFamily="34" charset="0"/>
            </a:rPr>
            <a:t> is nog niet definitief vastgesteld</a:t>
          </a:r>
          <a:r>
            <a:rPr lang="nl-NL" sz="1400">
              <a:latin typeface="Corbel" panose="020B0503020204020204" pitchFamily="34" charset="0"/>
            </a:rPr>
            <a:t>. Dat staat in het Belastingplan 2020. Uitgaande van een gemiddelde afschrijvingstermijn</a:t>
          </a:r>
          <a:r>
            <a:rPr lang="nl-NL" sz="1400" baseline="0">
              <a:latin typeface="Corbel" panose="020B0503020204020204" pitchFamily="34" charset="0"/>
            </a:rPr>
            <a:t> van 5 jaar, hanteren we een MRB-tarief van 0 voor volledig- en waterstof elektrische voertuigen. Na 2024 wordt er gekeken naar alternatieven zoals rekeningrijden (betalen per gereden kilometer) of het voortzetten van de wegenbelasting (25% van het MRB tariefvoor zero emissie voertuigen in 2025 en 100% MRB vanaf 2026).</a:t>
          </a:r>
          <a:endParaRPr lang="nl-NL" sz="1400">
            <a:latin typeface="Corbel" panose="020B0503020204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800100</xdr:colOff>
      <xdr:row>57</xdr:row>
      <xdr:rowOff>50800</xdr:rowOff>
    </xdr:from>
    <xdr:to>
      <xdr:col>8</xdr:col>
      <xdr:colOff>622300</xdr:colOff>
      <xdr:row>60</xdr:row>
      <xdr:rowOff>76200</xdr:rowOff>
    </xdr:to>
    <xdr:sp macro="" textlink="">
      <xdr:nvSpPr>
        <xdr:cNvPr id="41" name="Rounded Rectangle 40">
          <a:extLst>
            <a:ext uri="{FF2B5EF4-FFF2-40B4-BE49-F238E27FC236}">
              <a16:creationId xmlns:a16="http://schemas.microsoft.com/office/drawing/2014/main" id="{E295DC70-6A48-9845-BBE0-C848D13F2227}"/>
            </a:ext>
          </a:extLst>
        </xdr:cNvPr>
        <xdr:cNvSpPr/>
      </xdr:nvSpPr>
      <xdr:spPr>
        <a:xfrm>
          <a:off x="1003300" y="13004800"/>
          <a:ext cx="5676900" cy="635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aseline="0">
              <a:solidFill>
                <a:schemeClr val="tx1"/>
              </a:solidFill>
            </a:rPr>
            <a:t>dashboard wordt geladen, een ogenblik geduld a.u.b.</a:t>
          </a:r>
          <a:endParaRPr lang="en-US" sz="1800">
            <a:solidFill>
              <a:schemeClr val="tx1"/>
            </a:solidFill>
          </a:endParaRPr>
        </a:p>
      </xdr:txBody>
    </xdr:sp>
    <xdr:clientData/>
  </xdr:twoCellAnchor>
  <xdr:twoCellAnchor>
    <xdr:from>
      <xdr:col>17</xdr:col>
      <xdr:colOff>419100</xdr:colOff>
      <xdr:row>60</xdr:row>
      <xdr:rowOff>63500</xdr:rowOff>
    </xdr:from>
    <xdr:to>
      <xdr:col>21</xdr:col>
      <xdr:colOff>673100</xdr:colOff>
      <xdr:row>63</xdr:row>
      <xdr:rowOff>88900</xdr:rowOff>
    </xdr:to>
    <xdr:sp macro="" textlink="">
      <xdr:nvSpPr>
        <xdr:cNvPr id="42" name="Rounded Rectangle 41">
          <a:extLst>
            <a:ext uri="{FF2B5EF4-FFF2-40B4-BE49-F238E27FC236}">
              <a16:creationId xmlns:a16="http://schemas.microsoft.com/office/drawing/2014/main" id="{8A4E2219-38E9-3643-8022-2BB3401FCD01}"/>
            </a:ext>
          </a:extLst>
        </xdr:cNvPr>
        <xdr:cNvSpPr/>
      </xdr:nvSpPr>
      <xdr:spPr>
        <a:xfrm>
          <a:off x="12827000" y="13627100"/>
          <a:ext cx="3746500" cy="635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aseline="0">
              <a:solidFill>
                <a:schemeClr val="tx1"/>
              </a:solidFill>
            </a:rPr>
            <a:t>dashboard wordt geladen...</a:t>
          </a:r>
          <a:endParaRPr lang="en-US" sz="1800">
            <a:solidFill>
              <a:schemeClr val="tx1"/>
            </a:solidFill>
          </a:endParaRPr>
        </a:p>
      </xdr:txBody>
    </xdr:sp>
    <xdr:clientData/>
  </xdr:twoCellAnchor>
  <xdr:twoCellAnchor>
    <xdr:from>
      <xdr:col>6</xdr:col>
      <xdr:colOff>774700</xdr:colOff>
      <xdr:row>50</xdr:row>
      <xdr:rowOff>0</xdr:rowOff>
    </xdr:from>
    <xdr:to>
      <xdr:col>9</xdr:col>
      <xdr:colOff>787400</xdr:colOff>
      <xdr:row>67</xdr:row>
      <xdr:rowOff>114300</xdr:rowOff>
    </xdr:to>
    <xdr:graphicFrame macro="">
      <xdr:nvGraphicFramePr>
        <xdr:cNvPr id="33" name="Chart 32" descr="CO2 uitstoot gemiddeld per kilometer" title="CO2 uitstoot gemiddeld per kilometer">
          <a:extLst>
            <a:ext uri="{FF2B5EF4-FFF2-40B4-BE49-F238E27FC236}">
              <a16:creationId xmlns:a16="http://schemas.microsoft.com/office/drawing/2014/main" id="{127BDB77-4736-7442-BDAD-C22ECB8FDB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812800</xdr:colOff>
      <xdr:row>13</xdr:row>
      <xdr:rowOff>76200</xdr:rowOff>
    </xdr:from>
    <xdr:to>
      <xdr:col>15</xdr:col>
      <xdr:colOff>368300</xdr:colOff>
      <xdr:row>16</xdr:row>
      <xdr:rowOff>101600</xdr:rowOff>
    </xdr:to>
    <xdr:sp macro="" textlink="">
      <xdr:nvSpPr>
        <xdr:cNvPr id="2" name="Rounded Rectangle 1">
          <a:extLst>
            <a:ext uri="{FF2B5EF4-FFF2-40B4-BE49-F238E27FC236}">
              <a16:creationId xmlns:a16="http://schemas.microsoft.com/office/drawing/2014/main" id="{0BC8BD08-5080-AF47-AE75-94CEF9E4BC9E}"/>
            </a:ext>
          </a:extLst>
        </xdr:cNvPr>
        <xdr:cNvSpPr/>
      </xdr:nvSpPr>
      <xdr:spPr>
        <a:xfrm>
          <a:off x="6032500" y="3162300"/>
          <a:ext cx="5676900" cy="635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aseline="0">
              <a:solidFill>
                <a:schemeClr val="tx1"/>
              </a:solidFill>
            </a:rPr>
            <a:t>dashboard wordt geladen, een ogenblik geduld a.u.b.</a:t>
          </a:r>
          <a:endParaRPr lang="en-US" sz="1800">
            <a:solidFill>
              <a:schemeClr val="tx1"/>
            </a:solidFill>
          </a:endParaRPr>
        </a:p>
      </xdr:txBody>
    </xdr:sp>
    <xdr:clientData/>
  </xdr:twoCellAnchor>
  <xdr:twoCellAnchor>
    <xdr:from>
      <xdr:col>13</xdr:col>
      <xdr:colOff>457200</xdr:colOff>
      <xdr:row>35</xdr:row>
      <xdr:rowOff>88900</xdr:rowOff>
    </xdr:from>
    <xdr:to>
      <xdr:col>20</xdr:col>
      <xdr:colOff>736600</xdr:colOff>
      <xdr:row>38</xdr:row>
      <xdr:rowOff>114300</xdr:rowOff>
    </xdr:to>
    <xdr:sp macro="" textlink="">
      <xdr:nvSpPr>
        <xdr:cNvPr id="40" name="Rounded Rectangle 39">
          <a:extLst>
            <a:ext uri="{FF2B5EF4-FFF2-40B4-BE49-F238E27FC236}">
              <a16:creationId xmlns:a16="http://schemas.microsoft.com/office/drawing/2014/main" id="{CD96437C-2420-124C-9EDA-CB5D6B759A8B}"/>
            </a:ext>
          </a:extLst>
        </xdr:cNvPr>
        <xdr:cNvSpPr/>
      </xdr:nvSpPr>
      <xdr:spPr>
        <a:xfrm>
          <a:off x="10121900" y="8394700"/>
          <a:ext cx="5676900" cy="635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aseline="0">
              <a:solidFill>
                <a:schemeClr val="tx1"/>
              </a:solidFill>
            </a:rPr>
            <a:t>dashboard wordt geladen, een ogenblik geduld a.u.b.</a:t>
          </a:r>
          <a:endParaRPr lang="en-US" sz="1800">
            <a:solidFill>
              <a:schemeClr val="tx1"/>
            </a:solidFill>
          </a:endParaRPr>
        </a:p>
      </xdr:txBody>
    </xdr:sp>
    <xdr:clientData/>
  </xdr:twoCellAnchor>
  <xdr:twoCellAnchor>
    <xdr:from>
      <xdr:col>2</xdr:col>
      <xdr:colOff>25400</xdr:colOff>
      <xdr:row>35</xdr:row>
      <xdr:rowOff>101600</xdr:rowOff>
    </xdr:from>
    <xdr:to>
      <xdr:col>8</xdr:col>
      <xdr:colOff>673100</xdr:colOff>
      <xdr:row>38</xdr:row>
      <xdr:rowOff>127000</xdr:rowOff>
    </xdr:to>
    <xdr:sp macro="" textlink="">
      <xdr:nvSpPr>
        <xdr:cNvPr id="38" name="Rounded Rectangle 37">
          <a:extLst>
            <a:ext uri="{FF2B5EF4-FFF2-40B4-BE49-F238E27FC236}">
              <a16:creationId xmlns:a16="http://schemas.microsoft.com/office/drawing/2014/main" id="{CE542962-F292-FB41-8D1B-EA38BF0AE6D3}"/>
            </a:ext>
          </a:extLst>
        </xdr:cNvPr>
        <xdr:cNvSpPr/>
      </xdr:nvSpPr>
      <xdr:spPr>
        <a:xfrm>
          <a:off x="1054100" y="8407400"/>
          <a:ext cx="5676900" cy="635000"/>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aseline="0">
              <a:solidFill>
                <a:schemeClr val="tx1"/>
              </a:solidFill>
            </a:rPr>
            <a:t>dashboard wordt geladen, een ogenblik geduld a.u.b.</a:t>
          </a:r>
          <a:endParaRPr lang="en-US" sz="1800">
            <a:solidFill>
              <a:schemeClr val="tx1"/>
            </a:solidFill>
          </a:endParaRPr>
        </a:p>
      </xdr:txBody>
    </xdr:sp>
    <xdr:clientData/>
  </xdr:twoCellAnchor>
  <xdr:twoCellAnchor>
    <xdr:from>
      <xdr:col>4</xdr:col>
      <xdr:colOff>0</xdr:colOff>
      <xdr:row>50</xdr:row>
      <xdr:rowOff>12700</xdr:rowOff>
    </xdr:from>
    <xdr:to>
      <xdr:col>7</xdr:col>
      <xdr:colOff>12700</xdr:colOff>
      <xdr:row>67</xdr:row>
      <xdr:rowOff>127000</xdr:rowOff>
    </xdr:to>
    <xdr:graphicFrame macro="">
      <xdr:nvGraphicFramePr>
        <xdr:cNvPr id="13" name="Chart 12" descr="CO2 uitstoot gemiddeld per voertuig  per maand " title="CO2 uitstoot per maand">
          <a:extLst>
            <a:ext uri="{FF2B5EF4-FFF2-40B4-BE49-F238E27FC236}">
              <a16:creationId xmlns:a16="http://schemas.microsoft.com/office/drawing/2014/main" id="{44E47FB8-8493-254E-8F77-C17055625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50800</xdr:colOff>
      <xdr:row>28</xdr:row>
      <xdr:rowOff>88900</xdr:rowOff>
    </xdr:from>
    <xdr:to>
      <xdr:col>4</xdr:col>
      <xdr:colOff>177800</xdr:colOff>
      <xdr:row>46</xdr:row>
      <xdr:rowOff>88900</xdr:rowOff>
    </xdr:to>
    <xdr:graphicFrame macro="">
      <xdr:nvGraphicFramePr>
        <xdr:cNvPr id="18" name="Chart 17" descr="De CAPEX is opgedeeld in BPM, BTW, Netto prijs voertuig excl. BTW &amp; BPM, investeringskosten laadinfratructuur en netaansluiting en financieringskosten. " title="CAPEX volledig wagenpark">
          <a:extLst>
            <a:ext uri="{FF2B5EF4-FFF2-40B4-BE49-F238E27FC236}">
              <a16:creationId xmlns:a16="http://schemas.microsoft.com/office/drawing/2014/main" id="{3E86E41C-17F1-1046-BCE8-ADF0753F6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25400</xdr:colOff>
      <xdr:row>50</xdr:row>
      <xdr:rowOff>0</xdr:rowOff>
    </xdr:from>
    <xdr:to>
      <xdr:col>4</xdr:col>
      <xdr:colOff>177800</xdr:colOff>
      <xdr:row>67</xdr:row>
      <xdr:rowOff>101600</xdr:rowOff>
    </xdr:to>
    <xdr:graphicFrame macro="">
      <xdr:nvGraphicFramePr>
        <xdr:cNvPr id="21" name="Chart 20" descr="CO2 uitstoot volledig wagenpark gedurende gekozen looptijd" title="CO2 uitstoot totale looptijd">
          <a:extLst>
            <a:ext uri="{FF2B5EF4-FFF2-40B4-BE49-F238E27FC236}">
              <a16:creationId xmlns:a16="http://schemas.microsoft.com/office/drawing/2014/main" id="{E025E519-BC7A-2F4E-AAAE-6349C3C72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139700</xdr:colOff>
      <xdr:row>50</xdr:row>
      <xdr:rowOff>12700</xdr:rowOff>
    </xdr:from>
    <xdr:to>
      <xdr:col>15</xdr:col>
      <xdr:colOff>673100</xdr:colOff>
      <xdr:row>68</xdr:row>
      <xdr:rowOff>50800</xdr:rowOff>
    </xdr:to>
    <mc:AlternateContent xmlns:mc="http://schemas.openxmlformats.org/markup-compatibility/2006">
      <mc:Choice xmlns:cx1="http://schemas.microsoft.com/office/drawing/2015/9/8/chartex" Requires="cx1">
        <xdr:graphicFrame macro="">
          <xdr:nvGraphicFramePr>
            <xdr:cNvPr id="22" name="Chart 21" descr="Brandstoftype en voertuigklasse van het huidige wagenpark. " title="Verdeling huidig wagenpark">
              <a:extLst>
                <a:ext uri="{FF2B5EF4-FFF2-40B4-BE49-F238E27FC236}">
                  <a16:creationId xmlns:a16="http://schemas.microsoft.com/office/drawing/2014/main" id="{0883282C-68F3-0041-A5C3-E4428246801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8216900" y="12585700"/>
              <a:ext cx="3886200" cy="3695700"/>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xdr:from>
      <xdr:col>11</xdr:col>
      <xdr:colOff>241300</xdr:colOff>
      <xdr:row>28</xdr:row>
      <xdr:rowOff>76200</xdr:rowOff>
    </xdr:from>
    <xdr:to>
      <xdr:col>15</xdr:col>
      <xdr:colOff>165100</xdr:colOff>
      <xdr:row>46</xdr:row>
      <xdr:rowOff>101600</xdr:rowOff>
    </xdr:to>
    <xdr:graphicFrame macro="">
      <xdr:nvGraphicFramePr>
        <xdr:cNvPr id="25" name="Chart 24" descr="OPEX opgedeeld in afschrijving (incl. BPM), MRB, onderhouds-, verzekerings en brandstofkosten, B&amp;O en periodieke kosten laadinfra en netaansluiting en meerkosten chauffeur." title="OPEX totale looptijd volledig wagenpark">
          <a:extLst>
            <a:ext uri="{FF2B5EF4-FFF2-40B4-BE49-F238E27FC236}">
              <a16:creationId xmlns:a16="http://schemas.microsoft.com/office/drawing/2014/main" id="{8685AF48-61A9-F44C-9C92-C97AD8CC8B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88900</xdr:colOff>
      <xdr:row>28</xdr:row>
      <xdr:rowOff>63500</xdr:rowOff>
    </xdr:from>
    <xdr:to>
      <xdr:col>19</xdr:col>
      <xdr:colOff>368300</xdr:colOff>
      <xdr:row>46</xdr:row>
      <xdr:rowOff>114300</xdr:rowOff>
    </xdr:to>
    <xdr:graphicFrame macro="">
      <xdr:nvGraphicFramePr>
        <xdr:cNvPr id="26" name="Chart 25" descr="OPEX opgedeeld in afschrijving (incl. BPM), MRB, onderhouds-, verzekerings en brandstofkosten, B&amp;O en periodieke kosten laadinfra en netaansluiting en meerkosten chauffeur." title="OPEX (per maand) gemiddeld per voertuig">
          <a:extLst>
            <a:ext uri="{FF2B5EF4-FFF2-40B4-BE49-F238E27FC236}">
              <a16:creationId xmlns:a16="http://schemas.microsoft.com/office/drawing/2014/main" id="{150EA660-7F86-964D-99D5-9177195AD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27709</xdr:colOff>
      <xdr:row>28</xdr:row>
      <xdr:rowOff>90055</xdr:rowOff>
    </xdr:from>
    <xdr:to>
      <xdr:col>7</xdr:col>
      <xdr:colOff>135660</xdr:colOff>
      <xdr:row>46</xdr:row>
      <xdr:rowOff>64655</xdr:rowOff>
    </xdr:to>
    <xdr:graphicFrame macro="">
      <xdr:nvGraphicFramePr>
        <xdr:cNvPr id="27" name="Chart 26" descr="De CAPEX is opgedeeld in BPM, BTW, Netto prijs voertuig excl. BTW &amp; BPM, investeringskosten laadinfratructuur en netaansluiting en financieringskosten. " title="CAPEX gemiddeld per voertuig">
          <a:extLst>
            <a:ext uri="{FF2B5EF4-FFF2-40B4-BE49-F238E27FC236}">
              <a16:creationId xmlns:a16="http://schemas.microsoft.com/office/drawing/2014/main" id="{B0ADC2D7-4206-A34C-9BEC-9A02F61311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28</xdr:row>
      <xdr:rowOff>101600</xdr:rowOff>
    </xdr:from>
    <xdr:to>
      <xdr:col>9</xdr:col>
      <xdr:colOff>685800</xdr:colOff>
      <xdr:row>46</xdr:row>
      <xdr:rowOff>88900</xdr:rowOff>
    </xdr:to>
    <xdr:graphicFrame macro="">
      <xdr:nvGraphicFramePr>
        <xdr:cNvPr id="30" name="Chart 29" descr="De CAPEX is opgedeeld in BPM, BTW, Netto prijs voertuig excl. BTW &amp; BPM, investeringskosten laadinfratructuur en netaansluiting en financieringskosten. " title="CAPEX gemiddeld per voertuig">
          <a:extLst>
            <a:ext uri="{FF2B5EF4-FFF2-40B4-BE49-F238E27FC236}">
              <a16:creationId xmlns:a16="http://schemas.microsoft.com/office/drawing/2014/main" id="{5807218B-95C6-8145-BDAC-543E1119A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317500</xdr:colOff>
      <xdr:row>28</xdr:row>
      <xdr:rowOff>114300</xdr:rowOff>
    </xdr:from>
    <xdr:to>
      <xdr:col>22</xdr:col>
      <xdr:colOff>787400</xdr:colOff>
      <xdr:row>46</xdr:row>
      <xdr:rowOff>165100</xdr:rowOff>
    </xdr:to>
    <xdr:graphicFrame macro="">
      <xdr:nvGraphicFramePr>
        <xdr:cNvPr id="31" name="Chart 30" descr="OPEX opgedeeld in afschrijving (incl. BPM), MRB, onderhouds-, verzekerings en brandstofkosten, B&amp;O en periodieke kosten laadinfra en netaansluiting en meerkosten chauffeur." title="OPEX gemiddeld per kilometer">
          <a:extLst>
            <a:ext uri="{FF2B5EF4-FFF2-40B4-BE49-F238E27FC236}">
              <a16:creationId xmlns:a16="http://schemas.microsoft.com/office/drawing/2014/main" id="{DB197A95-F46C-6F4C-8780-D68A564AC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63500</xdr:colOff>
      <xdr:row>56</xdr:row>
      <xdr:rowOff>38100</xdr:rowOff>
    </xdr:from>
    <xdr:to>
      <xdr:col>21</xdr:col>
      <xdr:colOff>698500</xdr:colOff>
      <xdr:row>68</xdr:row>
      <xdr:rowOff>50800</xdr:rowOff>
    </xdr:to>
    <xdr:graphicFrame macro="">
      <xdr:nvGraphicFramePr>
        <xdr:cNvPr id="32" name="Chart 31" descr="Laadprofiel elektrisch laden: opdeling naar laden op remise, openbaar snel, openbaar regulier en thuis op eigen oprit. " title="Laadprofiel">
          <a:extLst>
            <a:ext uri="{FF2B5EF4-FFF2-40B4-BE49-F238E27FC236}">
              <a16:creationId xmlns:a16="http://schemas.microsoft.com/office/drawing/2014/main" id="{AD23695A-829F-7040-B3A7-DAEFA4B03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127000</xdr:colOff>
      <xdr:row>5</xdr:row>
      <xdr:rowOff>101600</xdr:rowOff>
    </xdr:from>
    <xdr:to>
      <xdr:col>6</xdr:col>
      <xdr:colOff>139700</xdr:colOff>
      <xdr:row>24</xdr:row>
      <xdr:rowOff>101600</xdr:rowOff>
    </xdr:to>
    <xdr:graphicFrame macro="">
      <xdr:nvGraphicFramePr>
        <xdr:cNvPr id="34" name="Chart 33" descr="Total Cost of Ownership voor de totale looptijd" title="TCO totale looptijd">
          <a:extLst>
            <a:ext uri="{FF2B5EF4-FFF2-40B4-BE49-F238E27FC236}">
              <a16:creationId xmlns:a16="http://schemas.microsoft.com/office/drawing/2014/main" id="{01E5938B-F286-C349-A68E-B20D05C53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328083</xdr:colOff>
      <xdr:row>5</xdr:row>
      <xdr:rowOff>110067</xdr:rowOff>
    </xdr:from>
    <xdr:to>
      <xdr:col>11</xdr:col>
      <xdr:colOff>759883</xdr:colOff>
      <xdr:row>24</xdr:row>
      <xdr:rowOff>97367</xdr:rowOff>
    </xdr:to>
    <xdr:graphicFrame macro="">
      <xdr:nvGraphicFramePr>
        <xdr:cNvPr id="35" name="Chart 34" descr="Total Cost of Ownership per maand gemiddeld per voertuig" title="TCO per maand - gemiddeld per voertuig">
          <a:extLst>
            <a:ext uri="{FF2B5EF4-FFF2-40B4-BE49-F238E27FC236}">
              <a16:creationId xmlns:a16="http://schemas.microsoft.com/office/drawing/2014/main" id="{B5F67F66-2EF5-7343-8941-E92E6398A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738717</xdr:colOff>
      <xdr:row>5</xdr:row>
      <xdr:rowOff>126999</xdr:rowOff>
    </xdr:from>
    <xdr:to>
      <xdr:col>17</xdr:col>
      <xdr:colOff>599017</xdr:colOff>
      <xdr:row>24</xdr:row>
      <xdr:rowOff>114299</xdr:rowOff>
    </xdr:to>
    <xdr:graphicFrame macro="">
      <xdr:nvGraphicFramePr>
        <xdr:cNvPr id="36" name="Chart 35" descr="Gemiddelde totale kosten per killometer" title="TCO per kilometer - gemiddelde kosten per kilometer">
          <a:extLst>
            <a:ext uri="{FF2B5EF4-FFF2-40B4-BE49-F238E27FC236}">
              <a16:creationId xmlns:a16="http://schemas.microsoft.com/office/drawing/2014/main" id="{0F77FD4B-C3B7-9849-B903-CD4B89D355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622300</xdr:colOff>
      <xdr:row>6</xdr:row>
      <xdr:rowOff>165100</xdr:rowOff>
    </xdr:from>
    <xdr:to>
      <xdr:col>22</xdr:col>
      <xdr:colOff>520700</xdr:colOff>
      <xdr:row>25</xdr:row>
      <xdr:rowOff>88900</xdr:rowOff>
    </xdr:to>
    <xdr:graphicFrame macro="">
      <xdr:nvGraphicFramePr>
        <xdr:cNvPr id="23" name="Chart 35" descr="- Afschrijving voertuigen&#10;- Afschrijving laadinfrastructuur &amp; netaansluiting&#10;- Verzekeringskosten&#10;- MRB&#10;- Onderhoudskosten (ROB)&#10;- Schade&#10;- Brandstofkosten&#10;- Beheer &amp; onderhoud en periodieke kosten laadinfratructuur en elektriciteitsnet&#10;- Meerkosten chauffeur&#10;- Totale kosten voor looptijd excl. CO2 monetarisatie" title="Legenda grafieken">
          <a:extLst>
            <a:ext uri="{FF2B5EF4-FFF2-40B4-BE49-F238E27FC236}">
              <a16:creationId xmlns:a16="http://schemas.microsoft.com/office/drawing/2014/main" id="{DBC09B89-181E-8545-869C-87170F8F19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142876</xdr:colOff>
      <xdr:row>43</xdr:row>
      <xdr:rowOff>114300</xdr:rowOff>
    </xdr:from>
    <xdr:to>
      <xdr:col>9</xdr:col>
      <xdr:colOff>738189</xdr:colOff>
      <xdr:row>46</xdr:row>
      <xdr:rowOff>50801</xdr:rowOff>
    </xdr:to>
    <xdr:graphicFrame macro="">
      <xdr:nvGraphicFramePr>
        <xdr:cNvPr id="37" name="Chart 29" descr="- Netto prijs voertuigen&#10;- BPM&#10;- BTW voertuigen&#10;- Financieringskosten voertuigen&#10;- Investering Laadinfrastructuur &amp; netaansluiting&#10;- BTW laadinfra &amp; net&#10;- Financieringskosten laadinfra en netaansluiting." title="Legende CAPEX">
          <a:extLst>
            <a:ext uri="{FF2B5EF4-FFF2-40B4-BE49-F238E27FC236}">
              <a16:creationId xmlns:a16="http://schemas.microsoft.com/office/drawing/2014/main" id="{4CB39011-A521-9146-922F-D473A7657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808182</xdr:colOff>
      <xdr:row>43</xdr:row>
      <xdr:rowOff>207817</xdr:rowOff>
    </xdr:from>
    <xdr:to>
      <xdr:col>22</xdr:col>
      <xdr:colOff>290286</xdr:colOff>
      <xdr:row>46</xdr:row>
      <xdr:rowOff>196271</xdr:rowOff>
    </xdr:to>
    <xdr:graphicFrame macro="">
      <xdr:nvGraphicFramePr>
        <xdr:cNvPr id="28" name="Chart 30" descr="OPEX opgedeeld in afschrijving (incl. BPM), MRB, onderhouds-, verzekerings en brandstof-kosten." title="OPEX (per maand) gemiddeld per voertuig">
          <a:extLst>
            <a:ext uri="{FF2B5EF4-FFF2-40B4-BE49-F238E27FC236}">
              <a16:creationId xmlns:a16="http://schemas.microsoft.com/office/drawing/2014/main" id="{D6DBB09D-1BC3-A948-8442-DEC5029448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17745</xdr:colOff>
      <xdr:row>304</xdr:row>
      <xdr:rowOff>78389</xdr:rowOff>
    </xdr:from>
    <xdr:to>
      <xdr:col>8</xdr:col>
      <xdr:colOff>1489363</xdr:colOff>
      <xdr:row>319</xdr:row>
      <xdr:rowOff>23091</xdr:rowOff>
    </xdr:to>
    <xdr:sp macro="" textlink="">
      <xdr:nvSpPr>
        <xdr:cNvPr id="2" name="Tekstvak 1">
          <a:extLst>
            <a:ext uri="{FF2B5EF4-FFF2-40B4-BE49-F238E27FC236}">
              <a16:creationId xmlns:a16="http://schemas.microsoft.com/office/drawing/2014/main" id="{68D086D2-A0F8-F94D-B66B-A95587BBAA34}"/>
            </a:ext>
          </a:extLst>
        </xdr:cNvPr>
        <xdr:cNvSpPr txBox="1"/>
      </xdr:nvSpPr>
      <xdr:spPr>
        <a:xfrm>
          <a:off x="17745" y="45071025"/>
          <a:ext cx="14414073" cy="30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Bereken de bpm over de CO2-uitstoot (oude staffels)</a:t>
          </a:r>
        </a:p>
        <a:p>
          <a:endParaRPr lang="nl-NL" sz="1100" b="1"/>
        </a:p>
        <a:p>
          <a:r>
            <a:rPr lang="nl-NL" sz="1100" b="1"/>
            <a:t>Voorbeeld 1 - benzine</a:t>
          </a:r>
        </a:p>
        <a:p>
          <a:r>
            <a:rPr lang="nl-NL" sz="1100"/>
            <a:t>1. De CO2-uitstoot van uw personenauto diesel is 140 gram/km.</a:t>
          </a:r>
        </a:p>
        <a:p>
          <a:r>
            <a:rPr lang="nl-NL" sz="1100"/>
            <a:t>2. In de tabel valt deze waarde tussen de 98 en de 144 gram/km.</a:t>
          </a:r>
        </a:p>
        <a:p>
          <a:r>
            <a:rPr lang="nl-NL" sz="1100"/>
            <a:t>3. Trek van de uitstoot van uw auto 98 gram/km af: 140 - 98 = 42</a:t>
          </a:r>
        </a:p>
        <a:p>
          <a:r>
            <a:rPr lang="nl-NL" sz="1100"/>
            <a:t>4. Vermenigvuldig de uitkomst met het bedrag dat in kolom IV staat van dezelfde rij: 42 x € 139 = € 5.838</a:t>
          </a:r>
        </a:p>
        <a:p>
          <a:r>
            <a:rPr lang="nl-NL" sz="1100"/>
            <a:t>5. Tel bij de uitkomst het bedrag dat in kolom III staat van dezelfde rij: € 5.838 + € 2.077 = € 7.915. Dit is de bpm die u moet betalen.</a:t>
          </a:r>
        </a:p>
        <a:p>
          <a:endParaRPr lang="nl-NL" sz="1100"/>
        </a:p>
        <a:p>
          <a:r>
            <a:rPr lang="nl-NL" sz="1100" b="1"/>
            <a:t>Voorbeeld 2 -</a:t>
          </a:r>
          <a:r>
            <a:rPr lang="nl-NL" sz="1100" b="1" baseline="0"/>
            <a:t> diesel</a:t>
          </a:r>
        </a:p>
        <a:p>
          <a:r>
            <a:rPr lang="nl-NL" sz="1100" b="0" baseline="0"/>
            <a:t>1. Is de CO2-uitstoot van uw personenauto met een dieselmotor meer dan 63 gram/km? Dan betaalt u naast de uitkomst van bovenstaande tabel een dieseltoeslag van € 87,38 per gram CO2-uitstoot boven de 63 gram/km.</a:t>
          </a:r>
        </a:p>
        <a:p>
          <a:r>
            <a:rPr lang="nl-NL" sz="1100" b="0" baseline="0"/>
            <a:t>2. De CO2-uitstoot van uw personenauto diesel is 140 gram/km. Dan berekent u de dieseltoeslag als volgt:</a:t>
          </a:r>
        </a:p>
        <a:p>
          <a:r>
            <a:rPr lang="nl-NL" sz="1100" b="0" baseline="0"/>
            <a:t>3. Dieseltoeslag = (140 - 63) x € 87,38 = € 6.728</a:t>
          </a:r>
        </a:p>
        <a:p>
          <a:r>
            <a:rPr lang="nl-NL" sz="1100" b="0" baseline="0"/>
            <a:t>4. Tel dit bedrag op bij de bpm voor een personenauto op benzine: € 6.728 + € 7.915 = € 14.643 </a:t>
          </a:r>
        </a:p>
        <a:p>
          <a:endParaRPr lang="nl-NL" sz="1100" b="1" baseline="0"/>
        </a:p>
        <a:p>
          <a:r>
            <a:rPr lang="nl-NL" sz="1100" b="1" baseline="0"/>
            <a:t>Bron: </a:t>
          </a:r>
        </a:p>
        <a:p>
          <a:r>
            <a:rPr lang="nl-NL" sz="1100" b="0" baseline="0"/>
            <a:t>Belastingdienst</a:t>
          </a:r>
          <a:endParaRPr lang="nl-NL" sz="1100" b="0"/>
        </a:p>
      </xdr:txBody>
    </xdr:sp>
    <xdr:clientData/>
  </xdr:twoCellAnchor>
  <xdr:twoCellAnchor>
    <xdr:from>
      <xdr:col>0</xdr:col>
      <xdr:colOff>55871</xdr:colOff>
      <xdr:row>358</xdr:row>
      <xdr:rowOff>89683</xdr:rowOff>
    </xdr:from>
    <xdr:to>
      <xdr:col>7</xdr:col>
      <xdr:colOff>112567</xdr:colOff>
      <xdr:row>361</xdr:row>
      <xdr:rowOff>150091</xdr:rowOff>
    </xdr:to>
    <xdr:sp macro="" textlink="">
      <xdr:nvSpPr>
        <xdr:cNvPr id="3" name="Tekstvak 2">
          <a:extLst>
            <a:ext uri="{FF2B5EF4-FFF2-40B4-BE49-F238E27FC236}">
              <a16:creationId xmlns:a16="http://schemas.microsoft.com/office/drawing/2014/main" id="{AD0E4FC9-803B-CC4C-91B8-CE6267BBEAA8}"/>
            </a:ext>
          </a:extLst>
        </xdr:cNvPr>
        <xdr:cNvSpPr txBox="1"/>
      </xdr:nvSpPr>
      <xdr:spPr>
        <a:xfrm>
          <a:off x="55871" y="55473228"/>
          <a:ext cx="11382787" cy="6838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Motorrijtuigenbelasting (MRB)</a:t>
          </a:r>
        </a:p>
        <a:p>
          <a:endParaRPr lang="nl-NL" sz="1100" b="1"/>
        </a:p>
        <a:p>
          <a:r>
            <a:rPr lang="nl-NL" sz="1100"/>
            <a:t>Volledig elektrische personenauto’s zijn tot en met 2024 vrijgesteld van MRB. </a:t>
          </a:r>
        </a:p>
      </xdr:txBody>
    </xdr:sp>
    <xdr:clientData/>
  </xdr:twoCellAnchor>
  <xdr:twoCellAnchor>
    <xdr:from>
      <xdr:col>0</xdr:col>
      <xdr:colOff>56696</xdr:colOff>
      <xdr:row>284</xdr:row>
      <xdr:rowOff>56697</xdr:rowOff>
    </xdr:from>
    <xdr:to>
      <xdr:col>7</xdr:col>
      <xdr:colOff>600982</xdr:colOff>
      <xdr:row>291</xdr:row>
      <xdr:rowOff>181429</xdr:rowOff>
    </xdr:to>
    <xdr:sp macro="" textlink="">
      <xdr:nvSpPr>
        <xdr:cNvPr id="4" name="Tekstvak 3">
          <a:extLst>
            <a:ext uri="{FF2B5EF4-FFF2-40B4-BE49-F238E27FC236}">
              <a16:creationId xmlns:a16="http://schemas.microsoft.com/office/drawing/2014/main" id="{8ADD8681-DA54-A44E-AC04-2A5501668BFC}"/>
            </a:ext>
          </a:extLst>
        </xdr:cNvPr>
        <xdr:cNvSpPr txBox="1"/>
      </xdr:nvSpPr>
      <xdr:spPr>
        <a:xfrm>
          <a:off x="56696" y="19730358"/>
          <a:ext cx="10182679" cy="1553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Aanschafbelasting auto (BPM)</a:t>
          </a:r>
        </a:p>
        <a:p>
          <a:endParaRPr lang="nl-NL" sz="1100" b="1"/>
        </a:p>
        <a:p>
          <a:r>
            <a:rPr lang="nl-NL" sz="1100"/>
            <a:t>De vaststelling van de BPM vindt plaats aan de hand van CO2-schijven waarbinnen voor elk gram CO2 per km een bepaald tarief moet worden betaald. Omdat auto’s als gevolg van technologische ontwikkelingen steeds zuiniger worden, worden de CO2-grenzen en tarieven voor BPM-schijven elk jaar aangescherpt. Volledig elektrische auto’s zijn volledig vrijgesteld van BPM. Voor dieselauto’s is een CO2-afhankelijke dieseltoeslag van toepassing ter compensatie voor de lagere accijns op diesel ten opzichte van benzine. De dieseltoeslag gaat uit van een tarief per gram boven de CO2 grenswaarde.</a:t>
          </a:r>
        </a:p>
        <a:p>
          <a:endParaRPr lang="nl-NL" sz="1100"/>
        </a:p>
        <a:p>
          <a:r>
            <a:rPr lang="nl-NL" sz="1100" b="1"/>
            <a:t>Bron: </a:t>
          </a:r>
          <a:r>
            <a:rPr lang="nl-NL" sz="1100"/>
            <a:t>Belastingdienst</a:t>
          </a:r>
        </a:p>
        <a:p>
          <a:endParaRPr lang="nl-NL" sz="1100"/>
        </a:p>
      </xdr:txBody>
    </xdr:sp>
    <xdr:clientData/>
  </xdr:twoCellAnchor>
  <xdr:twoCellAnchor>
    <xdr:from>
      <xdr:col>10</xdr:col>
      <xdr:colOff>520698</xdr:colOff>
      <xdr:row>146</xdr:row>
      <xdr:rowOff>190501</xdr:rowOff>
    </xdr:from>
    <xdr:to>
      <xdr:col>14</xdr:col>
      <xdr:colOff>279400</xdr:colOff>
      <xdr:row>156</xdr:row>
      <xdr:rowOff>206375</xdr:rowOff>
    </xdr:to>
    <xdr:graphicFrame macro="">
      <xdr:nvGraphicFramePr>
        <xdr:cNvPr id="7" name="Grafiek 6">
          <a:extLst>
            <a:ext uri="{FF2B5EF4-FFF2-40B4-BE49-F238E27FC236}">
              <a16:creationId xmlns:a16="http://schemas.microsoft.com/office/drawing/2014/main" id="{B544F184-E58F-C34C-8738-CC6CFE1BDC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46183</xdr:colOff>
      <xdr:row>206</xdr:row>
      <xdr:rowOff>80819</xdr:rowOff>
    </xdr:from>
    <xdr:to>
      <xdr:col>3</xdr:col>
      <xdr:colOff>1408546</xdr:colOff>
      <xdr:row>209</xdr:row>
      <xdr:rowOff>115454</xdr:rowOff>
    </xdr:to>
    <xdr:sp macro="" textlink="">
      <xdr:nvSpPr>
        <xdr:cNvPr id="8" name="Tekstvak 7">
          <a:extLst>
            <a:ext uri="{FF2B5EF4-FFF2-40B4-BE49-F238E27FC236}">
              <a16:creationId xmlns:a16="http://schemas.microsoft.com/office/drawing/2014/main" id="{E942169C-3621-7B42-8F4E-B3BFB9B637ED}"/>
            </a:ext>
          </a:extLst>
        </xdr:cNvPr>
        <xdr:cNvSpPr txBox="1"/>
      </xdr:nvSpPr>
      <xdr:spPr>
        <a:xfrm>
          <a:off x="46183" y="20585546"/>
          <a:ext cx="7192818" cy="658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De integrale methode gaat uit van de totale (hernieuwbare plus niet hernieuwbare) elektriciteitsproductie in verhouding tot de aan elektriciteit toegerekende inzet van aardgas, kolen en kernenergie. Elektriciteit uit afvalverbrandingsinstallaties en restgassen wordt niet meegenomen.</a:t>
          </a:r>
        </a:p>
      </xdr:txBody>
    </xdr:sp>
    <xdr:clientData/>
  </xdr:twoCellAnchor>
  <xdr:twoCellAnchor editAs="oneCell">
    <xdr:from>
      <xdr:col>10</xdr:col>
      <xdr:colOff>381337</xdr:colOff>
      <xdr:row>290</xdr:row>
      <xdr:rowOff>173180</xdr:rowOff>
    </xdr:from>
    <xdr:to>
      <xdr:col>14</xdr:col>
      <xdr:colOff>1132609</xdr:colOff>
      <xdr:row>315</xdr:row>
      <xdr:rowOff>14275</xdr:rowOff>
    </xdr:to>
    <xdr:pic>
      <xdr:nvPicPr>
        <xdr:cNvPr id="9" name="Afbeelding 8" descr="WLTP-tabel-september-2019-(1).jpg">
          <a:extLst>
            <a:ext uri="{FF2B5EF4-FFF2-40B4-BE49-F238E27FC236}">
              <a16:creationId xmlns:a16="http://schemas.microsoft.com/office/drawing/2014/main" id="{A0AE1B55-C021-2C40-8963-9AA2ACABD6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9519" y="42036998"/>
          <a:ext cx="5910936" cy="5255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25400</xdr:colOff>
      <xdr:row>248</xdr:row>
      <xdr:rowOff>12700</xdr:rowOff>
    </xdr:from>
    <xdr:to>
      <xdr:col>10</xdr:col>
      <xdr:colOff>1127213</xdr:colOff>
      <xdr:row>254</xdr:row>
      <xdr:rowOff>105834</xdr:rowOff>
    </xdr:to>
    <xdr:pic>
      <xdr:nvPicPr>
        <xdr:cNvPr id="10" name="Afbeelding 9">
          <a:extLst>
            <a:ext uri="{FF2B5EF4-FFF2-40B4-BE49-F238E27FC236}">
              <a16:creationId xmlns:a16="http://schemas.microsoft.com/office/drawing/2014/main" id="{C93640AE-0DB3-2A43-95F1-238AEE7729FB}"/>
            </a:ext>
          </a:extLst>
        </xdr:cNvPr>
        <xdr:cNvPicPr>
          <a:picLocks noChangeAspect="1"/>
        </xdr:cNvPicPr>
      </xdr:nvPicPr>
      <xdr:blipFill>
        <a:blip xmlns:r="http://schemas.openxmlformats.org/officeDocument/2006/relationships" r:embed="rId3"/>
        <a:stretch>
          <a:fillRect/>
        </a:stretch>
      </xdr:blipFill>
      <xdr:spPr>
        <a:xfrm>
          <a:off x="9652000" y="47586900"/>
          <a:ext cx="7540713" cy="1312334"/>
        </a:xfrm>
        <a:prstGeom prst="rect">
          <a:avLst/>
        </a:prstGeom>
      </xdr:spPr>
    </xdr:pic>
    <xdr:clientData/>
  </xdr:twoCellAnchor>
  <xdr:twoCellAnchor>
    <xdr:from>
      <xdr:col>10</xdr:col>
      <xdr:colOff>508000</xdr:colOff>
      <xdr:row>158</xdr:row>
      <xdr:rowOff>79375</xdr:rowOff>
    </xdr:from>
    <xdr:to>
      <xdr:col>14</xdr:col>
      <xdr:colOff>266702</xdr:colOff>
      <xdr:row>168</xdr:row>
      <xdr:rowOff>95249</xdr:rowOff>
    </xdr:to>
    <xdr:graphicFrame macro="">
      <xdr:nvGraphicFramePr>
        <xdr:cNvPr id="15" name="Grafiek 14">
          <a:extLst>
            <a:ext uri="{FF2B5EF4-FFF2-40B4-BE49-F238E27FC236}">
              <a16:creationId xmlns:a16="http://schemas.microsoft.com/office/drawing/2014/main" id="{DC7DEDB8-CF4F-3342-A745-39DFB8426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460375</xdr:colOff>
      <xdr:row>169</xdr:row>
      <xdr:rowOff>79375</xdr:rowOff>
    </xdr:from>
    <xdr:to>
      <xdr:col>14</xdr:col>
      <xdr:colOff>219077</xdr:colOff>
      <xdr:row>179</xdr:row>
      <xdr:rowOff>95249</xdr:rowOff>
    </xdr:to>
    <xdr:graphicFrame macro="">
      <xdr:nvGraphicFramePr>
        <xdr:cNvPr id="16" name="Grafiek 15">
          <a:extLst>
            <a:ext uri="{FF2B5EF4-FFF2-40B4-BE49-F238E27FC236}">
              <a16:creationId xmlns:a16="http://schemas.microsoft.com/office/drawing/2014/main" id="{B3D03058-3714-B542-B682-20B90455E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xdr:colOff>
      <xdr:row>0</xdr:row>
      <xdr:rowOff>50801</xdr:rowOff>
    </xdr:from>
    <xdr:to>
      <xdr:col>9</xdr:col>
      <xdr:colOff>762000</xdr:colOff>
      <xdr:row>4</xdr:row>
      <xdr:rowOff>50801</xdr:rowOff>
    </xdr:to>
    <xdr:sp macro="" textlink="">
      <xdr:nvSpPr>
        <xdr:cNvPr id="2" name="Tekstvak 3">
          <a:extLst>
            <a:ext uri="{FF2B5EF4-FFF2-40B4-BE49-F238E27FC236}">
              <a16:creationId xmlns:a16="http://schemas.microsoft.com/office/drawing/2014/main" id="{51E43DBC-FA0E-5A4C-ABB3-B0A77DA8C959}"/>
            </a:ext>
          </a:extLst>
        </xdr:cNvPr>
        <xdr:cNvSpPr txBox="1"/>
      </xdr:nvSpPr>
      <xdr:spPr>
        <a:xfrm>
          <a:off x="838200" y="50801"/>
          <a:ext cx="7353300" cy="8128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Toelichting:</a:t>
          </a:r>
          <a:endParaRPr lang="nl-NL" sz="1100" b="1" baseline="0"/>
        </a:p>
        <a:p>
          <a:r>
            <a:rPr lang="nl-NL" sz="1100"/>
            <a:t>WLTP of NEDC waarden zij</a:t>
          </a:r>
          <a:r>
            <a:rPr lang="nl-NL" sz="1100" baseline="0"/>
            <a:t>n niet beschikbaar voor deze speciale voertuigen, er zijn wel gemeten waarden beschikbaar. Omdat deze het beste nog de WLTP benaderen zijn de waarden daarvoor ingevuld.</a:t>
          </a:r>
          <a:endParaRPr lang="nl-NL"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0</xdr:row>
      <xdr:rowOff>50801</xdr:rowOff>
    </xdr:from>
    <xdr:to>
      <xdr:col>4</xdr:col>
      <xdr:colOff>947916</xdr:colOff>
      <xdr:row>4</xdr:row>
      <xdr:rowOff>50801</xdr:rowOff>
    </xdr:to>
    <xdr:sp macro="" textlink="">
      <xdr:nvSpPr>
        <xdr:cNvPr id="4" name="Tekstvak 3">
          <a:extLst>
            <a:ext uri="{FF2B5EF4-FFF2-40B4-BE49-F238E27FC236}">
              <a16:creationId xmlns:a16="http://schemas.microsoft.com/office/drawing/2014/main" id="{C47DFE42-1F26-A846-94AE-BC5D2375B29E}"/>
            </a:ext>
          </a:extLst>
        </xdr:cNvPr>
        <xdr:cNvSpPr txBox="1"/>
      </xdr:nvSpPr>
      <xdr:spPr>
        <a:xfrm>
          <a:off x="317500" y="50801"/>
          <a:ext cx="7018516" cy="81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Toelichting:</a:t>
          </a:r>
          <a:endParaRPr lang="nl-NL" sz="1100" b="1" baseline="0"/>
        </a:p>
        <a:p>
          <a:r>
            <a:rPr lang="nl-NL" sz="1100"/>
            <a:t>WLTP waarden zij</a:t>
          </a:r>
          <a:r>
            <a:rPr lang="nl-NL" sz="1100" baseline="0"/>
            <a:t>n niet beschikbaar voor alle voertuigen vanwege de overgangsperiode van NEDC naar WLTP. Daarom enkel het gemiddelde genomen van de voertuigen waarvoor de WLTP waarde bal beschikbaar is gesteld door de OEM'er. Deze cellen zijn groen gemaakt.</a:t>
          </a:r>
          <a:endParaRPr lang="nl-NL"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444500</xdr:colOff>
      <xdr:row>194</xdr:row>
      <xdr:rowOff>101600</xdr:rowOff>
    </xdr:from>
    <xdr:to>
      <xdr:col>10</xdr:col>
      <xdr:colOff>152400</xdr:colOff>
      <xdr:row>203</xdr:row>
      <xdr:rowOff>50800</xdr:rowOff>
    </xdr:to>
    <xdr:sp macro="" textlink="">
      <xdr:nvSpPr>
        <xdr:cNvPr id="4" name="Tekstvak 3">
          <a:extLst>
            <a:ext uri="{FF2B5EF4-FFF2-40B4-BE49-F238E27FC236}">
              <a16:creationId xmlns:a16="http://schemas.microsoft.com/office/drawing/2014/main" id="{534D59D7-C29A-114D-9C4A-D8A737D8CB94}"/>
            </a:ext>
          </a:extLst>
        </xdr:cNvPr>
        <xdr:cNvSpPr txBox="1"/>
      </xdr:nvSpPr>
      <xdr:spPr>
        <a:xfrm>
          <a:off x="13258800" y="40462200"/>
          <a:ext cx="7569200" cy="180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Het kabinet heeft TNO gevraagd de gevolgen van de nieuwe WLTP-methode door te rekenen. TNO geeft aan dat de WLTP CO2-uitstoot gemiddeld 10% + 15 g/km hoger is dan de oude NEDC CO2-uitstoot. Deze formule kan volgens TNO worden gebruikt als basis voor een budgettair neutrale omzetting van de CO2-tarieven in de BPM. Wanneer er BPM-tarieven en CO2-schijfgrenzen worden berekend met inachtneming van de veronderstelling dat de WLTP CO2-uitstoot gemiddeld 10% + 15 g/km hoger is dan de NEDC CO2-uitstoot, zullen de gevolgen voor de totale BPM-opbrengst naar verwachting klein zijn. Gemiddeld genomen blijft de BPM dan ongeveer hetzelfde. Dit neemt niet weg dat de BPM-opbrengst hoger of lager kan worden doordat er meer of minder auto’s verkocht gaan worden, of doordat de consumentenvoorkeuren veranderen.</a:t>
          </a:r>
        </a:p>
        <a:p>
          <a:endParaRPr lang="nl-NL" sz="1100"/>
        </a:p>
        <a:p>
          <a:r>
            <a:rPr lang="nl-NL" sz="1100" u="sng"/>
            <a:t>Link</a:t>
          </a:r>
          <a:r>
            <a:rPr lang="nl-NL" sz="1100" u="none"/>
            <a:t>: </a:t>
          </a:r>
          <a:r>
            <a:rPr lang="nl-NL" sz="1100"/>
            <a:t>zeeuwenzeeuw.nl/forward-lease/nieuws/nieuwe-bpm-tabel-op-basis-van-wltp-komt-per-1-juli-2020/</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1</xdr:col>
      <xdr:colOff>762000</xdr:colOff>
      <xdr:row>42</xdr:row>
      <xdr:rowOff>12700</xdr:rowOff>
    </xdr:to>
    <xdr:pic>
      <xdr:nvPicPr>
        <xdr:cNvPr id="12" name="Afbeelding 11" descr="Mercedes Benz Vito">
          <a:extLst>
            <a:ext uri="{FF2B5EF4-FFF2-40B4-BE49-F238E27FC236}">
              <a16:creationId xmlns:a16="http://schemas.microsoft.com/office/drawing/2014/main" id="{7AEEE49A-E1F9-DE4F-B0E9-8A1DD5B63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182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42</xdr:row>
      <xdr:rowOff>0</xdr:rowOff>
    </xdr:from>
    <xdr:to>
      <xdr:col>1</xdr:col>
      <xdr:colOff>762000</xdr:colOff>
      <xdr:row>44</xdr:row>
      <xdr:rowOff>12700</xdr:rowOff>
    </xdr:to>
    <xdr:pic>
      <xdr:nvPicPr>
        <xdr:cNvPr id="13" name="Afbeelding 12" descr="Volkswagen Transporter">
          <a:extLst>
            <a:ext uri="{FF2B5EF4-FFF2-40B4-BE49-F238E27FC236}">
              <a16:creationId xmlns:a16="http://schemas.microsoft.com/office/drawing/2014/main" id="{B3E5426C-BC1C-1D4A-A314-88D839538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3246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44</xdr:row>
      <xdr:rowOff>0</xdr:rowOff>
    </xdr:from>
    <xdr:to>
      <xdr:col>1</xdr:col>
      <xdr:colOff>762000</xdr:colOff>
      <xdr:row>46</xdr:row>
      <xdr:rowOff>12699</xdr:rowOff>
    </xdr:to>
    <xdr:pic>
      <xdr:nvPicPr>
        <xdr:cNvPr id="14" name="Afbeelding 13" descr="Opel Vivaro">
          <a:extLst>
            <a:ext uri="{FF2B5EF4-FFF2-40B4-BE49-F238E27FC236}">
              <a16:creationId xmlns:a16="http://schemas.microsoft.com/office/drawing/2014/main" id="{5045856D-03D2-5D43-86E8-F26752B3D1D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7310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46</xdr:row>
      <xdr:rowOff>0</xdr:rowOff>
    </xdr:from>
    <xdr:to>
      <xdr:col>1</xdr:col>
      <xdr:colOff>762000</xdr:colOff>
      <xdr:row>48</xdr:row>
      <xdr:rowOff>12700</xdr:rowOff>
    </xdr:to>
    <xdr:pic>
      <xdr:nvPicPr>
        <xdr:cNvPr id="15" name="Afbeelding 14" descr="Renault Trafic">
          <a:extLst>
            <a:ext uri="{FF2B5EF4-FFF2-40B4-BE49-F238E27FC236}">
              <a16:creationId xmlns:a16="http://schemas.microsoft.com/office/drawing/2014/main" id="{6A113B00-D4D0-C94B-94F7-D240A00F36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71374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48</xdr:row>
      <xdr:rowOff>0</xdr:rowOff>
    </xdr:from>
    <xdr:to>
      <xdr:col>1</xdr:col>
      <xdr:colOff>762000</xdr:colOff>
      <xdr:row>50</xdr:row>
      <xdr:rowOff>12700</xdr:rowOff>
    </xdr:to>
    <xdr:pic>
      <xdr:nvPicPr>
        <xdr:cNvPr id="16" name="Afbeelding 15" descr="Citroen Jumpy">
          <a:extLst>
            <a:ext uri="{FF2B5EF4-FFF2-40B4-BE49-F238E27FC236}">
              <a16:creationId xmlns:a16="http://schemas.microsoft.com/office/drawing/2014/main" id="{BBF594EA-36E1-8A4B-8267-4779407D2D4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75438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50</xdr:row>
      <xdr:rowOff>0</xdr:rowOff>
    </xdr:from>
    <xdr:to>
      <xdr:col>1</xdr:col>
      <xdr:colOff>762000</xdr:colOff>
      <xdr:row>52</xdr:row>
      <xdr:rowOff>101601</xdr:rowOff>
    </xdr:to>
    <xdr:pic>
      <xdr:nvPicPr>
        <xdr:cNvPr id="17" name="Afbeelding 16" descr="Peugeot Expert">
          <a:extLst>
            <a:ext uri="{FF2B5EF4-FFF2-40B4-BE49-F238E27FC236}">
              <a16:creationId xmlns:a16="http://schemas.microsoft.com/office/drawing/2014/main" id="{6D5BFD15-DF2C-3A4E-BDB7-7E3CDDD0323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7950200"/>
          <a:ext cx="7620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52</xdr:row>
      <xdr:rowOff>0</xdr:rowOff>
    </xdr:from>
    <xdr:to>
      <xdr:col>1</xdr:col>
      <xdr:colOff>762000</xdr:colOff>
      <xdr:row>54</xdr:row>
      <xdr:rowOff>101600</xdr:rowOff>
    </xdr:to>
    <xdr:pic>
      <xdr:nvPicPr>
        <xdr:cNvPr id="18" name="Afbeelding 17" descr="Toyota PROACE">
          <a:extLst>
            <a:ext uri="{FF2B5EF4-FFF2-40B4-BE49-F238E27FC236}">
              <a16:creationId xmlns:a16="http://schemas.microsoft.com/office/drawing/2014/main" id="{074F6756-48FD-5840-9029-3626155EE2B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56600"/>
          <a:ext cx="7620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1</xdr:col>
      <xdr:colOff>762000</xdr:colOff>
      <xdr:row>56</xdr:row>
      <xdr:rowOff>12700</xdr:rowOff>
    </xdr:to>
    <xdr:pic>
      <xdr:nvPicPr>
        <xdr:cNvPr id="19" name="Afbeelding 18" descr="Ford Transit">
          <a:extLst>
            <a:ext uri="{FF2B5EF4-FFF2-40B4-BE49-F238E27FC236}">
              <a16:creationId xmlns:a16="http://schemas.microsoft.com/office/drawing/2014/main" id="{2AE829D4-F3F1-8D41-9B85-664111DFC56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7630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64</xdr:row>
      <xdr:rowOff>0</xdr:rowOff>
    </xdr:from>
    <xdr:to>
      <xdr:col>1</xdr:col>
      <xdr:colOff>762000</xdr:colOff>
      <xdr:row>66</xdr:row>
      <xdr:rowOff>12701</xdr:rowOff>
    </xdr:to>
    <xdr:pic>
      <xdr:nvPicPr>
        <xdr:cNvPr id="20" name="Afbeelding 19" descr="Fiat Ducato">
          <a:extLst>
            <a:ext uri="{FF2B5EF4-FFF2-40B4-BE49-F238E27FC236}">
              <a16:creationId xmlns:a16="http://schemas.microsoft.com/office/drawing/2014/main" id="{B6017A1F-7C24-714D-9DDA-C85B8B77012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0617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66</xdr:row>
      <xdr:rowOff>0</xdr:rowOff>
    </xdr:from>
    <xdr:to>
      <xdr:col>1</xdr:col>
      <xdr:colOff>762000</xdr:colOff>
      <xdr:row>68</xdr:row>
      <xdr:rowOff>12700</xdr:rowOff>
    </xdr:to>
    <xdr:pic>
      <xdr:nvPicPr>
        <xdr:cNvPr id="21" name="Afbeelding 20" descr="Mercedes-Benz Sprinter">
          <a:extLst>
            <a:ext uri="{FF2B5EF4-FFF2-40B4-BE49-F238E27FC236}">
              <a16:creationId xmlns:a16="http://schemas.microsoft.com/office/drawing/2014/main" id="{96510265-716C-9849-9988-B06562595F6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4681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68</xdr:row>
      <xdr:rowOff>0</xdr:rowOff>
    </xdr:from>
    <xdr:to>
      <xdr:col>1</xdr:col>
      <xdr:colOff>762000</xdr:colOff>
      <xdr:row>70</xdr:row>
      <xdr:rowOff>101600</xdr:rowOff>
    </xdr:to>
    <xdr:pic>
      <xdr:nvPicPr>
        <xdr:cNvPr id="22" name="Afbeelding 21" descr="Volkswagen Crafter">
          <a:extLst>
            <a:ext uri="{FF2B5EF4-FFF2-40B4-BE49-F238E27FC236}">
              <a16:creationId xmlns:a16="http://schemas.microsoft.com/office/drawing/2014/main" id="{F48BDFCB-FF7F-E947-AB7F-630FE3E5E23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1874500"/>
          <a:ext cx="7620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70</xdr:row>
      <xdr:rowOff>0</xdr:rowOff>
    </xdr:from>
    <xdr:to>
      <xdr:col>1</xdr:col>
      <xdr:colOff>762000</xdr:colOff>
      <xdr:row>72</xdr:row>
      <xdr:rowOff>101600</xdr:rowOff>
    </xdr:to>
    <xdr:pic>
      <xdr:nvPicPr>
        <xdr:cNvPr id="23" name="Afbeelding 22" descr="Citroen Jumper">
          <a:extLst>
            <a:ext uri="{FF2B5EF4-FFF2-40B4-BE49-F238E27FC236}">
              <a16:creationId xmlns:a16="http://schemas.microsoft.com/office/drawing/2014/main" id="{4BD91B07-83BD-B94B-9430-53155D51247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2280900"/>
          <a:ext cx="7620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72</xdr:row>
      <xdr:rowOff>0</xdr:rowOff>
    </xdr:from>
    <xdr:to>
      <xdr:col>1</xdr:col>
      <xdr:colOff>762000</xdr:colOff>
      <xdr:row>74</xdr:row>
      <xdr:rowOff>12700</xdr:rowOff>
    </xdr:to>
    <xdr:pic>
      <xdr:nvPicPr>
        <xdr:cNvPr id="24" name="Afbeelding 23" descr="Peugeot Boxer">
          <a:extLst>
            <a:ext uri="{FF2B5EF4-FFF2-40B4-BE49-F238E27FC236}">
              <a16:creationId xmlns:a16="http://schemas.microsoft.com/office/drawing/2014/main" id="{1E848730-76CB-2C40-A12D-7C628177FBD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26873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74</xdr:row>
      <xdr:rowOff>0</xdr:rowOff>
    </xdr:from>
    <xdr:to>
      <xdr:col>1</xdr:col>
      <xdr:colOff>762000</xdr:colOff>
      <xdr:row>76</xdr:row>
      <xdr:rowOff>12700</xdr:rowOff>
    </xdr:to>
    <xdr:pic>
      <xdr:nvPicPr>
        <xdr:cNvPr id="25" name="Afbeelding 24" descr="Renault Master">
          <a:extLst>
            <a:ext uri="{FF2B5EF4-FFF2-40B4-BE49-F238E27FC236}">
              <a16:creationId xmlns:a16="http://schemas.microsoft.com/office/drawing/2014/main" id="{783B3E0E-61F0-A545-9428-AD04D365C953}"/>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30937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76</xdr:row>
      <xdr:rowOff>0</xdr:rowOff>
    </xdr:from>
    <xdr:to>
      <xdr:col>1</xdr:col>
      <xdr:colOff>762000</xdr:colOff>
      <xdr:row>78</xdr:row>
      <xdr:rowOff>101599</xdr:rowOff>
    </xdr:to>
    <xdr:pic>
      <xdr:nvPicPr>
        <xdr:cNvPr id="26" name="Afbeelding 25" descr="Opel Movano">
          <a:extLst>
            <a:ext uri="{FF2B5EF4-FFF2-40B4-BE49-F238E27FC236}">
              <a16:creationId xmlns:a16="http://schemas.microsoft.com/office/drawing/2014/main" id="{D0927437-42E1-D443-8890-52DC8C46B21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3500100"/>
          <a:ext cx="7620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xdr:row>
      <xdr:rowOff>0</xdr:rowOff>
    </xdr:from>
    <xdr:to>
      <xdr:col>1</xdr:col>
      <xdr:colOff>762000</xdr:colOff>
      <xdr:row>13</xdr:row>
      <xdr:rowOff>0</xdr:rowOff>
    </xdr:to>
    <xdr:pic>
      <xdr:nvPicPr>
        <xdr:cNvPr id="67" name="Afbeelding 66" descr="Ford Transit Courier">
          <a:extLst>
            <a:ext uri="{FF2B5EF4-FFF2-40B4-BE49-F238E27FC236}">
              <a16:creationId xmlns:a16="http://schemas.microsoft.com/office/drawing/2014/main" id="{749EA7A3-0615-0F4B-859B-901CA83D81D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4224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1</xdr:col>
      <xdr:colOff>762000</xdr:colOff>
      <xdr:row>15</xdr:row>
      <xdr:rowOff>6349</xdr:rowOff>
    </xdr:to>
    <xdr:pic>
      <xdr:nvPicPr>
        <xdr:cNvPr id="68" name="Afbeelding 67" descr="Citroen Nemo">
          <a:extLst>
            <a:ext uri="{FF2B5EF4-FFF2-40B4-BE49-F238E27FC236}">
              <a16:creationId xmlns:a16="http://schemas.microsoft.com/office/drawing/2014/main" id="{2C21FC16-1FFC-3A48-838B-E0C91325649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8415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762000</xdr:colOff>
      <xdr:row>16</xdr:row>
      <xdr:rowOff>203201</xdr:rowOff>
    </xdr:to>
    <xdr:pic>
      <xdr:nvPicPr>
        <xdr:cNvPr id="69" name="Afbeelding 68" descr="Fiat Fiorino">
          <a:extLst>
            <a:ext uri="{FF2B5EF4-FFF2-40B4-BE49-F238E27FC236}">
              <a16:creationId xmlns:a16="http://schemas.microsoft.com/office/drawing/2014/main" id="{A154AB3E-5715-8349-BF9A-7E6B5E5D1C49}"/>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22606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0</xdr:rowOff>
    </xdr:from>
    <xdr:to>
      <xdr:col>1</xdr:col>
      <xdr:colOff>762000</xdr:colOff>
      <xdr:row>19</xdr:row>
      <xdr:rowOff>76200</xdr:rowOff>
    </xdr:to>
    <xdr:pic>
      <xdr:nvPicPr>
        <xdr:cNvPr id="70" name="Afbeelding 69" descr="Peugeot Bipper">
          <a:extLst>
            <a:ext uri="{FF2B5EF4-FFF2-40B4-BE49-F238E27FC236}">
              <a16:creationId xmlns:a16="http://schemas.microsoft.com/office/drawing/2014/main" id="{4F184377-7139-714C-B4FC-C662312A824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2692400"/>
          <a:ext cx="7620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762000</xdr:colOff>
      <xdr:row>20</xdr:row>
      <xdr:rowOff>203200</xdr:rowOff>
    </xdr:to>
    <xdr:pic>
      <xdr:nvPicPr>
        <xdr:cNvPr id="71" name="Afbeelding 70" descr="Mercedes-Benz Citan">
          <a:extLst>
            <a:ext uri="{FF2B5EF4-FFF2-40B4-BE49-F238E27FC236}">
              <a16:creationId xmlns:a16="http://schemas.microsoft.com/office/drawing/2014/main" id="{732E6CE2-54D5-344A-AA9D-D78071CFED8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31242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21</xdr:row>
      <xdr:rowOff>0</xdr:rowOff>
    </xdr:from>
    <xdr:to>
      <xdr:col>1</xdr:col>
      <xdr:colOff>762000</xdr:colOff>
      <xdr:row>23</xdr:row>
      <xdr:rowOff>0</xdr:rowOff>
    </xdr:to>
    <xdr:pic>
      <xdr:nvPicPr>
        <xdr:cNvPr id="72" name="Afbeelding 71" descr="Renault Kangoo">
          <a:extLst>
            <a:ext uri="{FF2B5EF4-FFF2-40B4-BE49-F238E27FC236}">
              <a16:creationId xmlns:a16="http://schemas.microsoft.com/office/drawing/2014/main" id="{2F9CE409-238D-F942-B73B-A0875B590DCF}"/>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35560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xdr:row>
      <xdr:rowOff>0</xdr:rowOff>
    </xdr:from>
    <xdr:to>
      <xdr:col>1</xdr:col>
      <xdr:colOff>762000</xdr:colOff>
      <xdr:row>25</xdr:row>
      <xdr:rowOff>12701</xdr:rowOff>
    </xdr:to>
    <xdr:pic>
      <xdr:nvPicPr>
        <xdr:cNvPr id="73" name="Afbeelding 72" descr="Fiat Doblo Cargo">
          <a:extLst>
            <a:ext uri="{FF2B5EF4-FFF2-40B4-BE49-F238E27FC236}">
              <a16:creationId xmlns:a16="http://schemas.microsoft.com/office/drawing/2014/main" id="{78D6EDAE-3CB5-E346-8C82-608BF717684C}"/>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39751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1</xdr:col>
      <xdr:colOff>762000</xdr:colOff>
      <xdr:row>27</xdr:row>
      <xdr:rowOff>12700</xdr:rowOff>
    </xdr:to>
    <xdr:pic>
      <xdr:nvPicPr>
        <xdr:cNvPr id="74" name="Afbeelding 73" descr="Volkswagen Caddy">
          <a:extLst>
            <a:ext uri="{FF2B5EF4-FFF2-40B4-BE49-F238E27FC236}">
              <a16:creationId xmlns:a16="http://schemas.microsoft.com/office/drawing/2014/main" id="{A251B7BD-1B7A-E249-84D4-BFFBD3E41F1A}"/>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43815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27</xdr:row>
      <xdr:rowOff>0</xdr:rowOff>
    </xdr:from>
    <xdr:to>
      <xdr:col>1</xdr:col>
      <xdr:colOff>762000</xdr:colOff>
      <xdr:row>29</xdr:row>
      <xdr:rowOff>12700</xdr:rowOff>
    </xdr:to>
    <xdr:pic>
      <xdr:nvPicPr>
        <xdr:cNvPr id="75" name="Afbeelding 74" descr="Citroen Berlingo">
          <a:extLst>
            <a:ext uri="{FF2B5EF4-FFF2-40B4-BE49-F238E27FC236}">
              <a16:creationId xmlns:a16="http://schemas.microsoft.com/office/drawing/2014/main" id="{7A2A97B4-7473-614D-819E-48AB2281D65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4787900"/>
          <a:ext cx="762000"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29</xdr:row>
      <xdr:rowOff>0</xdr:rowOff>
    </xdr:from>
    <xdr:to>
      <xdr:col>1</xdr:col>
      <xdr:colOff>762000</xdr:colOff>
      <xdr:row>31</xdr:row>
      <xdr:rowOff>101600</xdr:rowOff>
    </xdr:to>
    <xdr:pic>
      <xdr:nvPicPr>
        <xdr:cNvPr id="76" name="Afbeelding 75" descr="Peugeot Partner">
          <a:extLst>
            <a:ext uri="{FF2B5EF4-FFF2-40B4-BE49-F238E27FC236}">
              <a16:creationId xmlns:a16="http://schemas.microsoft.com/office/drawing/2014/main" id="{93219DEF-B8DF-B643-9898-DEBF697B5EBF}"/>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5194300"/>
          <a:ext cx="762000" cy="5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84665</xdr:colOff>
      <xdr:row>0</xdr:row>
      <xdr:rowOff>127000</xdr:rowOff>
    </xdr:from>
    <xdr:to>
      <xdr:col>3</xdr:col>
      <xdr:colOff>4896556</xdr:colOff>
      <xdr:row>4</xdr:row>
      <xdr:rowOff>126999</xdr:rowOff>
    </xdr:to>
    <xdr:sp macro="" textlink="">
      <xdr:nvSpPr>
        <xdr:cNvPr id="2" name="Tekstvak 1">
          <a:extLst>
            <a:ext uri="{FF2B5EF4-FFF2-40B4-BE49-F238E27FC236}">
              <a16:creationId xmlns:a16="http://schemas.microsoft.com/office/drawing/2014/main" id="{7EACF7E0-33F9-044E-B699-891814D2FD24}"/>
            </a:ext>
          </a:extLst>
        </xdr:cNvPr>
        <xdr:cNvSpPr txBox="1"/>
      </xdr:nvSpPr>
      <xdr:spPr>
        <a:xfrm>
          <a:off x="84665" y="127000"/>
          <a:ext cx="7013224" cy="790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t>Toelichting:</a:t>
          </a:r>
          <a:endParaRPr lang="nl-NL" sz="1100" b="1" baseline="0"/>
        </a:p>
        <a:p>
          <a:r>
            <a:rPr lang="nl-NL" sz="1100"/>
            <a:t>WLTP waarden zij</a:t>
          </a:r>
          <a:r>
            <a:rPr lang="nl-NL" sz="1100" baseline="0"/>
            <a:t>n niet beschikbaar voor alle voertuigen vanwege de overgangsperiode van NEDC naar WLTP. Daarom enkel het gemiddelde genomen van de voertuigen waarvoor de WLTP waarde bal beschikbaar is gesteld door de OEM'er. Deze cellen zijn groen gemaakt.</a:t>
          </a:r>
          <a:endParaRPr lang="nl-NL"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inmatton/Dropbox%20(EVConsult)/EVConsult%20bv/4.%20Producten/18/1881%20RVO%20Zuid%20Oost%20Brabant/Concepten/TCO%20scan/190128%20-%20Concept%20TCO-tool%20doelgroepenvervoer_wagenpark%20Alpta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jotrsillekens/Dropbox%20(EVConsult)/EVConsult%20BV%20nieuw/1.%20Projects/2.%20Active%20Projects/19076%20PIANOo%20update%20TCO%20tools/Concepten/TCO-tool/Archief/191126%20TCO-tool%20doelgroepen%20en%20dienst%20vervoer_P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obinmatton/Dropbox%20(EVConsult)/EVConsult%20BV%20nieuw/1.%20Projects/3.%20Completed%20Projects/18/1875%20PIANOo%20TCO%20Doelgroepenvervoer/Definitief/TCO%20tool/Verwerkt%20m.b.t.%20bug/190410%20-%20TCO-tool%20doelgroepenvervoer_intern_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robinmatton/Dropbox%20(EVConsult)/EVConsult%20BV%20nieuw/1.%20Projects/3.%20Completed%20Projects/18/1878%20RVO%20Amsterdam/Concepten/2.%20Marktscan/TCO-tool/TCO-tool%20dienstvoertuigen%20PIANOo_def_volledig%20zichtbaar_grote_bestelbusse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ichielaldenkamp/Dropbox%20(EVConsult)/EVConsult%20BV%20nieuw/1.%20Projects/2.%20Active%20Projects/19054%20NS%20Roadmap%20EV(NDA)/Achtergrondinformatie/190228%20-%20Newest%20EV%20models%20and%20specs_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ichielaldenkamp/Dropbox%20(EVConsult)/EVConsult%20BV%20nieuw/1.%20Projects/2.%20Active%20Projects/19054%20NS%20Roadmap%20EV(NDA)/Achtergrondinformatie/190807%20-%20Newest%20EV%20models%20and%20specs_v2_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0. Introductie"/>
      <sheetName val="1. Invoer wagenpark"/>
      <sheetName val="2. Invoer parameters"/>
      <sheetName val="3. Resultaten"/>
      <sheetName val="4. Analyse"/>
      <sheetName val="5. Vervolg"/>
      <sheetName val="Parameters"/>
      <sheetName val="Output TCO"/>
      <sheetName val="Input drop-down menu's"/>
      <sheetName val="_Personenauto"/>
      <sheetName val="_CNG"/>
      <sheetName val="_Taxibussen"/>
      <sheetName val="_Bestelbus"/>
      <sheetName val="_BEV persoon+bestel"/>
      <sheetName val="Verkoopcijfers"/>
    </sheetNames>
    <sheetDataSet>
      <sheetData sheetId="0"/>
      <sheetData sheetId="1"/>
      <sheetData sheetId="2"/>
      <sheetData sheetId="3">
        <row r="174">
          <cell r="C174">
            <v>25</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Invoer - BESTAAND"/>
      <sheetName val="1a. Invoer - NIEUW"/>
      <sheetName val="2. Invoer parameters"/>
      <sheetName val="3. Resultaten"/>
      <sheetName val="4. Analyse"/>
      <sheetName val="Parameters"/>
      <sheetName val="_FCEV_pers"/>
      <sheetName val="_FCEV_LCV's "/>
      <sheetName val="_FCEV_minibus"/>
      <sheetName val="_FCEV_specials"/>
      <sheetName val="Output TCO"/>
      <sheetName val="_BEV_Pers"/>
      <sheetName val="_BEV_LCV"/>
      <sheetName val="_BEV_minibus"/>
      <sheetName val="_BEV_specials"/>
      <sheetName val="_fossiel_pers"/>
      <sheetName val="_fossiel_LCV"/>
      <sheetName val="_fossiel_minibus"/>
      <sheetName val="_fossiel_specials"/>
      <sheetName val="_CNG"/>
      <sheetName val="_BEV persoon+bestel"/>
      <sheetName val="Input drop-down menu's"/>
      <sheetName val="Verkoopcijfers"/>
    </sheetNames>
    <sheetDataSet>
      <sheetData sheetId="0" refreshError="1"/>
      <sheetData sheetId="1" refreshError="1"/>
      <sheetData sheetId="2">
        <row r="3">
          <cell r="C3">
            <v>2020</v>
          </cell>
        </row>
        <row r="4">
          <cell r="C4">
            <v>6</v>
          </cell>
        </row>
        <row r="8">
          <cell r="C8" t="str">
            <v>ja</v>
          </cell>
        </row>
        <row r="10">
          <cell r="C10" t="str">
            <v>nee</v>
          </cell>
        </row>
        <row r="11">
          <cell r="C11" t="str">
            <v>nee</v>
          </cell>
        </row>
        <row r="22">
          <cell r="C22">
            <v>0.03</v>
          </cell>
        </row>
        <row r="28">
          <cell r="C28">
            <v>0.26865558629450698</v>
          </cell>
        </row>
        <row r="29">
          <cell r="C29">
            <v>0.26865558629450698</v>
          </cell>
        </row>
        <row r="112">
          <cell r="C112">
            <v>10</v>
          </cell>
        </row>
        <row r="119">
          <cell r="C119">
            <v>0.20082644628099175</v>
          </cell>
        </row>
        <row r="206">
          <cell r="D206">
            <v>17000</v>
          </cell>
        </row>
        <row r="215">
          <cell r="C215">
            <v>25</v>
          </cell>
        </row>
      </sheetData>
      <sheetData sheetId="3" refreshError="1"/>
      <sheetData sheetId="4" refreshError="1"/>
      <sheetData sheetId="5">
        <row r="8">
          <cell r="J8">
            <v>13301.25</v>
          </cell>
          <cell r="K8">
            <v>0</v>
          </cell>
          <cell r="P8">
            <v>0</v>
          </cell>
          <cell r="R8">
            <v>3.1E-2</v>
          </cell>
          <cell r="S8">
            <v>4.8000000000000001E-2</v>
          </cell>
          <cell r="U8">
            <v>37.459895833333327</v>
          </cell>
        </row>
        <row r="9">
          <cell r="J9">
            <v>17984.25</v>
          </cell>
          <cell r="K9">
            <v>0</v>
          </cell>
          <cell r="P9">
            <v>0</v>
          </cell>
          <cell r="R9">
            <v>3.9E-2</v>
          </cell>
          <cell r="S9">
            <v>5.6999999999999995E-2</v>
          </cell>
          <cell r="U9">
            <v>43.313645833333339</v>
          </cell>
        </row>
        <row r="10">
          <cell r="J10">
            <v>29155.75</v>
          </cell>
          <cell r="K10">
            <v>0</v>
          </cell>
          <cell r="P10">
            <v>0</v>
          </cell>
          <cell r="R10">
            <v>4.8000000000000001E-2</v>
          </cell>
          <cell r="S10">
            <v>5.9000000000000004E-2</v>
          </cell>
          <cell r="U10">
            <v>57.278020833333336</v>
          </cell>
        </row>
        <row r="11">
          <cell r="J11">
            <v>41355</v>
          </cell>
          <cell r="K11">
            <v>0</v>
          </cell>
          <cell r="P11">
            <v>0</v>
          </cell>
          <cell r="R11">
            <v>0.05</v>
          </cell>
          <cell r="S11">
            <v>0.08</v>
          </cell>
          <cell r="U11">
            <v>72.527083333333323</v>
          </cell>
        </row>
        <row r="12">
          <cell r="J12">
            <v>80581.75</v>
          </cell>
          <cell r="K12">
            <v>0</v>
          </cell>
          <cell r="P12">
            <v>0</v>
          </cell>
          <cell r="R12">
            <v>5.6399999999999992E-2</v>
          </cell>
          <cell r="S12">
            <v>8.7300000000000003E-2</v>
          </cell>
          <cell r="U12">
            <v>121.56052083333333</v>
          </cell>
        </row>
        <row r="13">
          <cell r="J13">
            <v>16927</v>
          </cell>
          <cell r="K13">
            <v>0</v>
          </cell>
          <cell r="P13">
            <v>0</v>
          </cell>
          <cell r="S13">
            <v>5.1999999999999998E-2</v>
          </cell>
          <cell r="U13">
            <v>41.992083333333333</v>
          </cell>
        </row>
        <row r="14">
          <cell r="F14">
            <v>3</v>
          </cell>
          <cell r="J14">
            <v>6</v>
          </cell>
          <cell r="K14">
            <v>100</v>
          </cell>
          <cell r="U14">
            <v>20.840833333333332</v>
          </cell>
        </row>
        <row r="15">
          <cell r="J15">
            <v>21277.75</v>
          </cell>
          <cell r="K15">
            <v>0</v>
          </cell>
          <cell r="P15">
            <v>0</v>
          </cell>
          <cell r="R15">
            <v>0.04</v>
          </cell>
          <cell r="S15">
            <v>5.6000000000000001E-2</v>
          </cell>
          <cell r="U15">
            <v>47.430520833333333</v>
          </cell>
        </row>
        <row r="16">
          <cell r="J16">
            <v>52292</v>
          </cell>
          <cell r="K16">
            <v>0</v>
          </cell>
          <cell r="P16">
            <v>0</v>
          </cell>
          <cell r="R16">
            <v>6.2E-2</v>
          </cell>
          <cell r="S16">
            <v>8.1000000000000003E-2</v>
          </cell>
          <cell r="U16">
            <v>86.198333333333338</v>
          </cell>
        </row>
        <row r="18">
          <cell r="F18">
            <v>6.15</v>
          </cell>
          <cell r="J18">
            <v>17391.5</v>
          </cell>
          <cell r="K18">
            <v>0</v>
          </cell>
          <cell r="P18">
            <v>116.66666666666667</v>
          </cell>
          <cell r="R18">
            <v>3.1E-2</v>
          </cell>
          <cell r="S18">
            <v>5.4000000000000006E-2</v>
          </cell>
          <cell r="U18">
            <v>42.572708333333331</v>
          </cell>
        </row>
        <row r="19">
          <cell r="F19">
            <v>7.5750000000000002</v>
          </cell>
          <cell r="J19">
            <v>27488.5</v>
          </cell>
          <cell r="K19">
            <v>0</v>
          </cell>
          <cell r="P19">
            <v>191</v>
          </cell>
          <cell r="S19">
            <v>6.7000000000000004E-2</v>
          </cell>
          <cell r="U19">
            <v>55.193958333333335</v>
          </cell>
        </row>
        <row r="20">
          <cell r="J20">
            <v>30000</v>
          </cell>
          <cell r="K20">
            <v>0</v>
          </cell>
          <cell r="P20">
            <v>215.66666666666666</v>
          </cell>
          <cell r="R20">
            <v>0.06</v>
          </cell>
          <cell r="S20">
            <v>8.1000000000000003E-2</v>
          </cell>
          <cell r="U20">
            <v>58.333333333333336</v>
          </cell>
        </row>
        <row r="21">
          <cell r="J21">
            <v>50000</v>
          </cell>
          <cell r="K21">
            <v>0</v>
          </cell>
          <cell r="P21">
            <v>131.66666666666666</v>
          </cell>
          <cell r="R21">
            <v>0.06</v>
          </cell>
          <cell r="S21">
            <v>8.1000000000000003E-2</v>
          </cell>
          <cell r="U21">
            <v>83.333333333333329</v>
          </cell>
        </row>
        <row r="23">
          <cell r="F23">
            <v>5.7299999999999995</v>
          </cell>
          <cell r="J23">
            <v>13941.5</v>
          </cell>
          <cell r="K23">
            <v>0</v>
          </cell>
          <cell r="P23">
            <v>0</v>
          </cell>
          <cell r="S23">
            <v>5.4000000000000006E-2</v>
          </cell>
          <cell r="U23">
            <v>38.260208333333331</v>
          </cell>
        </row>
        <row r="24">
          <cell r="F24">
            <v>8.0833333333333339</v>
          </cell>
          <cell r="J24">
            <v>21618.75</v>
          </cell>
          <cell r="K24">
            <v>0</v>
          </cell>
          <cell r="P24">
            <v>0</v>
          </cell>
          <cell r="S24">
            <v>6.7000000000000004E-2</v>
          </cell>
          <cell r="U24">
            <v>47.856770833333336</v>
          </cell>
        </row>
        <row r="25">
          <cell r="F25">
            <v>8.6</v>
          </cell>
          <cell r="J25">
            <v>24369.285714285714</v>
          </cell>
          <cell r="K25">
            <v>0</v>
          </cell>
          <cell r="P25">
            <v>0</v>
          </cell>
          <cell r="S25">
            <v>8.1000000000000003E-2</v>
          </cell>
          <cell r="U25">
            <v>51.294940476190476</v>
          </cell>
        </row>
        <row r="35">
          <cell r="J35">
            <v>7564</v>
          </cell>
          <cell r="K35">
            <v>0</v>
          </cell>
          <cell r="P35">
            <v>0</v>
          </cell>
          <cell r="R35">
            <v>2.1999999999999999E-2</v>
          </cell>
          <cell r="S35">
            <v>3.4000000000000002E-2</v>
          </cell>
          <cell r="U35">
            <v>30.28833333333333</v>
          </cell>
        </row>
        <row r="36">
          <cell r="J36">
            <v>11742.25</v>
          </cell>
          <cell r="K36">
            <v>0</v>
          </cell>
          <cell r="P36">
            <v>0</v>
          </cell>
          <cell r="R36">
            <v>3.1E-2</v>
          </cell>
          <cell r="S36">
            <v>4.8000000000000001E-2</v>
          </cell>
          <cell r="U36">
            <v>35.51114583333333</v>
          </cell>
        </row>
        <row r="37">
          <cell r="J37">
            <v>15280.25</v>
          </cell>
          <cell r="K37">
            <v>0</v>
          </cell>
          <cell r="P37">
            <v>0</v>
          </cell>
          <cell r="R37">
            <v>3.9E-2</v>
          </cell>
          <cell r="S37">
            <v>5.6999999999999995E-2</v>
          </cell>
          <cell r="U37">
            <v>39.933645833333337</v>
          </cell>
        </row>
        <row r="38">
          <cell r="J38">
            <v>28063.5</v>
          </cell>
          <cell r="K38">
            <v>0</v>
          </cell>
          <cell r="P38">
            <v>0</v>
          </cell>
          <cell r="R38">
            <v>4.8000000000000001E-2</v>
          </cell>
          <cell r="S38">
            <v>5.9000000000000004E-2</v>
          </cell>
          <cell r="U38">
            <v>55.912708333333335</v>
          </cell>
        </row>
        <row r="39">
          <cell r="J39">
            <v>41475.25</v>
          </cell>
          <cell r="K39">
            <v>0</v>
          </cell>
          <cell r="P39">
            <v>0</v>
          </cell>
          <cell r="R39">
            <v>0.05</v>
          </cell>
          <cell r="S39">
            <v>0.08</v>
          </cell>
          <cell r="U39">
            <v>72.677395833333335</v>
          </cell>
        </row>
        <row r="40">
          <cell r="J40">
            <v>76073</v>
          </cell>
          <cell r="K40">
            <v>0</v>
          </cell>
          <cell r="P40">
            <v>0</v>
          </cell>
          <cell r="R40">
            <v>5.6399999999999992E-2</v>
          </cell>
          <cell r="S40">
            <v>8.7300000000000003E-2</v>
          </cell>
          <cell r="U40">
            <v>115.92458333333333</v>
          </cell>
        </row>
        <row r="41">
          <cell r="F41">
            <v>6.6000000000000005</v>
          </cell>
          <cell r="J41">
            <v>11331</v>
          </cell>
          <cell r="K41">
            <v>0</v>
          </cell>
          <cell r="P41">
            <v>0</v>
          </cell>
          <cell r="R41">
            <v>3.7999999999999999E-2</v>
          </cell>
          <cell r="S41">
            <v>5.1999999999999998E-2</v>
          </cell>
          <cell r="U41">
            <v>34.997083333333336</v>
          </cell>
        </row>
        <row r="43">
          <cell r="J43">
            <v>17731</v>
          </cell>
          <cell r="K43">
            <v>0</v>
          </cell>
          <cell r="P43">
            <v>0</v>
          </cell>
          <cell r="R43">
            <v>0.04</v>
          </cell>
          <cell r="S43">
            <v>5.6000000000000001E-2</v>
          </cell>
          <cell r="U43">
            <v>42.997083333333329</v>
          </cell>
        </row>
        <row r="44">
          <cell r="J44">
            <v>56393.75</v>
          </cell>
          <cell r="K44">
            <v>0</v>
          </cell>
          <cell r="P44">
            <v>0</v>
          </cell>
          <cell r="R44">
            <v>6.2E-2</v>
          </cell>
          <cell r="S44">
            <v>8.1000000000000003E-2</v>
          </cell>
          <cell r="U44">
            <v>91.325520833333329</v>
          </cell>
        </row>
        <row r="46">
          <cell r="F46">
            <v>6.9</v>
          </cell>
          <cell r="J46">
            <v>20527</v>
          </cell>
          <cell r="K46">
            <v>0</v>
          </cell>
          <cell r="P46">
            <v>59</v>
          </cell>
          <cell r="R46">
            <v>3.1E-2</v>
          </cell>
          <cell r="S46">
            <v>5.4000000000000006E-2</v>
          </cell>
          <cell r="U46">
            <v>46.492083333333333</v>
          </cell>
        </row>
        <row r="51">
          <cell r="F51">
            <v>7.3</v>
          </cell>
          <cell r="J51">
            <v>11078.333333333334</v>
          </cell>
          <cell r="K51">
            <v>0</v>
          </cell>
          <cell r="P51">
            <v>0</v>
          </cell>
          <cell r="S51">
            <v>5.4000000000000006E-2</v>
          </cell>
          <cell r="U51">
            <v>34.681249999999999</v>
          </cell>
        </row>
        <row r="59">
          <cell r="J59">
            <v>11314</v>
          </cell>
          <cell r="K59">
            <v>0</v>
          </cell>
          <cell r="P59">
            <v>0</v>
          </cell>
          <cell r="R59">
            <v>2.1999999999999999E-2</v>
          </cell>
          <cell r="S59">
            <v>3.4000000000000002E-2</v>
          </cell>
          <cell r="U59">
            <v>34.975833333333334</v>
          </cell>
        </row>
        <row r="60">
          <cell r="J60">
            <v>15492.25</v>
          </cell>
          <cell r="K60">
            <v>0</v>
          </cell>
          <cell r="P60">
            <v>0</v>
          </cell>
          <cell r="R60">
            <v>3.1E-2</v>
          </cell>
          <cell r="S60">
            <v>4.8000000000000001E-2</v>
          </cell>
          <cell r="U60">
            <v>40.19864583333333</v>
          </cell>
        </row>
        <row r="61">
          <cell r="J61">
            <v>19030.25</v>
          </cell>
          <cell r="K61">
            <v>0</v>
          </cell>
          <cell r="P61">
            <v>0</v>
          </cell>
          <cell r="R61">
            <v>3.9E-2</v>
          </cell>
          <cell r="S61">
            <v>5.6999999999999995E-2</v>
          </cell>
          <cell r="U61">
            <v>44.621145833333337</v>
          </cell>
        </row>
        <row r="62">
          <cell r="J62">
            <v>31813.5</v>
          </cell>
          <cell r="K62">
            <v>0</v>
          </cell>
          <cell r="P62">
            <v>0</v>
          </cell>
          <cell r="R62">
            <v>4.8000000000000001E-2</v>
          </cell>
          <cell r="S62">
            <v>5.9000000000000004E-2</v>
          </cell>
          <cell r="U62">
            <v>60.600208333333335</v>
          </cell>
        </row>
        <row r="63">
          <cell r="J63">
            <v>45225.25</v>
          </cell>
          <cell r="K63">
            <v>0</v>
          </cell>
          <cell r="P63">
            <v>0</v>
          </cell>
          <cell r="R63">
            <v>0.05</v>
          </cell>
          <cell r="S63">
            <v>0.08</v>
          </cell>
          <cell r="U63">
            <v>77.364895833333335</v>
          </cell>
        </row>
        <row r="64">
          <cell r="J64">
            <v>79823</v>
          </cell>
          <cell r="K64">
            <v>0</v>
          </cell>
          <cell r="P64">
            <v>0</v>
          </cell>
          <cell r="R64">
            <v>5.6399999999999992E-2</v>
          </cell>
          <cell r="S64">
            <v>8.7300000000000003E-2</v>
          </cell>
          <cell r="U64">
            <v>120.61208333333333</v>
          </cell>
        </row>
        <row r="65">
          <cell r="F65">
            <v>6.1750000000000007</v>
          </cell>
          <cell r="J65">
            <v>15081</v>
          </cell>
          <cell r="K65">
            <v>0</v>
          </cell>
          <cell r="P65">
            <v>0</v>
          </cell>
          <cell r="S65">
            <v>5.1999999999999998E-2</v>
          </cell>
          <cell r="U65">
            <v>39.684583333333336</v>
          </cell>
        </row>
        <row r="67">
          <cell r="J67">
            <v>21481</v>
          </cell>
          <cell r="K67">
            <v>0</v>
          </cell>
          <cell r="P67">
            <v>0</v>
          </cell>
          <cell r="R67">
            <v>0.04</v>
          </cell>
          <cell r="S67">
            <v>5.6000000000000001E-2</v>
          </cell>
          <cell r="U67">
            <v>47.684583333333329</v>
          </cell>
        </row>
        <row r="68">
          <cell r="J68">
            <v>60143.75</v>
          </cell>
          <cell r="K68">
            <v>0</v>
          </cell>
          <cell r="P68">
            <v>0</v>
          </cell>
          <cell r="R68">
            <v>6.2E-2</v>
          </cell>
          <cell r="S68">
            <v>8.1000000000000003E-2</v>
          </cell>
          <cell r="U68">
            <v>96.013020833333329</v>
          </cell>
        </row>
        <row r="70">
          <cell r="F70">
            <v>6.15</v>
          </cell>
          <cell r="J70">
            <v>24277</v>
          </cell>
          <cell r="K70">
            <v>0</v>
          </cell>
          <cell r="P70">
            <v>84</v>
          </cell>
          <cell r="R70">
            <v>5.4000000000000006E-2</v>
          </cell>
          <cell r="S70">
            <v>7.7367401308842704E-2</v>
          </cell>
          <cell r="U70">
            <v>51.179583333333333</v>
          </cell>
        </row>
        <row r="72">
          <cell r="J72">
            <v>39201</v>
          </cell>
          <cell r="K72">
            <v>0</v>
          </cell>
          <cell r="P72">
            <v>0</v>
          </cell>
          <cell r="R72">
            <v>0.06</v>
          </cell>
          <cell r="S72">
            <v>8.1000000000000003E-2</v>
          </cell>
          <cell r="U72">
            <v>69.834583333333327</v>
          </cell>
        </row>
        <row r="73">
          <cell r="J73">
            <v>56201</v>
          </cell>
          <cell r="K73">
            <v>0</v>
          </cell>
          <cell r="R73">
            <v>0.06</v>
          </cell>
          <cell r="S73">
            <v>8.1000000000000003E-2</v>
          </cell>
          <cell r="U73">
            <v>91.084583333333327</v>
          </cell>
        </row>
        <row r="75">
          <cell r="F75">
            <v>5.7299999999999995</v>
          </cell>
          <cell r="J75">
            <v>14828.333333333334</v>
          </cell>
          <cell r="K75">
            <v>0</v>
          </cell>
          <cell r="P75">
            <v>0</v>
          </cell>
          <cell r="S75">
            <v>5.4000000000000006E-2</v>
          </cell>
          <cell r="U75">
            <v>39.368749999999999</v>
          </cell>
        </row>
        <row r="77">
          <cell r="F77">
            <v>8.6</v>
          </cell>
          <cell r="J77">
            <v>35000</v>
          </cell>
          <cell r="K77">
            <v>0</v>
          </cell>
          <cell r="P77">
            <v>0</v>
          </cell>
          <cell r="S77">
            <v>8.1000000000000003E-2</v>
          </cell>
          <cell r="U77">
            <v>64.583333333333329</v>
          </cell>
        </row>
        <row r="83">
          <cell r="F83">
            <v>16.833333333333332</v>
          </cell>
          <cell r="J83">
            <v>19357.208448117541</v>
          </cell>
          <cell r="N83">
            <v>1306.611570247934</v>
          </cell>
          <cell r="P83">
            <v>0</v>
          </cell>
          <cell r="R83">
            <v>1.6E-2</v>
          </cell>
          <cell r="S83">
            <v>2.4E-2</v>
          </cell>
          <cell r="U83">
            <v>45.029843893480255</v>
          </cell>
        </row>
        <row r="84">
          <cell r="F84">
            <v>16.02</v>
          </cell>
          <cell r="J84">
            <v>29488.925619834714</v>
          </cell>
          <cell r="N84">
            <v>1990.5024793388434</v>
          </cell>
          <cell r="P84">
            <v>0</v>
          </cell>
          <cell r="R84">
            <v>1.7999999999999999E-2</v>
          </cell>
          <cell r="S84">
            <v>2.4E-2</v>
          </cell>
          <cell r="U84">
            <v>57.694490358126721</v>
          </cell>
        </row>
        <row r="85">
          <cell r="F85">
            <v>15.981818181818182</v>
          </cell>
          <cell r="J85">
            <v>32671.600300525923</v>
          </cell>
          <cell r="N85">
            <v>2205.3330202855</v>
          </cell>
          <cell r="P85">
            <v>0</v>
          </cell>
          <cell r="R85">
            <v>2.1999999999999999E-2</v>
          </cell>
          <cell r="S85">
            <v>2.7E-2</v>
          </cell>
          <cell r="U85">
            <v>61.672833708990737</v>
          </cell>
        </row>
        <row r="86">
          <cell r="F86">
            <v>15.680000000000001</v>
          </cell>
          <cell r="J86">
            <v>45917.355371900827</v>
          </cell>
          <cell r="N86">
            <v>2700</v>
          </cell>
          <cell r="R86">
            <v>2.1999999999999999E-2</v>
          </cell>
          <cell r="S86">
            <v>2.7E-2</v>
          </cell>
          <cell r="U86">
            <v>78.230027548209364</v>
          </cell>
        </row>
        <row r="87">
          <cell r="F87">
            <v>18.566666666666663</v>
          </cell>
          <cell r="J87">
            <v>85259.779614325074</v>
          </cell>
          <cell r="N87">
            <v>2700</v>
          </cell>
          <cell r="R87">
            <v>0.05</v>
          </cell>
          <cell r="S87">
            <v>6.7000000000000004E-2</v>
          </cell>
          <cell r="U87">
            <v>127.40805785123968</v>
          </cell>
        </row>
        <row r="88">
          <cell r="F88">
            <v>18.566666666666663</v>
          </cell>
          <cell r="J88">
            <v>85259.779614325074</v>
          </cell>
          <cell r="N88">
            <v>2700</v>
          </cell>
          <cell r="R88">
            <v>0.05</v>
          </cell>
          <cell r="S88">
            <v>6.7000000000000004E-2</v>
          </cell>
          <cell r="U88">
            <v>127.40805785123968</v>
          </cell>
        </row>
        <row r="89">
          <cell r="F89">
            <v>19.399999999999999</v>
          </cell>
          <cell r="J89">
            <v>34125.619834710742</v>
          </cell>
          <cell r="N89">
            <v>2303.4793388429753</v>
          </cell>
          <cell r="S89">
            <v>3.9908361970217646E-2</v>
          </cell>
          <cell r="U89">
            <v>63.490358126721759</v>
          </cell>
        </row>
        <row r="90">
          <cell r="F90">
            <v>19.399999999999999</v>
          </cell>
          <cell r="J90">
            <v>0</v>
          </cell>
          <cell r="N90">
            <v>0</v>
          </cell>
          <cell r="U90">
            <v>20.833333333333332</v>
          </cell>
        </row>
        <row r="91">
          <cell r="F91">
            <v>17.316577540106952</v>
          </cell>
          <cell r="J91">
            <v>38924.890617403988</v>
          </cell>
          <cell r="N91">
            <v>2627.4301166747691</v>
          </cell>
          <cell r="R91">
            <v>2.9000000000000001E-2</v>
          </cell>
          <cell r="S91">
            <v>3.4000000000000002E-2</v>
          </cell>
          <cell r="U91">
            <v>69.489446605088318</v>
          </cell>
        </row>
        <row r="92">
          <cell r="F92">
            <v>22.11428571428571</v>
          </cell>
          <cell r="J92">
            <v>71586.894923258558</v>
          </cell>
          <cell r="N92">
            <v>2700</v>
          </cell>
          <cell r="R92">
            <v>4.7E-2</v>
          </cell>
          <cell r="S92">
            <v>6.4000000000000001E-2</v>
          </cell>
          <cell r="U92">
            <v>110.31695198740653</v>
          </cell>
        </row>
        <row r="94">
          <cell r="F94">
            <v>17.5</v>
          </cell>
          <cell r="J94">
            <v>34125.5</v>
          </cell>
          <cell r="N94">
            <v>2303.4712500000001</v>
          </cell>
          <cell r="R94">
            <v>2.1999999999999999E-2</v>
          </cell>
          <cell r="S94">
            <v>3.7999999999999999E-2</v>
          </cell>
          <cell r="U94">
            <v>63.490208333333328</v>
          </cell>
        </row>
        <row r="95">
          <cell r="F95">
            <v>23</v>
          </cell>
          <cell r="J95">
            <v>52000</v>
          </cell>
          <cell r="N95">
            <v>2700</v>
          </cell>
          <cell r="S95">
            <v>5.3999999999999999E-2</v>
          </cell>
          <cell r="U95">
            <v>85.833333333333329</v>
          </cell>
        </row>
        <row r="96">
          <cell r="F96">
            <v>31.5</v>
          </cell>
          <cell r="J96">
            <v>73250</v>
          </cell>
          <cell r="N96">
            <v>2700</v>
          </cell>
          <cell r="R96">
            <v>4.2580645161290315E-2</v>
          </cell>
          <cell r="S96">
            <v>6.0000000000000005E-2</v>
          </cell>
          <cell r="U96">
            <v>112.39583333333333</v>
          </cell>
        </row>
        <row r="97">
          <cell r="F97">
            <v>31.5</v>
          </cell>
          <cell r="J97">
            <v>68250</v>
          </cell>
          <cell r="N97">
            <v>2700</v>
          </cell>
          <cell r="R97">
            <v>4.2580645161290315E-2</v>
          </cell>
          <cell r="S97">
            <v>6.0000000000000005E-2</v>
          </cell>
          <cell r="U97">
            <v>106.14583333333333</v>
          </cell>
        </row>
        <row r="99">
          <cell r="F99">
            <v>20</v>
          </cell>
          <cell r="J99">
            <v>29901.47269513315</v>
          </cell>
          <cell r="N99">
            <v>2018.3494069214878</v>
          </cell>
          <cell r="S99">
            <v>3.7999999999999999E-2</v>
          </cell>
          <cell r="U99">
            <v>58.210174202249767</v>
          </cell>
        </row>
        <row r="100">
          <cell r="F100" t="e">
            <v>#DIV/0!</v>
          </cell>
          <cell r="J100">
            <v>38185.714285714283</v>
          </cell>
          <cell r="N100">
            <v>2577.5357142857142</v>
          </cell>
          <cell r="S100">
            <v>5.3999999999999999E-2</v>
          </cell>
          <cell r="U100">
            <v>68.56547619047619</v>
          </cell>
        </row>
        <row r="101">
          <cell r="F101">
            <v>36.159420289855071</v>
          </cell>
          <cell r="J101">
            <v>66908.823529411762</v>
          </cell>
          <cell r="N101">
            <v>5062.5</v>
          </cell>
          <cell r="S101">
            <v>6.0000000000000005E-2</v>
          </cell>
          <cell r="U101">
            <v>104.46936274509802</v>
          </cell>
        </row>
        <row r="138">
          <cell r="B138">
            <v>0.8</v>
          </cell>
        </row>
        <row r="139">
          <cell r="B139">
            <v>0.52452080568625881</v>
          </cell>
        </row>
        <row r="140">
          <cell r="B140">
            <v>0.40975394437291829</v>
          </cell>
        </row>
        <row r="141">
          <cell r="B141">
            <v>0.34390259449720262</v>
          </cell>
        </row>
        <row r="142">
          <cell r="B142">
            <v>0.3</v>
          </cell>
        </row>
        <row r="143">
          <cell r="B143">
            <v>0.26865558629450698</v>
          </cell>
        </row>
        <row r="144">
          <cell r="B144">
            <v>0.24458244413244112</v>
          </cell>
        </row>
        <row r="145">
          <cell r="B145">
            <v>0.22548008242908435</v>
          </cell>
        </row>
        <row r="146">
          <cell r="B146">
            <v>0.20987286866145577</v>
          </cell>
        </row>
        <row r="147">
          <cell r="B147">
            <v>0.19682940833181017</v>
          </cell>
        </row>
        <row r="159">
          <cell r="B159">
            <v>2.74</v>
          </cell>
          <cell r="D159">
            <v>2.2690000000000001</v>
          </cell>
        </row>
        <row r="160">
          <cell r="B160">
            <v>3.23</v>
          </cell>
          <cell r="D160">
            <v>2.6059999999999999</v>
          </cell>
        </row>
        <row r="161">
          <cell r="B161">
            <v>0.41299999999999998</v>
          </cell>
          <cell r="D161">
            <v>0.36099999999999999</v>
          </cell>
        </row>
        <row r="162">
          <cell r="B162">
            <v>0.64900000000000002</v>
          </cell>
          <cell r="D162">
            <v>0.57199999999999995</v>
          </cell>
        </row>
        <row r="163">
          <cell r="B163">
            <v>0</v>
          </cell>
          <cell r="D163">
            <v>0</v>
          </cell>
        </row>
        <row r="164">
          <cell r="B164">
            <v>0</v>
          </cell>
          <cell r="D164">
            <v>0</v>
          </cell>
        </row>
        <row r="165">
          <cell r="B165">
            <v>12</v>
          </cell>
        </row>
        <row r="166">
          <cell r="B166">
            <v>8.4000000000000005E-2</v>
          </cell>
        </row>
        <row r="167">
          <cell r="B167">
            <v>8.4000000000000005E-2</v>
          </cell>
        </row>
        <row r="168">
          <cell r="B168">
            <v>2.7280000000000002</v>
          </cell>
          <cell r="D168">
            <v>2.234</v>
          </cell>
          <cell r="E168">
            <v>0.49399999999999999</v>
          </cell>
        </row>
        <row r="169">
          <cell r="B169">
            <v>1.0389999999999999</v>
          </cell>
          <cell r="D169">
            <v>4.4999999999999998E-2</v>
          </cell>
          <cell r="E169">
            <v>0.99399999999999999</v>
          </cell>
        </row>
        <row r="170">
          <cell r="B170">
            <v>2.7280000000000002</v>
          </cell>
          <cell r="D170">
            <v>2.234</v>
          </cell>
        </row>
        <row r="193">
          <cell r="B193">
            <v>0.21</v>
          </cell>
        </row>
        <row r="196">
          <cell r="B196">
            <v>1.4462809917355373</v>
          </cell>
        </row>
        <row r="197">
          <cell r="B197">
            <v>1.165289256198347</v>
          </cell>
        </row>
        <row r="198">
          <cell r="B198">
            <v>0.97520661157024791</v>
          </cell>
        </row>
        <row r="201">
          <cell r="B201">
            <v>9.0909090909090912E-2</v>
          </cell>
        </row>
        <row r="203">
          <cell r="B203">
            <v>0.28099173553719009</v>
          </cell>
        </row>
        <row r="204">
          <cell r="B204">
            <v>0.33057851239669422</v>
          </cell>
        </row>
        <row r="271">
          <cell r="D271">
            <v>0</v>
          </cell>
        </row>
        <row r="350">
          <cell r="B350">
            <v>0</v>
          </cell>
        </row>
        <row r="441">
          <cell r="B441">
            <v>1.2999999999999999E-2</v>
          </cell>
        </row>
        <row r="449">
          <cell r="D449">
            <v>0.27</v>
          </cell>
        </row>
        <row r="450">
          <cell r="D450">
            <v>0.25</v>
          </cell>
        </row>
        <row r="451">
          <cell r="B451">
            <v>40000</v>
          </cell>
        </row>
        <row r="452">
          <cell r="B452">
            <v>75000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5">
          <cell r="E25">
            <v>136.25</v>
          </cell>
          <cell r="F25">
            <v>6.0749999999999993</v>
          </cell>
          <cell r="J25">
            <v>7564</v>
          </cell>
          <cell r="K25">
            <v>21.666666666666668</v>
          </cell>
        </row>
        <row r="44">
          <cell r="E44">
            <v>138.125</v>
          </cell>
          <cell r="F44">
            <v>6.1375000000000002</v>
          </cell>
          <cell r="J44">
            <v>11742.25</v>
          </cell>
          <cell r="K44">
            <v>40.666666666666664</v>
          </cell>
        </row>
        <row r="53">
          <cell r="E53">
            <v>137.75</v>
          </cell>
          <cell r="F53">
            <v>5.2125000000000004</v>
          </cell>
          <cell r="J53">
            <v>13301.25</v>
          </cell>
          <cell r="K53">
            <v>88.666666666666671</v>
          </cell>
        </row>
        <row r="64">
          <cell r="E64">
            <v>141.5</v>
          </cell>
          <cell r="F64">
            <v>6.2750000000000004</v>
          </cell>
          <cell r="J64">
            <v>15280.25</v>
          </cell>
          <cell r="K64">
            <v>54</v>
          </cell>
        </row>
        <row r="73">
          <cell r="E73">
            <v>139.625</v>
          </cell>
          <cell r="F73">
            <v>5.4249999999999998</v>
          </cell>
          <cell r="J73">
            <v>17984.25</v>
          </cell>
          <cell r="K73">
            <v>110.66666666666667</v>
          </cell>
        </row>
        <row r="84">
          <cell r="E84">
            <v>162.5</v>
          </cell>
          <cell r="F84">
            <v>6.9749999999999996</v>
          </cell>
          <cell r="J84">
            <v>28063.5</v>
          </cell>
          <cell r="K84">
            <v>68.666666666666671</v>
          </cell>
        </row>
        <row r="93">
          <cell r="E93">
            <v>143.625</v>
          </cell>
          <cell r="F93">
            <v>5.5250000000000004</v>
          </cell>
          <cell r="J93">
            <v>29155.75</v>
          </cell>
          <cell r="K93">
            <v>134</v>
          </cell>
        </row>
        <row r="104">
          <cell r="E104">
            <v>203.5</v>
          </cell>
          <cell r="F104">
            <v>9</v>
          </cell>
          <cell r="J104">
            <v>41475.25</v>
          </cell>
          <cell r="K104">
            <v>78.333333333333329</v>
          </cell>
        </row>
        <row r="113">
          <cell r="E113">
            <v>164.125</v>
          </cell>
          <cell r="F113">
            <v>6.2750000000000004</v>
          </cell>
          <cell r="J113">
            <v>41355</v>
          </cell>
          <cell r="K113">
            <v>148</v>
          </cell>
        </row>
        <row r="124">
          <cell r="E124">
            <v>215.75</v>
          </cell>
          <cell r="F124">
            <v>9.3000000000000007</v>
          </cell>
          <cell r="J124">
            <v>76073</v>
          </cell>
          <cell r="K124">
            <v>101</v>
          </cell>
        </row>
        <row r="133">
          <cell r="E133">
            <v>184.5</v>
          </cell>
          <cell r="F133">
            <v>7.2</v>
          </cell>
          <cell r="J133">
            <v>80581.75</v>
          </cell>
          <cell r="K133">
            <v>183.33333333333334</v>
          </cell>
        </row>
        <row r="144">
          <cell r="E144">
            <v>148.5</v>
          </cell>
          <cell r="F144">
            <v>6.6000000000000005</v>
          </cell>
          <cell r="J144">
            <v>11331</v>
          </cell>
          <cell r="K144">
            <v>40.666666666666664</v>
          </cell>
        </row>
        <row r="153">
          <cell r="E153">
            <v>161</v>
          </cell>
          <cell r="F153">
            <v>6.1750000000000007</v>
          </cell>
          <cell r="J153">
            <v>16927</v>
          </cell>
          <cell r="K153">
            <v>100.66666666666667</v>
          </cell>
        </row>
        <row r="164">
          <cell r="E164">
            <v>156</v>
          </cell>
          <cell r="F164">
            <v>6.9250000000000007</v>
          </cell>
          <cell r="J164">
            <v>17731</v>
          </cell>
          <cell r="K164">
            <v>55.666666666666664</v>
          </cell>
        </row>
        <row r="173">
          <cell r="E173">
            <v>156.25</v>
          </cell>
          <cell r="F173">
            <v>5.9</v>
          </cell>
          <cell r="J173">
            <v>21277.75</v>
          </cell>
          <cell r="K173">
            <v>124.33333333333333</v>
          </cell>
        </row>
        <row r="184">
          <cell r="E184">
            <v>271.25</v>
          </cell>
          <cell r="F184">
            <v>11.95</v>
          </cell>
          <cell r="J184">
            <v>56393.75</v>
          </cell>
          <cell r="K184">
            <v>116</v>
          </cell>
        </row>
        <row r="193">
          <cell r="E193">
            <v>234.5</v>
          </cell>
          <cell r="F193">
            <v>8.9499999999999993</v>
          </cell>
          <cell r="J193">
            <v>52292</v>
          </cell>
          <cell r="K193">
            <v>195.33333333333334</v>
          </cell>
        </row>
      </sheetData>
      <sheetData sheetId="16">
        <row r="34">
          <cell r="F34">
            <v>136.4</v>
          </cell>
          <cell r="G34">
            <v>5.7299999999999995</v>
          </cell>
          <cell r="N34">
            <v>13941.5</v>
          </cell>
          <cell r="O34">
            <v>25.333333333333332</v>
          </cell>
          <cell r="P34">
            <v>83.333333333333329</v>
          </cell>
        </row>
        <row r="58">
          <cell r="F58">
            <v>211.83333333333334</v>
          </cell>
          <cell r="G58">
            <v>8.0833333333333339</v>
          </cell>
          <cell r="N58">
            <v>21618.75</v>
          </cell>
          <cell r="O58">
            <v>35.333333333333336</v>
          </cell>
          <cell r="P58">
            <v>127.66666666666667</v>
          </cell>
        </row>
        <row r="82">
          <cell r="F82">
            <v>224.25</v>
          </cell>
          <cell r="G82">
            <v>8.6</v>
          </cell>
          <cell r="N82">
            <v>24369.285714285714</v>
          </cell>
          <cell r="O82">
            <v>37.333333333333336</v>
          </cell>
          <cell r="P82">
            <v>136.66666666666666</v>
          </cell>
        </row>
        <row r="116">
          <cell r="F116">
            <v>165.25</v>
          </cell>
          <cell r="G116">
            <v>7.3</v>
          </cell>
          <cell r="P116">
            <v>30.333333333333332</v>
          </cell>
        </row>
        <row r="159">
          <cell r="P159">
            <v>50.333333333333336</v>
          </cell>
        </row>
        <row r="181">
          <cell r="N181">
            <v>35000</v>
          </cell>
          <cell r="P181">
            <v>107.33333333333333</v>
          </cell>
        </row>
      </sheetData>
      <sheetData sheetId="17">
        <row r="17">
          <cell r="D17">
            <v>161</v>
          </cell>
          <cell r="E17">
            <v>6.15</v>
          </cell>
          <cell r="I17">
            <v>17391.5</v>
          </cell>
          <cell r="M17">
            <v>116.66666666666667</v>
          </cell>
        </row>
        <row r="29">
          <cell r="D29">
            <v>169</v>
          </cell>
          <cell r="E29">
            <v>6.9</v>
          </cell>
          <cell r="I29">
            <v>20527</v>
          </cell>
          <cell r="M29">
            <v>59</v>
          </cell>
        </row>
        <row r="41">
          <cell r="M41">
            <v>84</v>
          </cell>
        </row>
        <row r="53">
          <cell r="D53">
            <v>197.5</v>
          </cell>
          <cell r="E53">
            <v>7.5750000000000002</v>
          </cell>
          <cell r="I53">
            <v>27488.5</v>
          </cell>
          <cell r="M53">
            <v>191</v>
          </cell>
        </row>
        <row r="88">
          <cell r="D88">
            <v>224.25</v>
          </cell>
          <cell r="E88">
            <v>8.6</v>
          </cell>
          <cell r="I88">
            <v>30000</v>
          </cell>
          <cell r="M88">
            <v>215.66666666666666</v>
          </cell>
        </row>
        <row r="109">
          <cell r="I109">
            <v>39201</v>
          </cell>
        </row>
        <row r="121">
          <cell r="D121">
            <v>231.7101372892098</v>
          </cell>
          <cell r="E121">
            <v>9.2000000000000011</v>
          </cell>
          <cell r="I121">
            <v>50000</v>
          </cell>
          <cell r="M121">
            <v>131.66666666666666</v>
          </cell>
        </row>
        <row r="140">
          <cell r="M140">
            <v>201.33333333333334</v>
          </cell>
        </row>
      </sheetData>
      <sheetData sheetId="18" refreshError="1"/>
      <sheetData sheetId="19">
        <row r="6">
          <cell r="F6">
            <v>1</v>
          </cell>
        </row>
        <row r="12">
          <cell r="D12">
            <v>3.3</v>
          </cell>
          <cell r="F12">
            <v>18.666666666666668</v>
          </cell>
        </row>
        <row r="13">
          <cell r="D13">
            <v>5.2125000000000004</v>
          </cell>
          <cell r="F13">
            <v>53.666666666666664</v>
          </cell>
        </row>
        <row r="14">
          <cell r="D14">
            <v>5.4249999999999998</v>
          </cell>
          <cell r="F14">
            <v>78</v>
          </cell>
        </row>
        <row r="15">
          <cell r="D15">
            <v>5.5250000000000004</v>
          </cell>
          <cell r="F15">
            <v>102.33333333333333</v>
          </cell>
        </row>
        <row r="16">
          <cell r="D16">
            <v>6.2750000000000004</v>
          </cell>
          <cell r="F16">
            <v>114.66666666666667</v>
          </cell>
        </row>
        <row r="17">
          <cell r="D17">
            <v>7.2</v>
          </cell>
          <cell r="F17">
            <v>151</v>
          </cell>
        </row>
        <row r="18">
          <cell r="D18">
            <v>6.1750000000000007</v>
          </cell>
          <cell r="F18">
            <v>53.666666666666664</v>
          </cell>
        </row>
        <row r="19">
          <cell r="D19">
            <v>5.9</v>
          </cell>
          <cell r="F19">
            <v>78</v>
          </cell>
        </row>
        <row r="20">
          <cell r="D20">
            <v>8.9499999999999993</v>
          </cell>
          <cell r="F20">
            <v>187.33333333333334</v>
          </cell>
        </row>
        <row r="22">
          <cell r="D22">
            <v>6.15</v>
          </cell>
        </row>
        <row r="23">
          <cell r="D23">
            <v>7.5750000000000002</v>
          </cell>
        </row>
        <row r="24">
          <cell r="D24">
            <v>8.6</v>
          </cell>
        </row>
        <row r="25">
          <cell r="D25">
            <v>9.2000000000000011</v>
          </cell>
        </row>
        <row r="27">
          <cell r="D27">
            <v>5.7299999999999995</v>
          </cell>
        </row>
        <row r="28">
          <cell r="D28">
            <v>0</v>
          </cell>
        </row>
        <row r="29">
          <cell r="D29">
            <v>8.6</v>
          </cell>
        </row>
        <row r="33">
          <cell r="C33">
            <v>3750</v>
          </cell>
        </row>
      </sheetData>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roductie"/>
      <sheetName val="1. Invoer wagenpark"/>
      <sheetName val="2. Invoer parameters"/>
      <sheetName val="3. Resultaten"/>
      <sheetName val="4. Analyse"/>
      <sheetName val="5. Vervolg"/>
      <sheetName val="Parameters"/>
      <sheetName val="Output TCO"/>
      <sheetName val="Input drop-down menu's"/>
      <sheetName val="_Personenauto"/>
      <sheetName val="_CNG"/>
      <sheetName val="_Taxibussen"/>
      <sheetName val="_Bestelbus"/>
      <sheetName val="_BEV persoon+bestel"/>
      <sheetName val="Verkoopcijfers"/>
    </sheetNames>
    <sheetDataSet>
      <sheetData sheetId="0"/>
      <sheetData sheetId="1"/>
      <sheetData sheetId="2">
        <row r="7">
          <cell r="C7">
            <v>5</v>
          </cell>
        </row>
        <row r="10">
          <cell r="C10" t="str">
            <v>ja</v>
          </cell>
        </row>
        <row r="12">
          <cell r="C12" t="str">
            <v>ja</v>
          </cell>
        </row>
        <row r="13">
          <cell r="C13" t="str">
            <v>nee</v>
          </cell>
        </row>
        <row r="27">
          <cell r="C27">
            <v>0.03</v>
          </cell>
        </row>
        <row r="33">
          <cell r="C33">
            <v>0.3</v>
          </cell>
        </row>
        <row r="101">
          <cell r="C101">
            <v>0.20082644628099175</v>
          </cell>
        </row>
        <row r="171">
          <cell r="D171">
            <v>17000</v>
          </cell>
        </row>
        <row r="172">
          <cell r="D172">
            <v>10000</v>
          </cell>
        </row>
        <row r="180">
          <cell r="C180">
            <v>25</v>
          </cell>
        </row>
      </sheetData>
      <sheetData sheetId="3"/>
      <sheetData sheetId="4"/>
      <sheetData sheetId="5"/>
      <sheetData sheetId="6">
        <row r="6">
          <cell r="I6">
            <v>13301.25</v>
          </cell>
          <cell r="L6">
            <v>3781.88</v>
          </cell>
          <cell r="R6">
            <v>0</v>
          </cell>
          <cell r="T6">
            <v>3.1E-2</v>
          </cell>
          <cell r="U6">
            <v>4.8000000000000001E-2</v>
          </cell>
          <cell r="X6">
            <v>37.459895833333327</v>
          </cell>
        </row>
        <row r="7">
          <cell r="I7">
            <v>17984.25</v>
          </cell>
          <cell r="L7">
            <v>4947.3249999999998</v>
          </cell>
          <cell r="R7">
            <v>0</v>
          </cell>
          <cell r="T7">
            <v>3.9E-2</v>
          </cell>
          <cell r="U7">
            <v>5.6999999999999995E-2</v>
          </cell>
          <cell r="X7">
            <v>43.313645833333339</v>
          </cell>
        </row>
        <row r="8">
          <cell r="I8">
            <v>29155.75</v>
          </cell>
          <cell r="L8">
            <v>6663.3649999999998</v>
          </cell>
          <cell r="R8">
            <v>0</v>
          </cell>
          <cell r="T8">
            <v>4.1000000000000002E-2</v>
          </cell>
          <cell r="U8">
            <v>5.9000000000000004E-2</v>
          </cell>
          <cell r="X8">
            <v>57.278020833333336</v>
          </cell>
        </row>
        <row r="9">
          <cell r="I9">
            <v>41355</v>
          </cell>
          <cell r="L9">
            <v>10455.23</v>
          </cell>
          <cell r="R9">
            <v>0</v>
          </cell>
          <cell r="T9">
            <v>0.05</v>
          </cell>
          <cell r="U9">
            <v>0.08</v>
          </cell>
          <cell r="X9">
            <v>72.527083333333323</v>
          </cell>
        </row>
        <row r="10">
          <cell r="I10">
            <v>80581.75</v>
          </cell>
          <cell r="L10">
            <v>16814.3</v>
          </cell>
          <cell r="R10">
            <v>0</v>
          </cell>
          <cell r="T10">
            <v>5.6399999999999992E-2</v>
          </cell>
          <cell r="U10">
            <v>8.7300000000000003E-2</v>
          </cell>
          <cell r="X10">
            <v>121.56052083333333</v>
          </cell>
        </row>
        <row r="12">
          <cell r="I12">
            <v>21277.75</v>
          </cell>
          <cell r="L12">
            <v>7455.6949999999997</v>
          </cell>
          <cell r="R12">
            <v>0</v>
          </cell>
          <cell r="T12">
            <v>0.04</v>
          </cell>
          <cell r="U12">
            <v>5.6000000000000001E-2</v>
          </cell>
          <cell r="X12">
            <v>47.430520833333333</v>
          </cell>
        </row>
        <row r="13">
          <cell r="I13">
            <v>52292</v>
          </cell>
          <cell r="L13">
            <v>17921.629999999997</v>
          </cell>
          <cell r="R13">
            <v>0</v>
          </cell>
          <cell r="T13">
            <v>6.2E-2</v>
          </cell>
          <cell r="U13">
            <v>8.1000000000000003E-2</v>
          </cell>
          <cell r="X13">
            <v>86.198333333333338</v>
          </cell>
        </row>
        <row r="15">
          <cell r="I15">
            <v>16919</v>
          </cell>
          <cell r="L15">
            <v>6651.4629999999997</v>
          </cell>
          <cell r="R15">
            <v>0</v>
          </cell>
          <cell r="T15">
            <v>5.4000000000000006E-2</v>
          </cell>
          <cell r="U15">
            <v>7.8783940942989045E-2</v>
          </cell>
          <cell r="X15">
            <v>41.982083333333328</v>
          </cell>
        </row>
        <row r="16">
          <cell r="I16">
            <v>27488.5</v>
          </cell>
          <cell r="L16">
            <v>10636.164500000001</v>
          </cell>
          <cell r="R16">
            <v>0</v>
          </cell>
          <cell r="T16">
            <v>6.7000000000000004E-2</v>
          </cell>
          <cell r="U16">
            <v>9.7750445244078998E-2</v>
          </cell>
          <cell r="X16">
            <v>55.193958333333335</v>
          </cell>
        </row>
        <row r="17">
          <cell r="I17">
            <v>50000</v>
          </cell>
          <cell r="L17">
            <v>19123</v>
          </cell>
          <cell r="R17">
            <v>0</v>
          </cell>
          <cell r="T17">
            <v>8.1000000000000003E-2</v>
          </cell>
          <cell r="U17">
            <v>0.11817591141448355</v>
          </cell>
          <cell r="X17">
            <v>83.333333333333329</v>
          </cell>
        </row>
        <row r="19">
          <cell r="R19">
            <v>0</v>
          </cell>
        </row>
        <row r="20">
          <cell r="R20">
            <v>0</v>
          </cell>
        </row>
        <row r="21">
          <cell r="R21">
            <v>0</v>
          </cell>
        </row>
        <row r="27">
          <cell r="I27">
            <v>7788.25</v>
          </cell>
          <cell r="L27">
            <v>1777.75</v>
          </cell>
          <cell r="R27">
            <v>0</v>
          </cell>
          <cell r="T27">
            <v>2.1999999999999999E-2</v>
          </cell>
          <cell r="U27">
            <v>3.4000000000000002E-2</v>
          </cell>
          <cell r="X27">
            <v>30.568645833333335</v>
          </cell>
        </row>
        <row r="28">
          <cell r="I28">
            <v>11742.25</v>
          </cell>
          <cell r="L28">
            <v>2563.5</v>
          </cell>
          <cell r="R28">
            <v>0</v>
          </cell>
          <cell r="T28">
            <v>3.1E-2</v>
          </cell>
          <cell r="U28">
            <v>4.8000000000000001E-2</v>
          </cell>
          <cell r="X28">
            <v>35.51114583333333</v>
          </cell>
        </row>
        <row r="29">
          <cell r="I29">
            <v>15280.25</v>
          </cell>
          <cell r="L29">
            <v>3640.75</v>
          </cell>
          <cell r="R29">
            <v>0</v>
          </cell>
          <cell r="T29">
            <v>3.9E-2</v>
          </cell>
          <cell r="U29">
            <v>5.6999999999999995E-2</v>
          </cell>
          <cell r="X29">
            <v>39.933645833333337</v>
          </cell>
        </row>
        <row r="30">
          <cell r="I30">
            <v>28063.5</v>
          </cell>
          <cell r="L30">
            <v>5100.25</v>
          </cell>
          <cell r="R30">
            <v>0</v>
          </cell>
          <cell r="T30">
            <v>4.1000000000000002E-2</v>
          </cell>
          <cell r="U30">
            <v>5.9000000000000004E-2</v>
          </cell>
          <cell r="X30">
            <v>55.912708333333335</v>
          </cell>
        </row>
        <row r="31">
          <cell r="I31">
            <v>41475.25</v>
          </cell>
          <cell r="L31">
            <v>9374.5</v>
          </cell>
          <cell r="R31">
            <v>0</v>
          </cell>
          <cell r="T31">
            <v>0.05</v>
          </cell>
          <cell r="U31">
            <v>0.08</v>
          </cell>
          <cell r="X31">
            <v>72.677395833333335</v>
          </cell>
        </row>
        <row r="32">
          <cell r="I32">
            <v>76073</v>
          </cell>
          <cell r="L32">
            <v>26833.764999999999</v>
          </cell>
          <cell r="R32">
            <v>0</v>
          </cell>
          <cell r="T32">
            <v>5.6399999999999992E-2</v>
          </cell>
          <cell r="U32">
            <v>8.7300000000000003E-2</v>
          </cell>
          <cell r="X32">
            <v>115.92458333333333</v>
          </cell>
        </row>
        <row r="33">
          <cell r="T33">
            <v>3.7999999999999999E-2</v>
          </cell>
          <cell r="U33">
            <v>5.1999999999999998E-2</v>
          </cell>
        </row>
        <row r="34">
          <cell r="I34">
            <v>17731</v>
          </cell>
          <cell r="L34">
            <v>7115.75</v>
          </cell>
          <cell r="R34">
            <v>0</v>
          </cell>
          <cell r="T34">
            <v>0.04</v>
          </cell>
          <cell r="U34">
            <v>5.6000000000000001E-2</v>
          </cell>
          <cell r="X34">
            <v>42.997083333333329</v>
          </cell>
        </row>
        <row r="35">
          <cell r="I35">
            <v>56393.75</v>
          </cell>
          <cell r="L35">
            <v>31485.5</v>
          </cell>
          <cell r="R35">
            <v>0</v>
          </cell>
          <cell r="T35">
            <v>6.2E-2</v>
          </cell>
          <cell r="U35">
            <v>8.1000000000000003E-2</v>
          </cell>
          <cell r="X35">
            <v>91.325520833333329</v>
          </cell>
        </row>
        <row r="37">
          <cell r="I37">
            <v>20527</v>
          </cell>
          <cell r="L37">
            <v>9776.3052042807685</v>
          </cell>
          <cell r="R37">
            <v>0</v>
          </cell>
          <cell r="T37">
            <v>5.4000000000000006E-2</v>
          </cell>
          <cell r="U37">
            <v>7.8783940942989045E-2</v>
          </cell>
          <cell r="X37">
            <v>46.492083333333333</v>
          </cell>
        </row>
        <row r="38">
          <cell r="I38">
            <v>30250.5</v>
          </cell>
          <cell r="L38">
            <v>38758.333849543604</v>
          </cell>
          <cell r="R38">
            <v>0</v>
          </cell>
          <cell r="T38">
            <v>6.7000000000000004E-2</v>
          </cell>
          <cell r="U38">
            <v>9.7750445244078998E-2</v>
          </cell>
          <cell r="X38">
            <v>58.646458333333328</v>
          </cell>
        </row>
        <row r="39">
          <cell r="I39">
            <v>65546</v>
          </cell>
          <cell r="L39">
            <v>65752.071919420865</v>
          </cell>
          <cell r="R39">
            <v>0</v>
          </cell>
          <cell r="T39">
            <v>8.1000000000000003E-2</v>
          </cell>
          <cell r="U39">
            <v>0.11817591141448355</v>
          </cell>
          <cell r="X39">
            <v>102.76583333333333</v>
          </cell>
        </row>
        <row r="49">
          <cell r="I49">
            <v>11538.25</v>
          </cell>
          <cell r="L49">
            <v>547.48599999999965</v>
          </cell>
          <cell r="R49">
            <v>0</v>
          </cell>
          <cell r="T49">
            <v>2.1999999999999999E-2</v>
          </cell>
          <cell r="U49">
            <v>3.4000000000000002E-2</v>
          </cell>
          <cell r="X49">
            <v>35.256145833333335</v>
          </cell>
        </row>
        <row r="50">
          <cell r="I50">
            <v>15492.25</v>
          </cell>
          <cell r="L50">
            <v>758.5990000000005</v>
          </cell>
          <cell r="R50">
            <v>0</v>
          </cell>
          <cell r="T50">
            <v>3.1E-2</v>
          </cell>
          <cell r="U50">
            <v>4.8000000000000001E-2</v>
          </cell>
          <cell r="X50">
            <v>40.19864583333333</v>
          </cell>
        </row>
        <row r="51">
          <cell r="I51">
            <v>19030.25</v>
          </cell>
          <cell r="L51">
            <v>1145.6394999999998</v>
          </cell>
          <cell r="R51">
            <v>0</v>
          </cell>
          <cell r="T51">
            <v>3.9E-2</v>
          </cell>
          <cell r="U51">
            <v>5.6999999999999995E-2</v>
          </cell>
          <cell r="X51">
            <v>44.621145833333337</v>
          </cell>
        </row>
        <row r="52">
          <cell r="I52">
            <v>31813.5</v>
          </cell>
          <cell r="L52">
            <v>1532.68</v>
          </cell>
          <cell r="R52">
            <v>0</v>
          </cell>
          <cell r="T52">
            <v>4.1000000000000002E-2</v>
          </cell>
          <cell r="U52">
            <v>5.9000000000000004E-2</v>
          </cell>
          <cell r="X52">
            <v>60.600208333333335</v>
          </cell>
        </row>
        <row r="53">
          <cell r="I53">
            <v>45225.25</v>
          </cell>
          <cell r="L53">
            <v>2816.8275000000008</v>
          </cell>
          <cell r="R53">
            <v>0</v>
          </cell>
          <cell r="T53">
            <v>0.05</v>
          </cell>
          <cell r="U53">
            <v>0.08</v>
          </cell>
          <cell r="X53">
            <v>77.364895833333335</v>
          </cell>
        </row>
        <row r="54">
          <cell r="I54">
            <v>79823</v>
          </cell>
          <cell r="L54">
            <v>1425.8742499999953</v>
          </cell>
          <cell r="R54">
            <v>0</v>
          </cell>
          <cell r="T54">
            <v>5.6399999999999992E-2</v>
          </cell>
          <cell r="U54">
            <v>8.7300000000000003E-2</v>
          </cell>
          <cell r="X54">
            <v>120.61208333333333</v>
          </cell>
        </row>
        <row r="56">
          <cell r="I56">
            <v>21481</v>
          </cell>
          <cell r="L56">
            <v>1708.6074999999994</v>
          </cell>
          <cell r="R56">
            <v>0</v>
          </cell>
          <cell r="T56">
            <v>0.04</v>
          </cell>
          <cell r="U56">
            <v>5.6000000000000001E-2</v>
          </cell>
          <cell r="X56">
            <v>47.684583333333329</v>
          </cell>
        </row>
        <row r="57">
          <cell r="I57">
            <v>60143.75</v>
          </cell>
          <cell r="L57">
            <v>5039.091500000005</v>
          </cell>
          <cell r="R57">
            <v>0</v>
          </cell>
          <cell r="T57">
            <v>6.2E-2</v>
          </cell>
          <cell r="U57">
            <v>8.1000000000000003E-2</v>
          </cell>
          <cell r="X57">
            <v>96.013020833333329</v>
          </cell>
        </row>
        <row r="59">
          <cell r="I59">
            <v>24277</v>
          </cell>
          <cell r="L59">
            <v>1457.9895000000006</v>
          </cell>
          <cell r="R59">
            <v>0</v>
          </cell>
          <cell r="T59">
            <v>5.4000000000000006E-2</v>
          </cell>
          <cell r="U59">
            <v>7.8783940942989045E-2</v>
          </cell>
          <cell r="X59">
            <v>51.179583333333333</v>
          </cell>
        </row>
        <row r="60">
          <cell r="I60">
            <v>34000.5</v>
          </cell>
          <cell r="L60">
            <v>12576.970000000001</v>
          </cell>
          <cell r="R60">
            <v>0</v>
          </cell>
          <cell r="T60">
            <v>6.7000000000000004E-2</v>
          </cell>
          <cell r="U60">
            <v>9.7750445244078998E-2</v>
          </cell>
          <cell r="X60">
            <v>63.333958333333328</v>
          </cell>
        </row>
        <row r="61">
          <cell r="I61">
            <v>69296</v>
          </cell>
          <cell r="L61">
            <v>32528.824000000008</v>
          </cell>
          <cell r="T61">
            <v>8.1000000000000003E-2</v>
          </cell>
          <cell r="U61">
            <v>0.11817591141448355</v>
          </cell>
          <cell r="X61">
            <v>107.45333333333333</v>
          </cell>
        </row>
        <row r="71">
          <cell r="E71">
            <v>16.7</v>
          </cell>
          <cell r="I71">
            <v>17686</v>
          </cell>
          <cell r="P71">
            <v>1591.74</v>
          </cell>
          <cell r="T71">
            <v>1.6E-2</v>
          </cell>
          <cell r="U71">
            <v>2.4E-2</v>
          </cell>
          <cell r="X71">
            <v>42.94083333333333</v>
          </cell>
        </row>
        <row r="72">
          <cell r="E72">
            <v>13.3</v>
          </cell>
          <cell r="I72">
            <v>28430</v>
          </cell>
          <cell r="P72">
            <v>2558.6999999999998</v>
          </cell>
          <cell r="T72">
            <v>1.7999999999999999E-2</v>
          </cell>
          <cell r="U72">
            <v>2.4E-2</v>
          </cell>
          <cell r="X72">
            <v>56.370833333333337</v>
          </cell>
        </row>
        <row r="73">
          <cell r="E73">
            <v>14.4</v>
          </cell>
          <cell r="I73">
            <v>26731</v>
          </cell>
          <cell r="P73">
            <v>2405.79</v>
          </cell>
          <cell r="T73">
            <v>2.1999999999999999E-2</v>
          </cell>
          <cell r="U73">
            <v>2.7E-2</v>
          </cell>
          <cell r="X73">
            <v>54.247083333333329</v>
          </cell>
        </row>
        <row r="74">
          <cell r="E74">
            <v>14.4</v>
          </cell>
          <cell r="I74">
            <v>26731</v>
          </cell>
          <cell r="P74">
            <v>2405.79</v>
          </cell>
          <cell r="T74">
            <v>2.1999999999999999E-2</v>
          </cell>
          <cell r="U74">
            <v>2.7E-2</v>
          </cell>
          <cell r="X74">
            <v>54.247083333333329</v>
          </cell>
        </row>
        <row r="75">
          <cell r="E75">
            <v>18.600000000000001</v>
          </cell>
          <cell r="I75">
            <v>76736</v>
          </cell>
          <cell r="P75">
            <v>4500</v>
          </cell>
          <cell r="T75">
            <v>0.05</v>
          </cell>
          <cell r="U75">
            <v>6.7000000000000004E-2</v>
          </cell>
          <cell r="X75">
            <v>116.75333333333333</v>
          </cell>
        </row>
        <row r="76">
          <cell r="E76">
            <v>18.600000000000001</v>
          </cell>
          <cell r="I76">
            <v>76736</v>
          </cell>
          <cell r="P76">
            <v>4500</v>
          </cell>
          <cell r="T76">
            <v>0.05</v>
          </cell>
          <cell r="U76">
            <v>6.7000000000000004E-2</v>
          </cell>
          <cell r="X76">
            <v>116.75333333333333</v>
          </cell>
        </row>
        <row r="78">
          <cell r="E78">
            <v>16</v>
          </cell>
          <cell r="I78">
            <v>31665</v>
          </cell>
          <cell r="P78">
            <v>2849.85</v>
          </cell>
          <cell r="T78">
            <v>2.9000000000000001E-2</v>
          </cell>
          <cell r="U78">
            <v>3.4000000000000002E-2</v>
          </cell>
          <cell r="X78">
            <v>60.414583333333326</v>
          </cell>
        </row>
        <row r="79">
          <cell r="E79">
            <v>21.3</v>
          </cell>
          <cell r="I79">
            <v>65438</v>
          </cell>
          <cell r="P79">
            <v>4500</v>
          </cell>
          <cell r="T79">
            <v>4.7E-2</v>
          </cell>
          <cell r="U79">
            <v>6.4000000000000001E-2</v>
          </cell>
          <cell r="X79">
            <v>102.63083333333333</v>
          </cell>
        </row>
        <row r="81">
          <cell r="E81">
            <v>20</v>
          </cell>
          <cell r="I81">
            <v>34648.760330578516</v>
          </cell>
          <cell r="P81">
            <v>3118.3884297520663</v>
          </cell>
          <cell r="T81">
            <v>4.8000000000000001E-2</v>
          </cell>
          <cell r="U81">
            <v>5.7331169786096252E-2</v>
          </cell>
          <cell r="X81">
            <v>64.144283746556468</v>
          </cell>
        </row>
        <row r="82">
          <cell r="I82">
            <v>140360</v>
          </cell>
          <cell r="P82">
            <v>4500</v>
          </cell>
          <cell r="X82">
            <v>196.28333333333333</v>
          </cell>
        </row>
        <row r="83">
          <cell r="E83">
            <v>27.777777777777779</v>
          </cell>
          <cell r="I83">
            <v>47000</v>
          </cell>
          <cell r="P83">
            <v>4230</v>
          </cell>
          <cell r="T83">
            <v>5.3999999999999999E-2</v>
          </cell>
          <cell r="U83">
            <v>6.4497566009358284E-2</v>
          </cell>
          <cell r="X83">
            <v>79.583333333333329</v>
          </cell>
        </row>
        <row r="84">
          <cell r="I84">
            <v>144750</v>
          </cell>
          <cell r="P84">
            <v>4500</v>
          </cell>
          <cell r="X84">
            <v>201.77083333333334</v>
          </cell>
        </row>
        <row r="85">
          <cell r="E85">
            <v>46.301834130781501</v>
          </cell>
          <cell r="I85">
            <v>78500</v>
          </cell>
          <cell r="P85">
            <v>4500</v>
          </cell>
          <cell r="T85">
            <v>6.0000000000000005E-2</v>
          </cell>
          <cell r="U85">
            <v>7.1663962232620324E-2</v>
          </cell>
          <cell r="X85">
            <v>118.95833333333333</v>
          </cell>
        </row>
        <row r="87">
          <cell r="E87">
            <v>18.8</v>
          </cell>
          <cell r="I87">
            <v>30994.214876033056</v>
          </cell>
        </row>
        <row r="89">
          <cell r="E89">
            <v>32.995940630573756</v>
          </cell>
          <cell r="I89">
            <v>62900</v>
          </cell>
        </row>
        <row r="101">
          <cell r="B101">
            <v>0.8</v>
          </cell>
        </row>
        <row r="102">
          <cell r="B102">
            <v>0.52452080568625881</v>
          </cell>
        </row>
        <row r="103">
          <cell r="B103">
            <v>0.40975394437291829</v>
          </cell>
        </row>
        <row r="104">
          <cell r="B104">
            <v>0.34390259449720262</v>
          </cell>
        </row>
        <row r="105">
          <cell r="B105">
            <v>0.3</v>
          </cell>
        </row>
        <row r="106">
          <cell r="B106">
            <v>0.26865558629450698</v>
          </cell>
        </row>
        <row r="107">
          <cell r="B107">
            <v>0.24458244413244112</v>
          </cell>
        </row>
        <row r="108">
          <cell r="B108">
            <v>0.22548008242908435</v>
          </cell>
        </row>
        <row r="109">
          <cell r="B109">
            <v>0.20987286866145577</v>
          </cell>
        </row>
        <row r="110">
          <cell r="B110">
            <v>0.19682940833181017</v>
          </cell>
        </row>
        <row r="122">
          <cell r="B122">
            <v>2.74</v>
          </cell>
          <cell r="C122">
            <v>2.2690000000000001</v>
          </cell>
        </row>
        <row r="123">
          <cell r="B123">
            <v>3.23</v>
          </cell>
          <cell r="C123">
            <v>2.6059999999999999</v>
          </cell>
        </row>
        <row r="124">
          <cell r="B124">
            <v>0.41299999999999998</v>
          </cell>
          <cell r="C124">
            <v>0.36099999999999999</v>
          </cell>
        </row>
        <row r="125">
          <cell r="B125">
            <v>0.64900000000000002</v>
          </cell>
          <cell r="C125">
            <v>0.57199999999999995</v>
          </cell>
        </row>
        <row r="126">
          <cell r="B126">
            <v>0</v>
          </cell>
          <cell r="C126">
            <v>0</v>
          </cell>
        </row>
        <row r="127">
          <cell r="B127">
            <v>0</v>
          </cell>
          <cell r="C127">
            <v>0</v>
          </cell>
        </row>
        <row r="128">
          <cell r="B128">
            <v>2.7280000000000002</v>
          </cell>
          <cell r="C128">
            <v>2.234</v>
          </cell>
          <cell r="D128">
            <v>0.49399999999999999</v>
          </cell>
        </row>
        <row r="129">
          <cell r="B129">
            <v>1.0389999999999999</v>
          </cell>
          <cell r="C129">
            <v>4.4999999999999998E-2</v>
          </cell>
          <cell r="D129">
            <v>0.99399999999999999</v>
          </cell>
        </row>
        <row r="130">
          <cell r="B130">
            <v>2.7280000000000002</v>
          </cell>
          <cell r="C130">
            <v>2.234</v>
          </cell>
        </row>
        <row r="153">
          <cell r="B153">
            <v>0.21</v>
          </cell>
        </row>
        <row r="156">
          <cell r="B156">
            <v>1.3471074380165289</v>
          </cell>
        </row>
        <row r="157">
          <cell r="B157">
            <v>1.1074380165289257</v>
          </cell>
        </row>
        <row r="158">
          <cell r="B158">
            <v>0.99090909090909096</v>
          </cell>
        </row>
        <row r="161">
          <cell r="B161">
            <v>9.0909090909090912E-2</v>
          </cell>
        </row>
        <row r="163">
          <cell r="B163">
            <v>0.28099173553719009</v>
          </cell>
        </row>
        <row r="164">
          <cell r="B164">
            <v>0.33057851239669422</v>
          </cell>
        </row>
        <row r="228">
          <cell r="C228">
            <v>0</v>
          </cell>
        </row>
        <row r="250">
          <cell r="B250">
            <v>0</v>
          </cell>
        </row>
        <row r="331">
          <cell r="B331">
            <v>1.2999999999999999E-2</v>
          </cell>
        </row>
        <row r="366">
          <cell r="B366">
            <v>43.5</v>
          </cell>
        </row>
      </sheetData>
      <sheetData sheetId="7"/>
      <sheetData sheetId="8"/>
      <sheetData sheetId="9">
        <row r="25">
          <cell r="E25">
            <v>93.25</v>
          </cell>
          <cell r="F25">
            <v>4.05</v>
          </cell>
          <cell r="H25">
            <v>7788.25</v>
          </cell>
          <cell r="L25">
            <v>21.666666666666668</v>
          </cell>
        </row>
        <row r="33">
          <cell r="F33"/>
        </row>
        <row r="44">
          <cell r="E44">
            <v>101.5</v>
          </cell>
          <cell r="F44">
            <v>4.45</v>
          </cell>
          <cell r="H44">
            <v>11742.25</v>
          </cell>
          <cell r="L44">
            <v>40.666666666666664</v>
          </cell>
        </row>
        <row r="53">
          <cell r="E53">
            <v>89</v>
          </cell>
          <cell r="F53">
            <v>3.45</v>
          </cell>
          <cell r="H53">
            <v>13301.25</v>
          </cell>
          <cell r="L53">
            <v>88.666666666666671</v>
          </cell>
        </row>
        <row r="64">
          <cell r="E64">
            <v>109.25</v>
          </cell>
          <cell r="F64">
            <v>4.8</v>
          </cell>
          <cell r="H64">
            <v>15280.25</v>
          </cell>
          <cell r="L64">
            <v>54</v>
          </cell>
        </row>
        <row r="73">
          <cell r="E73">
            <v>96.75</v>
          </cell>
          <cell r="F73">
            <v>3.7249999999999996</v>
          </cell>
          <cell r="H73">
            <v>17984.25</v>
          </cell>
          <cell r="L73">
            <v>110.66666666666667</v>
          </cell>
        </row>
        <row r="84">
          <cell r="E84">
            <v>119.75</v>
          </cell>
          <cell r="F84">
            <v>5.1999999999999993</v>
          </cell>
          <cell r="H84">
            <v>28063.5</v>
          </cell>
          <cell r="L84">
            <v>68.666666666666671</v>
          </cell>
        </row>
        <row r="93">
          <cell r="E93">
            <v>104.75</v>
          </cell>
          <cell r="F93">
            <v>4</v>
          </cell>
          <cell r="H93">
            <v>29155.75</v>
          </cell>
          <cell r="L93">
            <v>134</v>
          </cell>
        </row>
        <row r="104">
          <cell r="E104">
            <v>150.5</v>
          </cell>
          <cell r="F104">
            <v>6.5750000000000002</v>
          </cell>
          <cell r="H104">
            <v>41475.25</v>
          </cell>
          <cell r="L104">
            <v>78.333333333333329</v>
          </cell>
        </row>
        <row r="113">
          <cell r="E113">
            <v>121.5</v>
          </cell>
          <cell r="F113">
            <v>4.625</v>
          </cell>
          <cell r="H113">
            <v>41355</v>
          </cell>
          <cell r="L113">
            <v>148</v>
          </cell>
        </row>
        <row r="124">
          <cell r="E124">
            <v>172.25</v>
          </cell>
          <cell r="F124">
            <v>7.5250000000000004</v>
          </cell>
          <cell r="H124">
            <v>76073</v>
          </cell>
          <cell r="L124">
            <v>101</v>
          </cell>
        </row>
        <row r="133">
          <cell r="E133">
            <v>148</v>
          </cell>
          <cell r="F133">
            <v>5.625</v>
          </cell>
          <cell r="H133">
            <v>80581.75</v>
          </cell>
          <cell r="L133">
            <v>183.33333333333334</v>
          </cell>
        </row>
        <row r="144">
          <cell r="E144">
            <v>129.5</v>
          </cell>
          <cell r="F144">
            <v>5.6750000000000007</v>
          </cell>
          <cell r="H144">
            <v>11331</v>
          </cell>
          <cell r="L144">
            <v>40.666666666666664</v>
          </cell>
        </row>
        <row r="153">
          <cell r="E153">
            <v>103.75</v>
          </cell>
          <cell r="F153">
            <v>3.9750000000000001</v>
          </cell>
          <cell r="H153">
            <v>16927</v>
          </cell>
          <cell r="L153">
            <v>100.66666666666667</v>
          </cell>
        </row>
        <row r="164">
          <cell r="E164">
            <v>134.25</v>
          </cell>
          <cell r="F164">
            <v>5.8250000000000002</v>
          </cell>
          <cell r="H164">
            <v>17731</v>
          </cell>
          <cell r="L164">
            <v>55.666666666666664</v>
          </cell>
        </row>
        <row r="173">
          <cell r="E173">
            <v>108.25</v>
          </cell>
          <cell r="F173">
            <v>4.125</v>
          </cell>
          <cell r="H173">
            <v>21277.75</v>
          </cell>
          <cell r="L173">
            <v>124.33333333333333</v>
          </cell>
        </row>
        <row r="184">
          <cell r="E184">
            <v>203.25</v>
          </cell>
          <cell r="F184">
            <v>8.8000000000000007</v>
          </cell>
          <cell r="H184">
            <v>56393.75</v>
          </cell>
          <cell r="L184">
            <v>116</v>
          </cell>
        </row>
        <row r="193">
          <cell r="E193">
            <v>151.5</v>
          </cell>
          <cell r="F193">
            <v>5.7750000000000004</v>
          </cell>
          <cell r="H193">
            <v>52292</v>
          </cell>
          <cell r="L193">
            <v>195.33333333333334</v>
          </cell>
        </row>
      </sheetData>
      <sheetData sheetId="10">
        <row r="6">
          <cell r="F6">
            <v>1</v>
          </cell>
        </row>
        <row r="12">
          <cell r="D12">
            <v>3.3</v>
          </cell>
          <cell r="F12">
            <v>18.666666666666668</v>
          </cell>
        </row>
        <row r="13">
          <cell r="D13">
            <v>3.45</v>
          </cell>
          <cell r="F13">
            <v>53.666666666666664</v>
          </cell>
        </row>
        <row r="14">
          <cell r="D14">
            <v>3.7249999999999996</v>
          </cell>
          <cell r="F14">
            <v>78</v>
          </cell>
        </row>
        <row r="15">
          <cell r="D15">
            <v>4</v>
          </cell>
          <cell r="F15">
            <v>102.33333333333333</v>
          </cell>
        </row>
        <row r="16">
          <cell r="D16">
            <v>4.625</v>
          </cell>
          <cell r="F16">
            <v>114.66666666666667</v>
          </cell>
        </row>
        <row r="17">
          <cell r="D17">
            <v>5.625</v>
          </cell>
          <cell r="F17">
            <v>151</v>
          </cell>
        </row>
        <row r="18">
          <cell r="D18">
            <v>3.9750000000000001</v>
          </cell>
          <cell r="F18">
            <v>53.666666666666664</v>
          </cell>
        </row>
        <row r="19">
          <cell r="D19">
            <v>4.125</v>
          </cell>
          <cell r="F19">
            <v>78</v>
          </cell>
        </row>
        <row r="20">
          <cell r="D20">
            <v>5.7750000000000004</v>
          </cell>
          <cell r="F20">
            <v>187.33333333333334</v>
          </cell>
        </row>
        <row r="22">
          <cell r="D22">
            <v>5.0750000000000002</v>
          </cell>
        </row>
        <row r="23">
          <cell r="D23">
            <v>7.25</v>
          </cell>
        </row>
        <row r="24">
          <cell r="D24">
            <v>9.2000000000000011</v>
          </cell>
        </row>
        <row r="26">
          <cell r="D26">
            <v>4.24</v>
          </cell>
        </row>
        <row r="27">
          <cell r="D27">
            <v>6.1499999999999995</v>
          </cell>
        </row>
        <row r="28">
          <cell r="D28">
            <v>6.5285714285714276</v>
          </cell>
        </row>
        <row r="32">
          <cell r="C32">
            <v>3750</v>
          </cell>
        </row>
      </sheetData>
      <sheetData sheetId="11">
        <row r="11">
          <cell r="D11">
            <v>120.5</v>
          </cell>
          <cell r="E11">
            <v>5.0750000000000002</v>
          </cell>
          <cell r="G11">
            <v>16919</v>
          </cell>
          <cell r="K11">
            <v>0</v>
          </cell>
        </row>
        <row r="22">
          <cell r="E22">
            <v>5.9</v>
          </cell>
          <cell r="G22">
            <v>20527</v>
          </cell>
        </row>
        <row r="38">
          <cell r="D38">
            <v>156</v>
          </cell>
          <cell r="E38">
            <v>7.25</v>
          </cell>
          <cell r="G38">
            <v>27488.5</v>
          </cell>
          <cell r="K38">
            <v>0</v>
          </cell>
        </row>
        <row r="49">
          <cell r="E49">
            <v>7.75</v>
          </cell>
          <cell r="G49">
            <v>30250.5</v>
          </cell>
        </row>
        <row r="64">
          <cell r="D64">
            <v>178</v>
          </cell>
          <cell r="E64">
            <v>9.2000000000000011</v>
          </cell>
          <cell r="G64">
            <v>33000</v>
          </cell>
          <cell r="K64">
            <v>0</v>
          </cell>
        </row>
        <row r="75">
          <cell r="E75">
            <v>9.3000000000000007</v>
          </cell>
          <cell r="G75">
            <v>48546</v>
          </cell>
        </row>
        <row r="87">
          <cell r="I87">
            <v>61500</v>
          </cell>
        </row>
      </sheetData>
      <sheetData sheetId="12">
        <row r="28">
          <cell r="E28">
            <v>112</v>
          </cell>
          <cell r="F28">
            <v>4.24</v>
          </cell>
          <cell r="K28">
            <v>13941.5</v>
          </cell>
          <cell r="L28">
            <v>25</v>
          </cell>
        </row>
        <row r="52">
          <cell r="E52">
            <v>161.75</v>
          </cell>
          <cell r="F52">
            <v>6.1499999999999995</v>
          </cell>
          <cell r="K52">
            <v>21618.75</v>
          </cell>
          <cell r="L52">
            <v>35</v>
          </cell>
        </row>
        <row r="76">
          <cell r="E76">
            <v>171.71428571428572</v>
          </cell>
          <cell r="F76">
            <v>6.5285714285714276</v>
          </cell>
          <cell r="K76">
            <v>24369.285714285714</v>
          </cell>
          <cell r="L76">
            <v>37</v>
          </cell>
        </row>
      </sheetData>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roductie"/>
      <sheetName val="1. Invoer wagenpark"/>
      <sheetName val="2. Invoer parameters"/>
      <sheetName val="3. Resultaten"/>
      <sheetName val="4. Analyse"/>
      <sheetName val="5. Vervolg"/>
      <sheetName val="Parameters"/>
      <sheetName val="Output TCO"/>
      <sheetName val="TODO"/>
      <sheetName val="Input drop-down menu's"/>
      <sheetName val="_Personenauto"/>
      <sheetName val="_Bestelbus"/>
      <sheetName val="_BEV"/>
      <sheetName val="Verkoopcijfers"/>
    </sheetNames>
    <sheetDataSet>
      <sheetData sheetId="0"/>
      <sheetData sheetId="1"/>
      <sheetData sheetId="2">
        <row r="7">
          <cell r="C7">
            <v>7</v>
          </cell>
        </row>
        <row r="9">
          <cell r="C9" t="str">
            <v>Ja</v>
          </cell>
        </row>
        <row r="27">
          <cell r="C27">
            <v>0.24458244413244112</v>
          </cell>
        </row>
        <row r="82">
          <cell r="C82">
            <v>0.11</v>
          </cell>
        </row>
      </sheetData>
      <sheetData sheetId="3"/>
      <sheetData sheetId="4"/>
      <sheetData sheetId="5"/>
      <sheetData sheetId="6">
        <row r="6">
          <cell r="I6">
            <v>13301.25</v>
          </cell>
          <cell r="J6">
            <v>3781.88</v>
          </cell>
          <cell r="R6">
            <v>3.1E-2</v>
          </cell>
          <cell r="T6">
            <v>45.678823958333339</v>
          </cell>
        </row>
        <row r="7">
          <cell r="I7">
            <v>17984.25</v>
          </cell>
          <cell r="J7">
            <v>4947.3249999999998</v>
          </cell>
          <cell r="R7">
            <v>3.9E-2</v>
          </cell>
          <cell r="T7">
            <v>54.218667708333328</v>
          </cell>
        </row>
        <row r="8">
          <cell r="I8">
            <v>29155.75</v>
          </cell>
          <cell r="J8">
            <v>6663.3649999999998</v>
          </cell>
          <cell r="R8">
            <v>4.1000000000000002E-2</v>
          </cell>
          <cell r="T8">
            <v>73.260611458333329</v>
          </cell>
        </row>
        <row r="9">
          <cell r="I9">
            <v>41355</v>
          </cell>
          <cell r="J9">
            <v>10455.23</v>
          </cell>
          <cell r="R9">
            <v>0.05</v>
          </cell>
          <cell r="T9">
            <v>96.451808333333318</v>
          </cell>
        </row>
        <row r="10">
          <cell r="I10">
            <v>80581.75</v>
          </cell>
          <cell r="J10">
            <v>16814.3</v>
          </cell>
          <cell r="R10">
            <v>5.6399999999999992E-2</v>
          </cell>
          <cell r="T10">
            <v>163.73110520833333</v>
          </cell>
        </row>
        <row r="12">
          <cell r="I12">
            <v>21277.75</v>
          </cell>
          <cell r="J12">
            <v>7455.6949999999997</v>
          </cell>
          <cell r="R12">
            <v>0.04</v>
          </cell>
          <cell r="T12">
            <v>62.335548958333334</v>
          </cell>
        </row>
        <row r="13">
          <cell r="I13">
            <v>52292</v>
          </cell>
          <cell r="J13">
            <v>17921.629999999997</v>
          </cell>
          <cell r="R13">
            <v>6.2E-2</v>
          </cell>
          <cell r="T13">
            <v>122.32702083333334</v>
          </cell>
        </row>
        <row r="14">
          <cell r="I14">
            <v>13941.5</v>
          </cell>
          <cell r="J14">
            <v>5528.9454999999998</v>
          </cell>
          <cell r="R14">
            <v>3.1E-2</v>
          </cell>
          <cell r="T14">
            <v>48.831033958333336</v>
          </cell>
        </row>
        <row r="15">
          <cell r="I15">
            <v>21618.75</v>
          </cell>
          <cell r="J15">
            <v>8423.2687499999993</v>
          </cell>
          <cell r="R15">
            <v>6.2E-2</v>
          </cell>
          <cell r="T15">
            <v>64.060778645833338</v>
          </cell>
        </row>
        <row r="16">
          <cell r="I16">
            <v>24369.285714285714</v>
          </cell>
          <cell r="J16">
            <v>9460.2207142857133</v>
          </cell>
          <cell r="R16">
            <v>9.2999999999999999E-2</v>
          </cell>
          <cell r="T16">
            <v>69.517153869047604</v>
          </cell>
        </row>
        <row r="22">
          <cell r="I22">
            <v>7788.25</v>
          </cell>
          <cell r="J22">
            <v>1777.75</v>
          </cell>
          <cell r="R22">
            <v>2.1999999999999999E-2</v>
          </cell>
          <cell r="T22">
            <v>34.835248958333331</v>
          </cell>
        </row>
        <row r="23">
          <cell r="I23">
            <v>11742.25</v>
          </cell>
          <cell r="J23">
            <v>2563.5</v>
          </cell>
          <cell r="R23">
            <v>3.1E-2</v>
          </cell>
          <cell r="T23">
            <v>41.797861458333337</v>
          </cell>
        </row>
        <row r="24">
          <cell r="I24">
            <v>15280.25</v>
          </cell>
          <cell r="J24">
            <v>3640.75</v>
          </cell>
          <cell r="R24">
            <v>3.9E-2</v>
          </cell>
          <cell r="T24">
            <v>48.495648958333334</v>
          </cell>
        </row>
        <row r="25">
          <cell r="I25">
            <v>28063.5</v>
          </cell>
          <cell r="J25">
            <v>5100.25</v>
          </cell>
          <cell r="R25">
            <v>4.1000000000000002E-2</v>
          </cell>
          <cell r="T25">
            <v>69.654689583333337</v>
          </cell>
        </row>
        <row r="26">
          <cell r="I26">
            <v>41475.25</v>
          </cell>
          <cell r="J26">
            <v>9374.5</v>
          </cell>
          <cell r="R26">
            <v>0.05</v>
          </cell>
          <cell r="T26">
            <v>95.282773958333337</v>
          </cell>
        </row>
        <row r="27">
          <cell r="I27">
            <v>76073</v>
          </cell>
          <cell r="J27">
            <v>26833.764999999999</v>
          </cell>
          <cell r="R27">
            <v>5.6399999999999992E-2</v>
          </cell>
          <cell r="T27">
            <v>169.43595208333332</v>
          </cell>
        </row>
        <row r="29">
          <cell r="I29">
            <v>17731</v>
          </cell>
          <cell r="J29">
            <v>7115.75</v>
          </cell>
          <cell r="R29">
            <v>0.04</v>
          </cell>
          <cell r="T29">
            <v>56.546158333333324</v>
          </cell>
        </row>
        <row r="30">
          <cell r="I30">
            <v>56393.75</v>
          </cell>
          <cell r="J30">
            <v>31485.5</v>
          </cell>
          <cell r="R30">
            <v>6.2E-2</v>
          </cell>
          <cell r="T30">
            <v>145.48575520833333</v>
          </cell>
        </row>
        <row r="39">
          <cell r="E39">
            <v>16.7</v>
          </cell>
          <cell r="I39">
            <v>17686</v>
          </cell>
          <cell r="N39">
            <v>1591.74</v>
          </cell>
          <cell r="R39">
            <v>1.6E-2</v>
          </cell>
          <cell r="T39">
            <v>47.583408333333331</v>
          </cell>
        </row>
        <row r="40">
          <cell r="E40">
            <v>13.3</v>
          </cell>
          <cell r="I40">
            <v>28430</v>
          </cell>
          <cell r="R40">
            <v>1.7999999999999999E-2</v>
          </cell>
          <cell r="T40">
            <v>63.833708333333334</v>
          </cell>
        </row>
        <row r="41">
          <cell r="E41">
            <v>14.4</v>
          </cell>
          <cell r="I41">
            <v>26731</v>
          </cell>
          <cell r="R41">
            <v>2.1999999999999999E-2</v>
          </cell>
          <cell r="T41">
            <v>61.263970833333339</v>
          </cell>
        </row>
        <row r="42">
          <cell r="E42">
            <v>14.4</v>
          </cell>
          <cell r="I42">
            <v>26731</v>
          </cell>
          <cell r="R42">
            <v>2.1999999999999999E-2</v>
          </cell>
          <cell r="T42">
            <v>61.263970833333339</v>
          </cell>
        </row>
        <row r="43">
          <cell r="E43">
            <v>18.600000000000001</v>
          </cell>
          <cell r="I43">
            <v>76736</v>
          </cell>
          <cell r="R43">
            <v>0.05</v>
          </cell>
          <cell r="T43">
            <v>136.89653333333334</v>
          </cell>
        </row>
        <row r="44">
          <cell r="E44">
            <v>18.600000000000001</v>
          </cell>
          <cell r="I44">
            <v>76736</v>
          </cell>
          <cell r="R44">
            <v>0.05</v>
          </cell>
          <cell r="T44">
            <v>136.89653333333334</v>
          </cell>
        </row>
        <row r="46">
          <cell r="E46">
            <v>16</v>
          </cell>
          <cell r="I46">
            <v>31665</v>
          </cell>
          <cell r="R46">
            <v>2.9000000000000001E-2</v>
          </cell>
          <cell r="T46">
            <v>68.726645833333336</v>
          </cell>
        </row>
        <row r="47">
          <cell r="E47">
            <v>21.3</v>
          </cell>
          <cell r="I47">
            <v>65438</v>
          </cell>
          <cell r="R47">
            <v>4.7E-2</v>
          </cell>
          <cell r="T47">
            <v>119.80830833333333</v>
          </cell>
        </row>
        <row r="48">
          <cell r="E48">
            <v>18.8</v>
          </cell>
          <cell r="I48">
            <v>30994.214876033056</v>
          </cell>
          <cell r="R48">
            <v>2.1999999999999999E-2</v>
          </cell>
          <cell r="T48">
            <v>67.712083333333325</v>
          </cell>
        </row>
        <row r="49">
          <cell r="E49">
            <v>27.777777777777779</v>
          </cell>
          <cell r="I49">
            <v>47000</v>
          </cell>
          <cell r="R49">
            <v>4.3999999999999997E-2</v>
          </cell>
          <cell r="T49">
            <v>91.920833333333334</v>
          </cell>
        </row>
        <row r="50">
          <cell r="E50">
            <v>32.995940630573756</v>
          </cell>
          <cell r="I50">
            <v>62900</v>
          </cell>
          <cell r="R50">
            <v>6.6000000000000003E-2</v>
          </cell>
          <cell r="T50">
            <v>115.96958333333333</v>
          </cell>
        </row>
        <row r="62">
          <cell r="B62">
            <v>0.8</v>
          </cell>
        </row>
        <row r="63">
          <cell r="B63">
            <v>0.52452080568625881</v>
          </cell>
        </row>
        <row r="64">
          <cell r="B64">
            <v>0.40975394437291829</v>
          </cell>
        </row>
        <row r="65">
          <cell r="B65">
            <v>0.34390259449720262</v>
          </cell>
        </row>
        <row r="66">
          <cell r="B66">
            <v>0.3</v>
          </cell>
        </row>
        <row r="67">
          <cell r="B67">
            <v>0.26865558629450698</v>
          </cell>
        </row>
        <row r="68">
          <cell r="B68">
            <v>0.24458244413244112</v>
          </cell>
        </row>
        <row r="69">
          <cell r="B69">
            <v>0.22548008242908435</v>
          </cell>
        </row>
        <row r="70">
          <cell r="B70">
            <v>0.20987286866145577</v>
          </cell>
        </row>
        <row r="71">
          <cell r="B71">
            <v>0.19682940833181017</v>
          </cell>
        </row>
        <row r="82">
          <cell r="B82">
            <v>2.74</v>
          </cell>
          <cell r="C82">
            <v>2.2690000000000001</v>
          </cell>
        </row>
        <row r="83">
          <cell r="B83">
            <v>3.23</v>
          </cell>
          <cell r="C83">
            <v>2.6059999999999999</v>
          </cell>
        </row>
        <row r="84">
          <cell r="B84">
            <v>0.41299999999999998</v>
          </cell>
          <cell r="C84">
            <v>0.36099999999999999</v>
          </cell>
        </row>
        <row r="85">
          <cell r="B85">
            <v>0.64900000000000002</v>
          </cell>
          <cell r="C85">
            <v>0.57199999999999995</v>
          </cell>
        </row>
        <row r="86">
          <cell r="B86">
            <v>0</v>
          </cell>
          <cell r="C86">
            <v>0</v>
          </cell>
        </row>
        <row r="88">
          <cell r="B88">
            <v>0.64900000000000002</v>
          </cell>
          <cell r="C88">
            <v>0.57199999999999995</v>
          </cell>
        </row>
        <row r="115">
          <cell r="B115">
            <v>0.21</v>
          </cell>
        </row>
        <row r="118">
          <cell r="B118">
            <v>1.61</v>
          </cell>
        </row>
        <row r="119">
          <cell r="B119">
            <v>1.31</v>
          </cell>
        </row>
        <row r="188">
          <cell r="C188">
            <v>0</v>
          </cell>
        </row>
        <row r="206">
          <cell r="B206">
            <v>0</v>
          </cell>
        </row>
      </sheetData>
      <sheetData sheetId="7"/>
      <sheetData sheetId="8"/>
      <sheetData sheetId="9"/>
      <sheetData sheetId="10">
        <row r="25">
          <cell r="E25">
            <v>93.25</v>
          </cell>
          <cell r="F25">
            <v>4.05</v>
          </cell>
          <cell r="H25">
            <v>7788.25</v>
          </cell>
          <cell r="L25">
            <v>21.666666666666668</v>
          </cell>
        </row>
        <row r="33">
          <cell r="F33"/>
        </row>
        <row r="44">
          <cell r="E44">
            <v>101.5</v>
          </cell>
          <cell r="F44">
            <v>4.45</v>
          </cell>
          <cell r="H44">
            <v>11742.25</v>
          </cell>
          <cell r="L44">
            <v>40.666666666666664</v>
          </cell>
        </row>
        <row r="53">
          <cell r="E53">
            <v>89</v>
          </cell>
          <cell r="F53">
            <v>3.45</v>
          </cell>
          <cell r="H53">
            <v>13301.25</v>
          </cell>
          <cell r="L53">
            <v>88.666666666666671</v>
          </cell>
        </row>
        <row r="64">
          <cell r="E64">
            <v>109.25</v>
          </cell>
          <cell r="F64">
            <v>4.8</v>
          </cell>
          <cell r="H64">
            <v>15280.25</v>
          </cell>
          <cell r="L64">
            <v>54</v>
          </cell>
        </row>
        <row r="73">
          <cell r="E73">
            <v>96.75</v>
          </cell>
          <cell r="F73">
            <v>3.7249999999999996</v>
          </cell>
          <cell r="H73">
            <v>17984.25</v>
          </cell>
          <cell r="L73">
            <v>110.66666666666667</v>
          </cell>
        </row>
        <row r="84">
          <cell r="E84">
            <v>119.75</v>
          </cell>
          <cell r="F84">
            <v>5.1999999999999993</v>
          </cell>
          <cell r="H84">
            <v>28063.5</v>
          </cell>
          <cell r="L84">
            <v>68.666666666666671</v>
          </cell>
        </row>
        <row r="93">
          <cell r="E93">
            <v>104.75</v>
          </cell>
          <cell r="F93">
            <v>4</v>
          </cell>
          <cell r="H93">
            <v>29155.75</v>
          </cell>
          <cell r="L93">
            <v>134</v>
          </cell>
        </row>
        <row r="104">
          <cell r="E104">
            <v>150.5</v>
          </cell>
          <cell r="F104">
            <v>6.5750000000000002</v>
          </cell>
          <cell r="H104">
            <v>41475.25</v>
          </cell>
          <cell r="L104">
            <v>78.333333333333329</v>
          </cell>
        </row>
        <row r="113">
          <cell r="E113">
            <v>121.5</v>
          </cell>
          <cell r="F113">
            <v>4.625</v>
          </cell>
          <cell r="H113">
            <v>41355</v>
          </cell>
          <cell r="L113">
            <v>148</v>
          </cell>
        </row>
        <row r="124">
          <cell r="E124">
            <v>172.25</v>
          </cell>
          <cell r="F124">
            <v>7.5250000000000004</v>
          </cell>
          <cell r="H124">
            <v>76073</v>
          </cell>
          <cell r="L124">
            <v>101</v>
          </cell>
        </row>
        <row r="133">
          <cell r="E133">
            <v>148</v>
          </cell>
          <cell r="F133">
            <v>5.625</v>
          </cell>
          <cell r="H133">
            <v>80581.75</v>
          </cell>
          <cell r="L133">
            <v>183.33333333333334</v>
          </cell>
        </row>
        <row r="144">
          <cell r="E144">
            <v>129.5</v>
          </cell>
          <cell r="F144">
            <v>5.6750000000000007</v>
          </cell>
          <cell r="H144">
            <v>11331</v>
          </cell>
          <cell r="L144">
            <v>40.666666666666664</v>
          </cell>
        </row>
        <row r="153">
          <cell r="E153">
            <v>103.75</v>
          </cell>
          <cell r="F153">
            <v>3.9750000000000001</v>
          </cell>
          <cell r="H153">
            <v>16927</v>
          </cell>
          <cell r="L153">
            <v>100.66666666666667</v>
          </cell>
        </row>
        <row r="164">
          <cell r="E164">
            <v>134.25</v>
          </cell>
          <cell r="F164">
            <v>5.8250000000000002</v>
          </cell>
          <cell r="H164">
            <v>17731</v>
          </cell>
          <cell r="L164">
            <v>55.666666666666664</v>
          </cell>
        </row>
        <row r="173">
          <cell r="E173">
            <v>108.25</v>
          </cell>
          <cell r="F173">
            <v>4.125</v>
          </cell>
          <cell r="H173">
            <v>21277.75</v>
          </cell>
          <cell r="L173">
            <v>124.33333333333333</v>
          </cell>
        </row>
        <row r="184">
          <cell r="E184">
            <v>203.25</v>
          </cell>
          <cell r="F184">
            <v>8.8000000000000007</v>
          </cell>
          <cell r="H184">
            <v>56393.75</v>
          </cell>
          <cell r="L184">
            <v>116</v>
          </cell>
        </row>
        <row r="193">
          <cell r="E193">
            <v>151.5</v>
          </cell>
          <cell r="F193">
            <v>5.7750000000000004</v>
          </cell>
          <cell r="H193">
            <v>52292</v>
          </cell>
          <cell r="L193">
            <v>195.33333333333334</v>
          </cell>
        </row>
      </sheetData>
      <sheetData sheetId="11">
        <row r="28">
          <cell r="E28">
            <v>112</v>
          </cell>
          <cell r="F28">
            <v>4.24</v>
          </cell>
          <cell r="K28">
            <v>13941.5</v>
          </cell>
          <cell r="L28">
            <v>25</v>
          </cell>
        </row>
        <row r="52">
          <cell r="E52">
            <v>161.75</v>
          </cell>
          <cell r="F52">
            <v>6.1499999999999995</v>
          </cell>
          <cell r="K52">
            <v>21618.75</v>
          </cell>
          <cell r="L52">
            <v>35</v>
          </cell>
        </row>
        <row r="76">
          <cell r="E76">
            <v>171.71428571428572</v>
          </cell>
          <cell r="F76">
            <v>6.5285714285714276</v>
          </cell>
          <cell r="K76">
            <v>24369.285714285714</v>
          </cell>
          <cell r="L76">
            <v>37</v>
          </cell>
        </row>
      </sheetData>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nnames"/>
      <sheetName val="All vehicles"/>
      <sheetName val="BEV personenauto's"/>
      <sheetName val="FCEV personenauto's"/>
      <sheetName val="FECV"/>
      <sheetName val="Segment A"/>
      <sheetName val="Segment B"/>
      <sheetName val="Segment C"/>
      <sheetName val="Segment D &amp; E"/>
      <sheetName val="Segment J"/>
      <sheetName val="Segment L"/>
      <sheetName val="Segment M"/>
      <sheetName val="BEV LCV's"/>
      <sheetName val="Segment LCV"/>
      <sheetName val="BEV-trucks"/>
      <sheetName val="Segment BV trucks"/>
      <sheetName val="Toelichting segmenten"/>
    </sheetNames>
    <sheetDataSet>
      <sheetData sheetId="0">
        <row r="4">
          <cell r="B4">
            <v>0.21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nnames"/>
      <sheetName val="All vehicles"/>
      <sheetName val="BEV personenauto's"/>
      <sheetName val="FCEV personenauto's"/>
      <sheetName val="FECV"/>
      <sheetName val="Segment A"/>
      <sheetName val="Segment B"/>
      <sheetName val="Segment C"/>
      <sheetName val="Segment D &amp; E"/>
      <sheetName val="Segment J"/>
      <sheetName val="Segment L"/>
      <sheetName val="Segment M"/>
      <sheetName val="BEV LCV's"/>
      <sheetName val="Segment LCV"/>
      <sheetName val="BEV-trucks"/>
      <sheetName val="Segment BV trucks"/>
      <sheetName val="Toelichting segmenten"/>
    </sheetNames>
    <sheetDataSet>
      <sheetData sheetId="0" refreshError="1">
        <row r="4">
          <cell r="B4">
            <v>0.21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natuurenmilieu.nl/nieuwsberichten/brandstofranking/" TargetMode="External"/><Relationship Id="rId1" Type="http://schemas.openxmlformats.org/officeDocument/2006/relationships/hyperlink" Target="https://www.natuurenmilieu.nl/nieuwsberichten/brandstofranking/"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https://www.cdn.renault.com/content/dam/Renault/NL/prijslijst/kangoo.pdf" TargetMode="External"/><Relationship Id="rId7" Type="http://schemas.openxmlformats.org/officeDocument/2006/relationships/hyperlink" Target="http://www.rijtesten.nl/gegevens/1206/mercedes-benz-vito--114-cdi-7g-tronic-dubbelcabine-lang" TargetMode="External"/><Relationship Id="rId2" Type="http://schemas.openxmlformats.org/officeDocument/2006/relationships/hyperlink" Target="https://www.autowereld.com/nieuwe-autos/prijzen-specificaties/peugeot/partner-tepee-119253/16hdi-blue-hdi-active-74kw-startstop/id/4236880" TargetMode="External"/><Relationship Id="rId1" Type="http://schemas.openxmlformats.org/officeDocument/2006/relationships/hyperlink" Target="https://www.cdn.renault.com/content/dam/Renault/NL/prijslijst/kangoo.pdf" TargetMode="External"/><Relationship Id="rId6" Type="http://schemas.openxmlformats.org/officeDocument/2006/relationships/hyperlink" Target="https://www.mercedes-benz.nl/vans/nl/vito/tourer-commercial" TargetMode="External"/><Relationship Id="rId5" Type="http://schemas.openxmlformats.org/officeDocument/2006/relationships/hyperlink" Target="https://www.autowereld.nl/renault/kangoo/l1-comfort-tce-115-edc-eu6-25411343/details.html" TargetMode="External"/><Relationship Id="rId10" Type="http://schemas.openxmlformats.org/officeDocument/2006/relationships/comments" Target="../comments3.xml"/><Relationship Id="rId4" Type="http://schemas.openxmlformats.org/officeDocument/2006/relationships/hyperlink" Target="https://www.mercedes-benz.nl/content/netherlands/mpc/mpc_netherlands_website/nl/home_mpc/van/home/new_vans/Prijslijsten_brochures_overzicht.html" TargetMode="External"/><Relationship Id="rId9"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bestelauto.nl/nieuws/fotos-maxus-ev30-steelt-de-show-in-birmingham/13150/" TargetMode="External"/><Relationship Id="rId18" Type="http://schemas.openxmlformats.org/officeDocument/2006/relationships/hyperlink" Target="https://streetscooter-nederland.nl/upload/1/pdf/leaflet-work-web.pdf" TargetMode="External"/><Relationship Id="rId26" Type="http://schemas.openxmlformats.org/officeDocument/2006/relationships/hyperlink" Target="https://streetscooter-nederland.nl/upload/1/pdf/leaflet-work-l-web.pdf" TargetMode="External"/><Relationship Id="rId3" Type="http://schemas.openxmlformats.org/officeDocument/2006/relationships/hyperlink" Target="https://www.mercedes-benz.nl/vans/nl/vito/e-vito-panel-van" TargetMode="External"/><Relationship Id="rId21" Type="http://schemas.openxmlformats.org/officeDocument/2006/relationships/hyperlink" Target="https://streetscooter-nederland.nl/upload/1/pdf/leaflet-work-web.pdf" TargetMode="External"/><Relationship Id="rId34" Type="http://schemas.openxmlformats.org/officeDocument/2006/relationships/hyperlink" Target="https://www.toyota.nl/over-toyota/toyota-world/Toyota-PROACE-elektric-modellen.json" TargetMode="External"/><Relationship Id="rId7" Type="http://schemas.openxmlformats.org/officeDocument/2006/relationships/hyperlink" Target="https://www.nissan.nl/voertuigen/nieuw/e-nv200/technische-gegevens.html" TargetMode="External"/><Relationship Id="rId12" Type="http://schemas.openxmlformats.org/officeDocument/2006/relationships/hyperlink" Target="https://www.bestelauto.nl/nieuws/fotos-maxus-ev30-steelt-de-show-in-birmingham/13150/" TargetMode="External"/><Relationship Id="rId17" Type="http://schemas.openxmlformats.org/officeDocument/2006/relationships/hyperlink" Target="https://www.fleet.be/alcomotive-importeert-het-merk-maxus-via-nieuwe-organisatie/" TargetMode="External"/><Relationship Id="rId25" Type="http://schemas.openxmlformats.org/officeDocument/2006/relationships/hyperlink" Target="https://streetscooter-nederland.nl/upload/1/pdf/leaflet-work-l-web.pdf" TargetMode="External"/><Relationship Id="rId33" Type="http://schemas.openxmlformats.org/officeDocument/2006/relationships/hyperlink" Target="https://www.toyota.nl/over-toyota/toyota-world/Toyota-PROACE-elektric-modellen.json" TargetMode="External"/><Relationship Id="rId2" Type="http://schemas.openxmlformats.org/officeDocument/2006/relationships/hyperlink" Target="https://www.van.man/de/media/special_etge_folder/downloads/20180925_MAN_eTGE_Bro_A4Q3_4c_ENG.pdf" TargetMode="External"/><Relationship Id="rId16" Type="http://schemas.openxmlformats.org/officeDocument/2006/relationships/hyperlink" Target="https://www.fleet.be/alcomotive-importeert-het-merk-maxus-via-nieuwe-organisatie/" TargetMode="External"/><Relationship Id="rId20" Type="http://schemas.openxmlformats.org/officeDocument/2006/relationships/hyperlink" Target="https://streetscooter-nederland.nl/upload/1/pdf/leaflet-work-web.pdf" TargetMode="External"/><Relationship Id="rId29" Type="http://schemas.openxmlformats.org/officeDocument/2006/relationships/hyperlink" Target="https://www.vwbedrijfswagens.nl/nl/over-volkswagen/actueel/nieuws2018/volkswagen-bedrijfswagens-gaat-elektrisch-met-de-abt-e-caddy-en-.html" TargetMode="External"/><Relationship Id="rId1" Type="http://schemas.openxmlformats.org/officeDocument/2006/relationships/hyperlink" Target="https://www.van.man/de/media/special_etge_folder/downloads/20180925_MAN_eTGE_Bro_A4Q3_4c_ENG.pdf" TargetMode="External"/><Relationship Id="rId6" Type="http://schemas.openxmlformats.org/officeDocument/2006/relationships/hyperlink" Target="https://zerauto.nl/mercedes-benz-esprinter-test/" TargetMode="External"/><Relationship Id="rId11" Type="http://schemas.openxmlformats.org/officeDocument/2006/relationships/hyperlink" Target="https://www.maxusev80.com/https:/www.autoweek.nl/autonieuws/artikel/gereden-maxus-ev80/" TargetMode="External"/><Relationship Id="rId24" Type="http://schemas.openxmlformats.org/officeDocument/2006/relationships/hyperlink" Target="https://streetscooter-nederland.nl/upload/1/pdf/leaflet-work-l-web.pdf" TargetMode="External"/><Relationship Id="rId32" Type="http://schemas.openxmlformats.org/officeDocument/2006/relationships/hyperlink" Target="https://www.toyota.nl/over-toyota/toyota-world/Toyota-PROACE-elektric-modellen.json" TargetMode="External"/><Relationship Id="rId5" Type="http://schemas.openxmlformats.org/officeDocument/2006/relationships/hyperlink" Target="https://zerauto.nl/mercedes-benz-esprinter-test/" TargetMode="External"/><Relationship Id="rId15" Type="http://schemas.openxmlformats.org/officeDocument/2006/relationships/hyperlink" Target="https://www.fleet.be/alcomotive-importeert-het-merk-maxus-via-nieuwe-organisatie/" TargetMode="External"/><Relationship Id="rId23" Type="http://schemas.openxmlformats.org/officeDocument/2006/relationships/hyperlink" Target="https://streetscooter-nederland.nl/upload/1/pdf/leaflet-work-web.pdf" TargetMode="External"/><Relationship Id="rId28" Type="http://schemas.openxmlformats.org/officeDocument/2006/relationships/hyperlink" Target="https://www.vwbedrijfswagens.nl/nl/over-volkswagen/actueel/nieuws2018/volkswagen-bedrijfswagens-gaat-elektrisch-met-de-abt-e-caddy-en-.html" TargetMode="External"/><Relationship Id="rId36" Type="http://schemas.openxmlformats.org/officeDocument/2006/relationships/comments" Target="../comments4.xml"/><Relationship Id="rId10" Type="http://schemas.openxmlformats.org/officeDocument/2006/relationships/hyperlink" Target="https://www.maxusev80.com/https:/www.autoweek.nl/autonieuws/artikel/gereden-maxus-ev80/" TargetMode="External"/><Relationship Id="rId19" Type="http://schemas.openxmlformats.org/officeDocument/2006/relationships/hyperlink" Target="https://streetscooter-nederland.nl/upload/1/pdf/leaflet-work-web.pdf" TargetMode="External"/><Relationship Id="rId31" Type="http://schemas.openxmlformats.org/officeDocument/2006/relationships/hyperlink" Target="https://www.toyota.nl/over-toyota/toyota-world/Toyota-PROACE-elektric-modellen.json" TargetMode="External"/><Relationship Id="rId4" Type="http://schemas.openxmlformats.org/officeDocument/2006/relationships/hyperlink" Target="https://www.mercedes-benz.nl/vans/nl/vito/e-vito-panel-van" TargetMode="External"/><Relationship Id="rId9" Type="http://schemas.openxmlformats.org/officeDocument/2006/relationships/hyperlink" Target="https://www.maxusev80.com/https:/www.autoweek.nl/autonieuws/artikel/gereden-maxus-ev80/" TargetMode="External"/><Relationship Id="rId14" Type="http://schemas.openxmlformats.org/officeDocument/2006/relationships/hyperlink" Target="https://www.fleet.be/alcomotive-importeert-het-merk-maxus-via-nieuwe-organisatie/" TargetMode="External"/><Relationship Id="rId22" Type="http://schemas.openxmlformats.org/officeDocument/2006/relationships/hyperlink" Target="https://streetscooter-nederland.nl/upload/1/pdf/leaflet-work-web.pdf" TargetMode="External"/><Relationship Id="rId27" Type="http://schemas.openxmlformats.org/officeDocument/2006/relationships/hyperlink" Target="https://www.toyota.nl/over-toyota/toyota-world/Toyota-PROACE-elektric-modellen.json" TargetMode="External"/><Relationship Id="rId30" Type="http://schemas.openxmlformats.org/officeDocument/2006/relationships/hyperlink" Target="https://www.vwbedrijfswagens.nl/nl/over-volkswagen/actueel/nieuws2018/volkswagen-bedrijfswagens-gaat-elektrisch-met-de-abt-e-caddy-en-.html" TargetMode="External"/><Relationship Id="rId35" Type="http://schemas.openxmlformats.org/officeDocument/2006/relationships/vmlDrawing" Target="../drawings/vmlDrawing4.vml"/><Relationship Id="rId8" Type="http://schemas.openxmlformats.org/officeDocument/2006/relationships/hyperlink" Target="https://professional.peugeot.nl/partner-electric-bedrijfsauto/" TargetMode="Externa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hyperlink" Target="https://media.renault.nl/groupe-renault-introduceert-waterstof-in-lichte-bedrijfswagen-programma/"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rijtesten.nl/gegevens/1206/mercedes-benz-vito--114-cdi-7g-tronic-dubbelcabine-lang" TargetMode="External"/><Relationship Id="rId13" Type="http://schemas.openxmlformats.org/officeDocument/2006/relationships/hyperlink" Target="https://www.mercedes-benz.nl/vans/nl/price-lists" TargetMode="External"/><Relationship Id="rId3" Type="http://schemas.openxmlformats.org/officeDocument/2006/relationships/hyperlink" Target="https://www.cdn.renault.com/content/dam/Renault/NL/prijslijst/kangoo.pdf" TargetMode="External"/><Relationship Id="rId7" Type="http://schemas.openxmlformats.org/officeDocument/2006/relationships/hyperlink" Target="https://www.autowereld.nl/renault/kangoo/l1-comfort-tce-115-edc-eu6-25411343/details.html" TargetMode="External"/><Relationship Id="rId12" Type="http://schemas.openxmlformats.org/officeDocument/2006/relationships/hyperlink" Target="https://www.mercedes-benz.nl/vans/nl/price-lists" TargetMode="External"/><Relationship Id="rId2" Type="http://schemas.openxmlformats.org/officeDocument/2006/relationships/hyperlink" Target="https://www.autowereld.com/nieuwe-autos/prijzen-specificaties/peugeot/partner-tepee-119253/16hdi-blue-hdi-active-74kw-startstop/id/4236880" TargetMode="External"/><Relationship Id="rId16" Type="http://schemas.openxmlformats.org/officeDocument/2006/relationships/comments" Target="../comments8.xml"/><Relationship Id="rId1" Type="http://schemas.openxmlformats.org/officeDocument/2006/relationships/hyperlink" Target="https://www.cdn.renault.com/content/dam/Renault/NL/prijslijst/kangoo.pdf" TargetMode="External"/><Relationship Id="rId6" Type="http://schemas.openxmlformats.org/officeDocument/2006/relationships/hyperlink" Target="https://www.mercedes-benz.nl/vans/nl/vito/tourer-commercial" TargetMode="External"/><Relationship Id="rId11" Type="http://schemas.openxmlformats.org/officeDocument/2006/relationships/hyperlink" Target="https://www.autowereld.nl/renault/kangoo/l1-comfort-tce-115-edc-eu6-25411343/details.html" TargetMode="External"/><Relationship Id="rId5" Type="http://schemas.openxmlformats.org/officeDocument/2006/relationships/hyperlink" Target="https://www.autowereld.nl/renault/kangoo/l1-comfort-tce-115-edc-eu6-25411343/details.html" TargetMode="External"/><Relationship Id="rId15" Type="http://schemas.openxmlformats.org/officeDocument/2006/relationships/vmlDrawing" Target="../drawings/vmlDrawing8.vml"/><Relationship Id="rId10" Type="http://schemas.openxmlformats.org/officeDocument/2006/relationships/hyperlink" Target="https://www.fiatprofessional.com/nl/brochure" TargetMode="External"/><Relationship Id="rId4" Type="http://schemas.openxmlformats.org/officeDocument/2006/relationships/hyperlink" Target="https://www.mercedes-benz.nl/content/netherlands/mpc/mpc_netherlands_website/nl/home_mpc/van/home/new_vans/Prijslijsten_brochures_overzicht.html" TargetMode="External"/><Relationship Id="rId9" Type="http://schemas.openxmlformats.org/officeDocument/2006/relationships/hyperlink" Target="https://www.fiatprofessional.com/nl/brochure" TargetMode="External"/><Relationship Id="rId14"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natuurenmilieu.nl/nieuwsberichten/brandstofranking/" TargetMode="External"/><Relationship Id="rId1" Type="http://schemas.openxmlformats.org/officeDocument/2006/relationships/hyperlink" Target="https://www.natuurenmilieu.nl/nieuwsberichten/brandstofranking/"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https://ev-database.nl/vergelijk/nieuwste-elektrische-auto" TargetMode="External"/><Relationship Id="rId1" Type="http://schemas.openxmlformats.org/officeDocument/2006/relationships/hyperlink" Target="https://ev-database.nl/vergelijk/nieuwste-elektrische-auto"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autobahn.eu/artikel/19438/mercedes-benz-eqv-het-eerste-elektrische-premium-busje" TargetMode="External"/><Relationship Id="rId2" Type="http://schemas.openxmlformats.org/officeDocument/2006/relationships/hyperlink" Target="https://www.destentor.nl/deventer/primeur-in-deventer-negenpersoons-elektrische-bus-voor-b-rijbewijs~a8d289dc/?referrer=https://www.google.com/" TargetMode="External"/><Relationship Id="rId1" Type="http://schemas.openxmlformats.org/officeDocument/2006/relationships/hyperlink" Target="https://www.ovpro.nl/bus/2019/06/28/tribus-ontwikkelt-nieuw-model-lagevloerbus-civitas-economy/"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3.xml.rels><?xml version="1.0" encoding="UTF-8" standalone="yes"?>
<Relationships xmlns="http://schemas.openxmlformats.org/package/2006/relationships"><Relationship Id="rId3" Type="http://schemas.openxmlformats.org/officeDocument/2006/relationships/hyperlink" Target="https://opendata.rdw.nl/Voertuigen/Personenauto-s-met-Catalogusprijs/aq35-ccn7/data" TargetMode="External"/><Relationship Id="rId2" Type="http://schemas.openxmlformats.org/officeDocument/2006/relationships/hyperlink" Target="https://www.autoweek.nl/bpmcalculator/" TargetMode="External"/><Relationship Id="rId1" Type="http://schemas.openxmlformats.org/officeDocument/2006/relationships/hyperlink" Target="https://www.autozine.nl/overzicht/modellen_techniek.php"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8.xml"/></Relationships>
</file>

<file path=xl/worksheets/_rels/sheet24.xml.rels><?xml version="1.0" encoding="UTF-8" standalone="yes"?>
<Relationships xmlns="http://schemas.openxmlformats.org/package/2006/relationships"><Relationship Id="rId8" Type="http://schemas.openxmlformats.org/officeDocument/2006/relationships/hyperlink" Target="https://www.citroen.nl/brochure-prijslijst.html?gclid=EAIaIQobChMI-vThuOag5AIVleR3Ch2ppgQ0EAAYASAAEgKyJfD_BwE&amp;gclsrc=aw.ds" TargetMode="External"/><Relationship Id="rId13" Type="http://schemas.openxmlformats.org/officeDocument/2006/relationships/hyperlink" Target="../../../../../../../../Concepten/TCO-tool/Dropbox%20(EVConsult)/Downloads/Technische%20gegevens%20Transporter%206%20Bestelwagen%20WLTP%20MJ2019.pdf" TargetMode="External"/><Relationship Id="rId3" Type="http://schemas.openxmlformats.org/officeDocument/2006/relationships/hyperlink" Target="http://www.citroen-servicevanbeers.nl/BROCHURES/Nemo%20Prijslijst.pdf" TargetMode="External"/><Relationship Id="rId7" Type="http://schemas.openxmlformats.org/officeDocument/2006/relationships/hyperlink" Target="https://forms.vwbedrijfswagens.nl/site/brochure/download?mc=caddy" TargetMode="External"/><Relationship Id="rId12" Type="http://schemas.openxmlformats.org/officeDocument/2006/relationships/hyperlink" Target="https://www.ford.nl/handige-links/ik-wil/brochures-en-prijslijsten" TargetMode="External"/><Relationship Id="rId2" Type="http://schemas.openxmlformats.org/officeDocument/2006/relationships/hyperlink" Target="https://www.ford.nl/handige-links/ik-wil/brochures-en-prijslijsten" TargetMode="External"/><Relationship Id="rId1" Type="http://schemas.openxmlformats.org/officeDocument/2006/relationships/hyperlink" Target="https://www.anwb.nl/auto/besparen/top-10-zuinige-autos/top-10-zuinige-bestelautos-overzicht" TargetMode="External"/><Relationship Id="rId6" Type="http://schemas.openxmlformats.org/officeDocument/2006/relationships/hyperlink" Target="https://www.fiatprofessional.com/nl/brochure" TargetMode="External"/><Relationship Id="rId11" Type="http://schemas.openxmlformats.org/officeDocument/2006/relationships/hyperlink" Target="https://www.rdw.nl/particulier/voertuigen/auto/kopen/zuinig-en-milieuvriendelijk-voertuig-kopen" TargetMode="External"/><Relationship Id="rId5" Type="http://schemas.openxmlformats.org/officeDocument/2006/relationships/hyperlink" Target="https://www.renault.nl/brochures-prijslijsten.html" TargetMode="External"/><Relationship Id="rId15" Type="http://schemas.openxmlformats.org/officeDocument/2006/relationships/drawing" Target="../drawings/drawing9.xml"/><Relationship Id="rId10" Type="http://schemas.openxmlformats.org/officeDocument/2006/relationships/hyperlink" Target="https://media.peugeot.nl/file/77/2/wk2817-peugeot-partner-prijslijst-12021-9bff7b.272772.pdf" TargetMode="External"/><Relationship Id="rId4" Type="http://schemas.openxmlformats.org/officeDocument/2006/relationships/hyperlink" Target="https://www.google.com/search?q=Fiat+Fiorino+prijzenlijst&amp;oq=Fiat+Fiorino+prijzenlijst&amp;aqs=chrome..69i57j0.5635j0j4&amp;sourceid=chrome&amp;ie=UTF-8" TargetMode="External"/><Relationship Id="rId9" Type="http://schemas.openxmlformats.org/officeDocument/2006/relationships/hyperlink" Target="https://www.google.com/search?q=Peugeot+Partner+prijzenlijst&amp;oq=Peugeot+Partner+prijzenlijst&amp;aqs=chrome..69i57j0l2.4785j0j4&amp;sourceid=chrome&amp;ie=UTF-8" TargetMode="External"/><Relationship Id="rId14" Type="http://schemas.openxmlformats.org/officeDocument/2006/relationships/hyperlink" Target="http://www.citroen-servicevanbeers.nl/BROCHURES/Nemo%20Prijslijst.pdf"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mercedes-benz.nl/vans/nl/price-lists" TargetMode="External"/><Relationship Id="rId2" Type="http://schemas.openxmlformats.org/officeDocument/2006/relationships/hyperlink" Target="https://forms.vwbedrijfswagens.nl/site/brochure/download?mc=transporter" TargetMode="External"/><Relationship Id="rId1" Type="http://schemas.openxmlformats.org/officeDocument/2006/relationships/hyperlink" Target="https://forms.vwbedrijfswagens.nl/site/brochure/download" TargetMode="External"/><Relationship Id="rId6" Type="http://schemas.openxmlformats.org/officeDocument/2006/relationships/hyperlink" Target="https://www.pitpointcleanfuels.com/be/showroom/" TargetMode="External"/><Relationship Id="rId5" Type="http://schemas.openxmlformats.org/officeDocument/2006/relationships/hyperlink" Target="https://www.fiatprofessional.com/nl/brochure" TargetMode="External"/><Relationship Id="rId4" Type="http://schemas.openxmlformats.org/officeDocument/2006/relationships/hyperlink" Target="https://www.fiatprofessional.com/nl/brochure"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www.mercedes-benz.nl/content/media_library/netherlands/mpc/bestelwagens_ng/Brochures/nieuwe_vito_gesloten.object-Single-MEDIA.tmp/Vito_GB_-Dubbelcabine_prijslijst_jan_18.pdf" TargetMode="External"/><Relationship Id="rId3" Type="http://schemas.openxmlformats.org/officeDocument/2006/relationships/hyperlink" Target="https://www.anwb.nl/auto/autokosten" TargetMode="External"/><Relationship Id="rId7" Type="http://schemas.openxmlformats.org/officeDocument/2006/relationships/hyperlink" Target="https://media.mercedes-benz.nl/mercedes-benz-vans-introduceert-volledig-elektrische-evito-en-esprinter/" TargetMode="External"/><Relationship Id="rId2" Type="http://schemas.openxmlformats.org/officeDocument/2006/relationships/hyperlink" Target="https://ev-database.nl/" TargetMode="External"/><Relationship Id="rId1" Type="http://schemas.openxmlformats.org/officeDocument/2006/relationships/hyperlink" Target="https://www.autoweek.nl/bpmcalculator/" TargetMode="External"/><Relationship Id="rId6" Type="http://schemas.openxmlformats.org/officeDocument/2006/relationships/hyperlink" Target="https://www.anwb.nl/auto/themas/elektrisch-rijden/top10-elektrische-bestelautos" TargetMode="External"/><Relationship Id="rId5" Type="http://schemas.openxmlformats.org/officeDocument/2006/relationships/hyperlink" Target="https://www.autoweek.nl/bpmcalculator/" TargetMode="External"/><Relationship Id="rId10" Type="http://schemas.openxmlformats.org/officeDocument/2006/relationships/comments" Target="../comments11.xml"/><Relationship Id="rId4" Type="http://schemas.openxmlformats.org/officeDocument/2006/relationships/hyperlink" Target="https://ev-database.nl/" TargetMode="External"/><Relationship Id="rId9" Type="http://schemas.openxmlformats.org/officeDocument/2006/relationships/vmlDrawing" Target="../drawings/vmlDrawing11.vml"/></Relationships>
</file>

<file path=xl/worksheets/_rels/sheet28.xml.rels><?xml version="1.0" encoding="UTF-8" standalone="yes"?>
<Relationships xmlns="http://schemas.openxmlformats.org/package/2006/relationships"><Relationship Id="rId26" Type="http://schemas.openxmlformats.org/officeDocument/2006/relationships/hyperlink" Target="https://en.wikipedia.org/wiki/Peugeot" TargetMode="External"/><Relationship Id="rId21" Type="http://schemas.openxmlformats.org/officeDocument/2006/relationships/hyperlink" Target="https://en.wikipedia.org/wiki/Renault_Clio" TargetMode="External"/><Relationship Id="rId42" Type="http://schemas.openxmlformats.org/officeDocument/2006/relationships/hyperlink" Target="https://en.wikipedia.org/wiki/Audi" TargetMode="External"/><Relationship Id="rId47" Type="http://schemas.openxmlformats.org/officeDocument/2006/relationships/hyperlink" Target="https://en.wikipedia.org/wiki/Mercedes-Benz_S-Class" TargetMode="External"/><Relationship Id="rId63" Type="http://schemas.openxmlformats.org/officeDocument/2006/relationships/hyperlink" Target="https://en.wikipedia.org/wiki/Nissan_Juke" TargetMode="External"/><Relationship Id="rId68" Type="http://schemas.openxmlformats.org/officeDocument/2006/relationships/hyperlink" Target="http://carsalesbase.com/european-car-sales-data/Ford/Ford-Kuga/" TargetMode="External"/><Relationship Id="rId2" Type="http://schemas.openxmlformats.org/officeDocument/2006/relationships/hyperlink" Target="https://en.wikipedia.org/wiki/Volkswagen_Golf" TargetMode="External"/><Relationship Id="rId16" Type="http://schemas.openxmlformats.org/officeDocument/2006/relationships/hyperlink" Target="https://en.wikipedia.org/wiki/Hyundai_Motor_Company" TargetMode="External"/><Relationship Id="rId29" Type="http://schemas.openxmlformats.org/officeDocument/2006/relationships/hyperlink" Target="https://en.wikipedia.org/wiki/Volkswagen" TargetMode="External"/><Relationship Id="rId11" Type="http://schemas.openxmlformats.org/officeDocument/2006/relationships/hyperlink" Target="https://en.wikipedia.org/wiki/Fiat_500_(2007)" TargetMode="External"/><Relationship Id="rId24" Type="http://schemas.openxmlformats.org/officeDocument/2006/relationships/hyperlink" Target="https://en.wikipedia.org/wiki/Ford" TargetMode="External"/><Relationship Id="rId32" Type="http://schemas.openxmlformats.org/officeDocument/2006/relationships/hyperlink" Target="https://en.wikipedia.org/wiki/%C5%A0koda_Superb" TargetMode="External"/><Relationship Id="rId37" Type="http://schemas.openxmlformats.org/officeDocument/2006/relationships/hyperlink" Target="https://en.wikipedia.org/wiki/Renault_Talisman" TargetMode="External"/><Relationship Id="rId40" Type="http://schemas.openxmlformats.org/officeDocument/2006/relationships/hyperlink" Target="https://en.wikipedia.org/wiki/BMW" TargetMode="External"/><Relationship Id="rId45" Type="http://schemas.openxmlformats.org/officeDocument/2006/relationships/hyperlink" Target="https://en.wikipedia.org/wiki/Tesla_Model_S" TargetMode="External"/><Relationship Id="rId53" Type="http://schemas.openxmlformats.org/officeDocument/2006/relationships/hyperlink" Target="https://en.wikipedia.org/wiki/Jaguar_Cars" TargetMode="External"/><Relationship Id="rId58" Type="http://schemas.openxmlformats.org/officeDocument/2006/relationships/hyperlink" Target="https://en.wikipedia.org/wiki/Peugeot_2008" TargetMode="External"/><Relationship Id="rId66" Type="http://schemas.openxmlformats.org/officeDocument/2006/relationships/hyperlink" Target="http://carsalesbase.com/european-car-sales-data/Peugeot/Peugeot-3008/" TargetMode="External"/><Relationship Id="rId74" Type="http://schemas.openxmlformats.org/officeDocument/2006/relationships/hyperlink" Target="http://carsalesbase.com/european-car-sales-data/Land-Rover/Range-Rover-Sport/" TargetMode="External"/><Relationship Id="rId5" Type="http://schemas.openxmlformats.org/officeDocument/2006/relationships/hyperlink" Target="https://en.wikipedia.org/wiki/Opel_Astra" TargetMode="External"/><Relationship Id="rId61" Type="http://schemas.openxmlformats.org/officeDocument/2006/relationships/hyperlink" Target="https://en.wikipedia.org/wiki/Dacia_Duster" TargetMode="External"/><Relationship Id="rId19" Type="http://schemas.openxmlformats.org/officeDocument/2006/relationships/hyperlink" Target="https://en.wikipedia.org/wiki/Toyota_Aygo" TargetMode="External"/><Relationship Id="rId14" Type="http://schemas.openxmlformats.org/officeDocument/2006/relationships/hyperlink" Target="https://en.wikipedia.org/wiki/Volkswagen" TargetMode="External"/><Relationship Id="rId22" Type="http://schemas.openxmlformats.org/officeDocument/2006/relationships/hyperlink" Target="https://en.wikipedia.org/wiki/Volkswagen" TargetMode="External"/><Relationship Id="rId27" Type="http://schemas.openxmlformats.org/officeDocument/2006/relationships/hyperlink" Target="https://en.wikipedia.org/wiki/Peugeot_208" TargetMode="External"/><Relationship Id="rId30" Type="http://schemas.openxmlformats.org/officeDocument/2006/relationships/hyperlink" Target="https://en.wikipedia.org/wiki/Volkswagen_Passat" TargetMode="External"/><Relationship Id="rId35" Type="http://schemas.openxmlformats.org/officeDocument/2006/relationships/hyperlink" Target="https://en.wikipedia.org/wiki/Ford_Mondeo" TargetMode="External"/><Relationship Id="rId43" Type="http://schemas.openxmlformats.org/officeDocument/2006/relationships/hyperlink" Target="https://en.wikipedia.org/wiki/Volvo_Cars" TargetMode="External"/><Relationship Id="rId48" Type="http://schemas.openxmlformats.org/officeDocument/2006/relationships/hyperlink" Target="https://en.wikipedia.org/wiki/BMW" TargetMode="External"/><Relationship Id="rId56" Type="http://schemas.openxmlformats.org/officeDocument/2006/relationships/hyperlink" Target="https://en.wikipedia.org/wiki/Renault_Captur" TargetMode="External"/><Relationship Id="rId64" Type="http://schemas.openxmlformats.org/officeDocument/2006/relationships/hyperlink" Target="http://carsalesbase.com/european-car-sales-data/Nissan/Nissan-Qashqai/" TargetMode="External"/><Relationship Id="rId69" Type="http://schemas.openxmlformats.org/officeDocument/2006/relationships/hyperlink" Target="http://carsalesbase.com/car-sales-europe/car-sales-segments/premium-large-suv-segment/" TargetMode="External"/><Relationship Id="rId8" Type="http://schemas.openxmlformats.org/officeDocument/2006/relationships/hyperlink" Target="https://en.wikipedia.org/wiki/Renault" TargetMode="External"/><Relationship Id="rId51" Type="http://schemas.openxmlformats.org/officeDocument/2006/relationships/hyperlink" Target="https://en.wikipedia.org/wiki/Porsche_Panamera" TargetMode="External"/><Relationship Id="rId72" Type="http://schemas.openxmlformats.org/officeDocument/2006/relationships/hyperlink" Target="http://carsalesbase.com/european-car-sales-data/Audi/Audi-Q7/" TargetMode="External"/><Relationship Id="rId3" Type="http://schemas.openxmlformats.org/officeDocument/2006/relationships/hyperlink" Target="https://en.wikipedia.org/wiki/%C5%A0koda_Auto" TargetMode="External"/><Relationship Id="rId12" Type="http://schemas.openxmlformats.org/officeDocument/2006/relationships/hyperlink" Target="https://en.wikipedia.org/wiki/Fiat" TargetMode="External"/><Relationship Id="rId17" Type="http://schemas.openxmlformats.org/officeDocument/2006/relationships/hyperlink" Target="https://en.wikipedia.org/wiki/Hyundai_i10" TargetMode="External"/><Relationship Id="rId25" Type="http://schemas.openxmlformats.org/officeDocument/2006/relationships/hyperlink" Target="https://en.wikipedia.org/wiki/Ford_Fiesta" TargetMode="External"/><Relationship Id="rId33" Type="http://schemas.openxmlformats.org/officeDocument/2006/relationships/hyperlink" Target="https://en.wikipedia.org/wiki/Opel_Insignia" TargetMode="External"/><Relationship Id="rId38" Type="http://schemas.openxmlformats.org/officeDocument/2006/relationships/hyperlink" Target="https://en.wikipedia.org/wiki/Mercedes-Benz" TargetMode="External"/><Relationship Id="rId46" Type="http://schemas.openxmlformats.org/officeDocument/2006/relationships/hyperlink" Target="https://en.wikipedia.org/wiki/Mercedes-Benz" TargetMode="External"/><Relationship Id="rId59" Type="http://schemas.openxmlformats.org/officeDocument/2006/relationships/hyperlink" Target="https://en.wikipedia.org/wiki/Opel_Mokka" TargetMode="External"/><Relationship Id="rId67" Type="http://schemas.openxmlformats.org/officeDocument/2006/relationships/hyperlink" Target="http://carsalesbase.com/european-car-sales-data/Hyundai/Hyundai-tucson/" TargetMode="External"/><Relationship Id="rId20" Type="http://schemas.openxmlformats.org/officeDocument/2006/relationships/hyperlink" Target="https://en.wikipedia.org/wiki/Renault" TargetMode="External"/><Relationship Id="rId41" Type="http://schemas.openxmlformats.org/officeDocument/2006/relationships/hyperlink" Target="https://en.wikipedia.org/wiki/BMW_5_Series" TargetMode="External"/><Relationship Id="rId54" Type="http://schemas.openxmlformats.org/officeDocument/2006/relationships/hyperlink" Target="https://en.wikipedia.org/wiki/Jaguar_XJ" TargetMode="External"/><Relationship Id="rId62" Type="http://schemas.openxmlformats.org/officeDocument/2006/relationships/hyperlink" Target="https://en.wikipedia.org/wiki/Nissan" TargetMode="External"/><Relationship Id="rId70" Type="http://schemas.openxmlformats.org/officeDocument/2006/relationships/hyperlink" Target="http://carsalesbase.com/european-car-sales-data/BMW/BMW-X5/" TargetMode="External"/><Relationship Id="rId75" Type="http://schemas.openxmlformats.org/officeDocument/2006/relationships/drawing" Target="../drawings/drawing10.xml"/><Relationship Id="rId1" Type="http://schemas.openxmlformats.org/officeDocument/2006/relationships/hyperlink" Target="https://en.wikipedia.org/wiki/Volkswagen" TargetMode="External"/><Relationship Id="rId6" Type="http://schemas.openxmlformats.org/officeDocument/2006/relationships/hyperlink" Target="https://en.wikipedia.org/wiki/Ford" TargetMode="External"/><Relationship Id="rId15" Type="http://schemas.openxmlformats.org/officeDocument/2006/relationships/hyperlink" Target="https://en.wikipedia.org/wiki/Volkswagen_up!" TargetMode="External"/><Relationship Id="rId23" Type="http://schemas.openxmlformats.org/officeDocument/2006/relationships/hyperlink" Target="https://en.wikipedia.org/wiki/Volkswagen_Polo" TargetMode="External"/><Relationship Id="rId28" Type="http://schemas.openxmlformats.org/officeDocument/2006/relationships/hyperlink" Target="https://en.wikipedia.org/wiki/Opel_Corsa" TargetMode="External"/><Relationship Id="rId36" Type="http://schemas.openxmlformats.org/officeDocument/2006/relationships/hyperlink" Target="https://en.wikipedia.org/wiki/Renault" TargetMode="External"/><Relationship Id="rId49" Type="http://schemas.openxmlformats.org/officeDocument/2006/relationships/hyperlink" Target="https://en.wikipedia.org/wiki/BMW_7_Series" TargetMode="External"/><Relationship Id="rId57" Type="http://schemas.openxmlformats.org/officeDocument/2006/relationships/hyperlink" Target="https://en.wikipedia.org/wiki/Peugeot" TargetMode="External"/><Relationship Id="rId10" Type="http://schemas.openxmlformats.org/officeDocument/2006/relationships/hyperlink" Target="https://en.wikipedia.org/wiki/Fiat" TargetMode="External"/><Relationship Id="rId31" Type="http://schemas.openxmlformats.org/officeDocument/2006/relationships/hyperlink" Target="https://en.wikipedia.org/wiki/%C5%A0koda_Auto" TargetMode="External"/><Relationship Id="rId44" Type="http://schemas.openxmlformats.org/officeDocument/2006/relationships/hyperlink" Target="https://en.wikipedia.org/wiki/Tesla,_Inc." TargetMode="External"/><Relationship Id="rId52" Type="http://schemas.openxmlformats.org/officeDocument/2006/relationships/hyperlink" Target="https://en.wikipedia.org/wiki/Audi" TargetMode="External"/><Relationship Id="rId60" Type="http://schemas.openxmlformats.org/officeDocument/2006/relationships/hyperlink" Target="https://en.wikipedia.org/wiki/Automobile_Dacia" TargetMode="External"/><Relationship Id="rId65" Type="http://schemas.openxmlformats.org/officeDocument/2006/relationships/hyperlink" Target="http://carsalesbase.com/european-car-sales-data/Volkswagen/Volkswagen-Tiguan/" TargetMode="External"/><Relationship Id="rId73" Type="http://schemas.openxmlformats.org/officeDocument/2006/relationships/hyperlink" Target="http://carsalesbase.com/european-car-sales-data/Mercedes-Benz/Mercedes-Benz-GLE/" TargetMode="External"/><Relationship Id="rId4" Type="http://schemas.openxmlformats.org/officeDocument/2006/relationships/hyperlink" Target="https://en.wikipedia.org/wiki/%C5%A0koda_Octavia" TargetMode="External"/><Relationship Id="rId9" Type="http://schemas.openxmlformats.org/officeDocument/2006/relationships/hyperlink" Target="https://en.wikipedia.org/wiki/Renault_M%C3%A9gane" TargetMode="External"/><Relationship Id="rId13" Type="http://schemas.openxmlformats.org/officeDocument/2006/relationships/hyperlink" Target="https://en.wikipedia.org/wiki/Fiat_Panda" TargetMode="External"/><Relationship Id="rId18" Type="http://schemas.openxmlformats.org/officeDocument/2006/relationships/hyperlink" Target="https://en.wikipedia.org/wiki/Toyota" TargetMode="External"/><Relationship Id="rId39" Type="http://schemas.openxmlformats.org/officeDocument/2006/relationships/hyperlink" Target="https://en.wikipedia.org/wiki/Mercedes-Benz_E-Class" TargetMode="External"/><Relationship Id="rId34" Type="http://schemas.openxmlformats.org/officeDocument/2006/relationships/hyperlink" Target="https://en.wikipedia.org/wiki/Ford" TargetMode="External"/><Relationship Id="rId50" Type="http://schemas.openxmlformats.org/officeDocument/2006/relationships/hyperlink" Target="https://en.wikipedia.org/wiki/Porsche" TargetMode="External"/><Relationship Id="rId55" Type="http://schemas.openxmlformats.org/officeDocument/2006/relationships/hyperlink" Target="https://en.wikipedia.org/wiki/Renault" TargetMode="External"/><Relationship Id="rId7" Type="http://schemas.openxmlformats.org/officeDocument/2006/relationships/hyperlink" Target="https://en.wikipedia.org/wiki/Ford_Focus" TargetMode="External"/><Relationship Id="rId71" Type="http://schemas.openxmlformats.org/officeDocument/2006/relationships/hyperlink" Target="http://carsalesbase.com/european-car-sales-data/Volvo/Volvo-XC90/"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bovagrai.info/auto/2017/" TargetMode="External"/><Relationship Id="rId3" Type="http://schemas.openxmlformats.org/officeDocument/2006/relationships/hyperlink" Target="https://www.anwb.nl/zakelijk/nieuws/2017/juli/top10-elektrische-bestelautos-2017" TargetMode="External"/><Relationship Id="rId7" Type="http://schemas.openxmlformats.org/officeDocument/2006/relationships/hyperlink" Target="https://bovagrai.info/auto/2017/" TargetMode="External"/><Relationship Id="rId2" Type="http://schemas.openxmlformats.org/officeDocument/2006/relationships/hyperlink" Target="https://autorai.nl/duidelijkheid-over-autosegmenten/" TargetMode="External"/><Relationship Id="rId1" Type="http://schemas.openxmlformats.org/officeDocument/2006/relationships/hyperlink" Target="https://www.anwb.nl/zakelijk/nieuws/2017/juli/top10-elektrische-bestelautos-2017" TargetMode="External"/><Relationship Id="rId6" Type="http://schemas.openxmlformats.org/officeDocument/2006/relationships/hyperlink" Target="https://autorai.nl/duidelijkheid-over-autosegmenten/" TargetMode="External"/><Relationship Id="rId11" Type="http://schemas.openxmlformats.org/officeDocument/2006/relationships/hyperlink" Target="https://ev-database.nl/" TargetMode="External"/><Relationship Id="rId5" Type="http://schemas.openxmlformats.org/officeDocument/2006/relationships/hyperlink" Target="https://www.anwb.nl/auto/themas/elektrisch-rijden/elektrische-autos/welke-autos-zijn-er/welke-autos-zijn-er" TargetMode="External"/><Relationship Id="rId10" Type="http://schemas.openxmlformats.org/officeDocument/2006/relationships/hyperlink" Target="https://groengas.nl/rijden-op-groengas/bedrijfswagens/" TargetMode="External"/><Relationship Id="rId4" Type="http://schemas.openxmlformats.org/officeDocument/2006/relationships/hyperlink" Target="https://www.anwb.nl/auto/themas/elektrisch-rijden/elektrische-autos/welke-autos-zijn-er/welke-autos-zijn-er" TargetMode="External"/><Relationship Id="rId9" Type="http://schemas.openxmlformats.org/officeDocument/2006/relationships/hyperlink" Target="https://www.rdw.nl/zakelijk/branches/fabrikanten-en-importeurs/typegoedkeuring-aanvragen/typegoedkeuren-voertuigen/voertuigcategorieen"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rdw.nl/-/media/rdw/rdw/pdf/sitecollectiondocuments/vt/naslag/brandstofverbruiksboekje-2018.pdf" TargetMode="External"/><Relationship Id="rId13" Type="http://schemas.openxmlformats.org/officeDocument/2006/relationships/hyperlink" Target="https://fastned.nl/nl/kies-je-prijsplan" TargetMode="External"/><Relationship Id="rId18" Type="http://schemas.openxmlformats.org/officeDocument/2006/relationships/hyperlink" Target="https://www.rijksoverheid.nl/onderwerpen/belastingplan" TargetMode="External"/><Relationship Id="rId26" Type="http://schemas.openxmlformats.org/officeDocument/2006/relationships/hyperlink" Target="https://www.consumentenbond.nl/autoverzekering/elektrische-auto-verzekeren-niet-altijd-duurder" TargetMode="External"/><Relationship Id="rId3" Type="http://schemas.openxmlformats.org/officeDocument/2006/relationships/hyperlink" Target="https://opendata.cbs.nl/statline/" TargetMode="External"/><Relationship Id="rId21" Type="http://schemas.openxmlformats.org/officeDocument/2006/relationships/hyperlink" Target="https://mijn.bovag.nl/actueel/nieuws/2019/september/dit-zijn-de-nieuwe-bpm-tarieven-vanaf-juli-2020" TargetMode="External"/><Relationship Id="rId7" Type="http://schemas.openxmlformats.org/officeDocument/2006/relationships/hyperlink" Target="https://www.rvo.nl/subsidies-regelingen/mia-en-vamil/milieulijst-miavamil/branches-en-themas/duurzaam-transport?utm_campaign=327193004&amp;utm_source=google&amp;utm_medium=cpc&amp;utm_content=262160046159&amp;utm_term=mia%20elektrische%20auto%202018&amp;adgroupid=22648406924&amp;gclid=EAIaIQobChMIha6Sq_vu3AIVBeJ3Ch2GvQj_EAAYASAAEgI-0_D_BwE" TargetMode="External"/><Relationship Id="rId12" Type="http://schemas.openxmlformats.org/officeDocument/2006/relationships/hyperlink" Target="https://www.allego.nl/e-rijders/alles-over-laden/wat-kost-laden/" TargetMode="External"/><Relationship Id="rId17" Type="http://schemas.openxmlformats.org/officeDocument/2006/relationships/hyperlink" Target="https://www.ing.nl/media/ING%20-%20Future%20residual%20values%20of%20battery%20electric%20vehicles%20benefit%20from%20increased%20range_tcm162-173053.pdf" TargetMode="External"/><Relationship Id="rId25" Type="http://schemas.openxmlformats.org/officeDocument/2006/relationships/hyperlink" Target="https://www.rijksoverheid.nl/onderwerpen/belastingplan/belastingwijzigingen-voor-ons-klimaat/mrb-bestelbus" TargetMode="External"/><Relationship Id="rId2" Type="http://schemas.openxmlformats.org/officeDocument/2006/relationships/hyperlink" Target="https://www.co2emissiefactoren.nl/lijst-emissiefactoren/" TargetMode="External"/><Relationship Id="rId16" Type="http://schemas.openxmlformats.org/officeDocument/2006/relationships/hyperlink" Target="https://www.duurzaambedrijfsleven.nl/energie/30889/groenlinks-co2-beprijzing" TargetMode="External"/><Relationship Id="rId20" Type="http://schemas.openxmlformats.org/officeDocument/2006/relationships/hyperlink" Target="https://www.belastingdienst.nl/wps/wcm/connect/bldcontentnl/belastingdienst/prive/auto_en_vervoer/belastingen_op_auto_en_motor/motorrijtuigenbelasting/soort_motorrijtuig/bestelauto/" TargetMode="External"/><Relationship Id="rId29" Type="http://schemas.openxmlformats.org/officeDocument/2006/relationships/hyperlink" Target="https://mijn.bovag.nl/downloads/wet-en-regelgeving/samenvatting-prinsjesdag-2019/samenvatting-prinsjesdag-2019" TargetMode="External"/><Relationship Id="rId1" Type="http://schemas.openxmlformats.org/officeDocument/2006/relationships/hyperlink" Target="https://www.anwb.nl/auto/koerslijst" TargetMode="External"/><Relationship Id="rId6" Type="http://schemas.openxmlformats.org/officeDocument/2006/relationships/hyperlink" Target="https://www.anwb.nl/auto/autokosten" TargetMode="External"/><Relationship Id="rId11" Type="http://schemas.openxmlformats.org/officeDocument/2006/relationships/hyperlink" Target="https://ev-database.nl/" TargetMode="External"/><Relationship Id="rId24" Type="http://schemas.openxmlformats.org/officeDocument/2006/relationships/hyperlink" Target="https://mijn.bovag.nl/downloads/wet-en-regelgeving/samenvatting-prinsjesdag-2019/samenvatting-prinsjesdag-2019" TargetMode="External"/><Relationship Id="rId32" Type="http://schemas.openxmlformats.org/officeDocument/2006/relationships/drawing" Target="../drawings/drawing3.xml"/><Relationship Id="rId5" Type="http://schemas.openxmlformats.org/officeDocument/2006/relationships/hyperlink" Target="https://www.rijksoverheid.nl/onderwerpen/belastingen-op-auto-en-motor/motorrijtuigenbelasting-auto-mrb-2019" TargetMode="External"/><Relationship Id="rId15" Type="http://schemas.openxmlformats.org/officeDocument/2006/relationships/hyperlink" Target="https://energeia.nl/fd-artikel/40072313/sterke-stijging-co2-prijs-is-signaal-dat-het-systeem-werkt" TargetMode="External"/><Relationship Id="rId23" Type="http://schemas.openxmlformats.org/officeDocument/2006/relationships/hyperlink" Target="https://raivereniging.nl/nieuws/dossiers/fiscaliteit/bpm/bpm-tarieven-2020.html" TargetMode="External"/><Relationship Id="rId28" Type="http://schemas.openxmlformats.org/officeDocument/2006/relationships/hyperlink" Target="https://www.laadpassen.com/tarieven/" TargetMode="External"/><Relationship Id="rId10" Type="http://schemas.openxmlformats.org/officeDocument/2006/relationships/hyperlink" Target="https://mijn.bovag.nl/dossiers/alles-over-de-wltp" TargetMode="External"/><Relationship Id="rId19" Type="http://schemas.openxmlformats.org/officeDocument/2006/relationships/hyperlink" Target="https://www.anwb.nl/auto/autobelastingen/mrb" TargetMode="External"/><Relationship Id="rId31" Type="http://schemas.openxmlformats.org/officeDocument/2006/relationships/hyperlink" Target="https://ai-mobiliteit.nl/ai-mobiliteit/download/common/aim-rapport-kerncijfers-zorgvervoer-2017.pdf" TargetMode="External"/><Relationship Id="rId4" Type="http://schemas.openxmlformats.org/officeDocument/2006/relationships/hyperlink" Target="https://www.belastingdienst.nl/wps/wcm/connect/bldcontentnl/belastingdienst/prive/auto_en_vervoer/belastingen_op_auto_en_motor/bpm/bpm" TargetMode="External"/><Relationship Id="rId9" Type="http://schemas.openxmlformats.org/officeDocument/2006/relationships/hyperlink" Target="https://www.anwb.nl/auto/besparen/top-10-zuinige-autos/top-10-zuinige-bestelautos-overzicht" TargetMode="External"/><Relationship Id="rId14" Type="http://schemas.openxmlformats.org/officeDocument/2006/relationships/hyperlink" Target="https://www.leaseblog.nl/algemeen/kost-om-elektrische-auto-op-laden/" TargetMode="External"/><Relationship Id="rId22" Type="http://schemas.openxmlformats.org/officeDocument/2006/relationships/hyperlink" Target="https://download.belastingdienst.nl/belastingdienst/docs/bpm_tarieven_bpm0651z6fd.pdf" TargetMode="External"/><Relationship Id="rId27" Type="http://schemas.openxmlformats.org/officeDocument/2006/relationships/hyperlink" Target="https://www.ad.nl/auto/verzekering-elektrische-auto-blijkt-35-procent-duurder-br~ab0fefe6/?referrer=https://www.google.com/" TargetMode="External"/><Relationship Id="rId30" Type="http://schemas.openxmlformats.org/officeDocument/2006/relationships/hyperlink" Target="https://www.pbl.nl/publicaties/klimaat-en-energieverkenning-2019"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evconsult.nl/vijf-tips-voor-laadpunten-op-bedrijfsterreinen-en-bij-kantoorgebouwen/" TargetMode="External"/><Relationship Id="rId2" Type="http://schemas.openxmlformats.org/officeDocument/2006/relationships/hyperlink" Target="https://www.evconsult.nl/vijf-tips-voor-laadpunten-op-bedrijfsterreinen-en-bij-kantoorgebouwen/" TargetMode="External"/><Relationship Id="rId1" Type="http://schemas.openxmlformats.org/officeDocument/2006/relationships/hyperlink" Target="https://www.pianoo.nl/nl/inkoopproces" TargetMode="External"/><Relationship Id="rId4" Type="http://schemas.openxmlformats.org/officeDocument/2006/relationships/hyperlink" Target="https://waterstofwerkt.n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anwb.nl/auto/autokosten" TargetMode="External"/><Relationship Id="rId13" Type="http://schemas.openxmlformats.org/officeDocument/2006/relationships/hyperlink" Target="https://tamoil.nl/tamoil-adviesprijzen" TargetMode="External"/><Relationship Id="rId18" Type="http://schemas.openxmlformats.org/officeDocument/2006/relationships/hyperlink" Target="https://www.laadpassen.com/tarieven/" TargetMode="External"/><Relationship Id="rId3" Type="http://schemas.openxmlformats.org/officeDocument/2006/relationships/hyperlink" Target="https://www.co2emissiefactoren.nl/lijst-emissiefactoren/" TargetMode="External"/><Relationship Id="rId21" Type="http://schemas.openxmlformats.org/officeDocument/2006/relationships/drawing" Target="../drawings/drawing5.xml"/><Relationship Id="rId7" Type="http://schemas.openxmlformats.org/officeDocument/2006/relationships/hyperlink" Target="https://www.nibud.nl/consumenten/wat-kost-een-auto/" TargetMode="External"/><Relationship Id="rId12" Type="http://schemas.openxmlformats.org/officeDocument/2006/relationships/hyperlink" Target="https://www.cbs.nl/nl-nl/maatwerk/2018/04/rendementen-en-co2-emissie-elektriciteitsproductie-2016" TargetMode="External"/><Relationship Id="rId17" Type="http://schemas.openxmlformats.org/officeDocument/2006/relationships/hyperlink" Target="https://www.laadpassen.com/tarieven/" TargetMode="External"/><Relationship Id="rId2" Type="http://schemas.openxmlformats.org/officeDocument/2006/relationships/hyperlink" Target="http://statline.cbs.nl/StatWeb/publication/?DM=SLNL&amp;PA=81567NED" TargetMode="External"/><Relationship Id="rId16" Type="http://schemas.openxmlformats.org/officeDocument/2006/relationships/hyperlink" Target="https://groengas.nl/rijden-op-groengas/calculator/" TargetMode="External"/><Relationship Id="rId20" Type="http://schemas.openxmlformats.org/officeDocument/2006/relationships/hyperlink" Target="https://www.duurzaambedrijfsleven.nl/energie/30889/groenlinks-co2-beprijzing" TargetMode="External"/><Relationship Id="rId1" Type="http://schemas.openxmlformats.org/officeDocument/2006/relationships/hyperlink" Target="https://www.belastingdienst.nl/wps/wcm/connect/bldcontentnl/belastingdienst/prive/auto_en_vervoer/belastingen_op_auto_en_motor/bpm/bpm" TargetMode="External"/><Relationship Id="rId6" Type="http://schemas.openxmlformats.org/officeDocument/2006/relationships/hyperlink" Target="https://www.rvo.nl/subsidies-regelingen/mia-en-vamil/milieulijst-miavamil/branches-en-themas/duurzaam-transport?utm_campaign=327193004&amp;utm_source=google&amp;utm_medium=cpc&amp;utm_content=262160046159&amp;utm_term=mia%20elektrische%20auto%202018&amp;adgroupid=22648406924&amp;gclid=EAIaIQobChMIha6Sq_vu3AIVBeJ3Ch2GvQj_EAAYASAAEgI-0_D_BwE" TargetMode="External"/><Relationship Id="rId11" Type="http://schemas.openxmlformats.org/officeDocument/2006/relationships/hyperlink" Target="https://www.anwb.nl/auto/kopen/auto-kiezen/autokosten" TargetMode="External"/><Relationship Id="rId5" Type="http://schemas.openxmlformats.org/officeDocument/2006/relationships/hyperlink" Target="https://www.belastingdienst.nl/wps/wcm/connect/bldcontentnl/belastingdienst/zakelijk/winst/inkomstenbelasting/veranderingen-inkomstenbelasting-2018/bijtelling-privegebruik-auto-2018" TargetMode="External"/><Relationship Id="rId15" Type="http://schemas.openxmlformats.org/officeDocument/2006/relationships/hyperlink" Target="https://www.anwb.nl/auto/autobelastingen/bpm" TargetMode="External"/><Relationship Id="rId23" Type="http://schemas.openxmlformats.org/officeDocument/2006/relationships/comments" Target="../comments1.xml"/><Relationship Id="rId10" Type="http://schemas.openxmlformats.org/officeDocument/2006/relationships/hyperlink" Target="https://www.anwb.nl/auto/koerslijst" TargetMode="External"/><Relationship Id="rId19" Type="http://schemas.openxmlformats.org/officeDocument/2006/relationships/hyperlink" Target="https://energeia.nl/fd-artikel/40072313/sterke-stijging-co2-prijs-is-signaal-dat-het-systeem-werkt" TargetMode="External"/><Relationship Id="rId4" Type="http://schemas.openxmlformats.org/officeDocument/2006/relationships/hyperlink" Target="https://www.belastingdienst.nl/wps/wcm/connect/nl/auto-en-vervoer/content/hulpmiddel-motorrijtuigenbelasting-berekenen" TargetMode="External"/><Relationship Id="rId9" Type="http://schemas.openxmlformats.org/officeDocument/2006/relationships/hyperlink" Target="https://www.anwb.nl/auto/nieuws/2012/november/elektrische-auto-goedkoper-in-onderhoud" TargetMode="External"/><Relationship Id="rId14" Type="http://schemas.openxmlformats.org/officeDocument/2006/relationships/hyperlink" Target="https://www.anwb.nl/auto/autobelastingen/bijtelling" TargetMode="External"/><Relationship Id="rId22"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66480-0501-7B47-9EE3-99165E748FC6}">
  <sheetPr codeName="Sheet19">
    <tabColor rgb="FFFFC000"/>
  </sheetPr>
  <dimension ref="B1:K36"/>
  <sheetViews>
    <sheetView tabSelected="1" zoomScaleNormal="100" workbookViewId="0">
      <selection activeCell="H3" sqref="H3:K4"/>
    </sheetView>
  </sheetViews>
  <sheetFormatPr baseColWidth="10" defaultRowHeight="16"/>
  <cols>
    <col min="1" max="1" width="3.83203125" customWidth="1"/>
    <col min="2" max="2" width="61.33203125" customWidth="1"/>
    <col min="3" max="3" width="28.1640625" customWidth="1"/>
    <col min="5" max="5" width="9.1640625" customWidth="1"/>
    <col min="6" max="6" width="10.1640625" customWidth="1"/>
    <col min="7" max="7" width="4" customWidth="1"/>
    <col min="8" max="8" width="6.6640625" customWidth="1"/>
    <col min="9" max="9" width="22.83203125" customWidth="1"/>
    <col min="11" max="11" width="66.5" customWidth="1"/>
  </cols>
  <sheetData>
    <row r="1" spans="2:11" ht="44" customHeight="1" thickBot="1">
      <c r="B1" s="1189"/>
      <c r="C1" s="1189"/>
      <c r="D1" s="1189"/>
      <c r="E1" s="1189"/>
      <c r="F1" s="1189"/>
      <c r="G1" s="1189"/>
      <c r="H1" s="1189"/>
      <c r="I1" s="1189"/>
      <c r="J1" s="1189"/>
      <c r="K1" s="1189"/>
    </row>
    <row r="2" spans="2:11" ht="29" thickBot="1">
      <c r="B2" s="1208" t="s">
        <v>4363</v>
      </c>
      <c r="C2" s="1209"/>
      <c r="D2" s="1209"/>
      <c r="E2" s="1209"/>
      <c r="F2" s="1210"/>
      <c r="H2" s="1178" t="s">
        <v>4365</v>
      </c>
      <c r="I2" s="1181"/>
      <c r="J2" s="1181"/>
      <c r="K2" s="1182"/>
    </row>
    <row r="3" spans="2:11" ht="154" customHeight="1">
      <c r="B3" s="1202" t="s">
        <v>4439</v>
      </c>
      <c r="C3" s="1203"/>
      <c r="D3" s="1203"/>
      <c r="E3" s="1203"/>
      <c r="F3" s="1204"/>
      <c r="H3" s="1183"/>
      <c r="I3" s="1184"/>
      <c r="J3" s="1184"/>
      <c r="K3" s="1185"/>
    </row>
    <row r="4" spans="2:11" ht="338" customHeight="1" thickBot="1">
      <c r="B4" s="1205"/>
      <c r="C4" s="1206"/>
      <c r="D4" s="1206"/>
      <c r="E4" s="1206"/>
      <c r="F4" s="1207"/>
      <c r="H4" s="1186"/>
      <c r="I4" s="1187"/>
      <c r="J4" s="1187"/>
      <c r="K4" s="1188"/>
    </row>
    <row r="5" spans="2:11" ht="16" customHeight="1" thickBot="1"/>
    <row r="6" spans="2:11" ht="29" thickBot="1">
      <c r="B6" s="1211" t="s">
        <v>4364</v>
      </c>
      <c r="C6" s="1212"/>
      <c r="D6" s="1212"/>
      <c r="E6" s="1212"/>
      <c r="F6" s="1213"/>
      <c r="H6" s="1178" t="s">
        <v>4173</v>
      </c>
      <c r="I6" s="1179"/>
      <c r="J6" s="1179"/>
      <c r="K6" s="1180"/>
    </row>
    <row r="7" spans="2:11" ht="409" customHeight="1">
      <c r="B7" s="1202" t="s">
        <v>4440</v>
      </c>
      <c r="C7" s="1203"/>
      <c r="D7" s="1203"/>
      <c r="E7" s="1203"/>
      <c r="F7" s="1204"/>
      <c r="H7" s="1190" t="s">
        <v>4441</v>
      </c>
      <c r="I7" s="1191"/>
      <c r="J7" s="1191"/>
      <c r="K7" s="1192"/>
    </row>
    <row r="8" spans="2:11" ht="46" customHeight="1" thickBot="1">
      <c r="B8" s="1205"/>
      <c r="C8" s="1206"/>
      <c r="D8" s="1206"/>
      <c r="E8" s="1206"/>
      <c r="F8" s="1207"/>
      <c r="G8" s="349"/>
      <c r="H8" s="350" t="s">
        <v>4174</v>
      </c>
      <c r="I8" s="1193" t="s">
        <v>4175</v>
      </c>
      <c r="J8" s="1194"/>
      <c r="K8" s="1195"/>
    </row>
    <row r="9" spans="2:11" ht="17" thickBot="1">
      <c r="B9" s="1"/>
      <c r="C9" s="1"/>
      <c r="D9" s="1"/>
      <c r="E9" s="1"/>
      <c r="F9" s="1"/>
    </row>
    <row r="10" spans="2:11" ht="29" thickBot="1">
      <c r="B10" s="1196" t="s">
        <v>4180</v>
      </c>
      <c r="C10" s="1197"/>
      <c r="D10" s="1197"/>
      <c r="E10" s="1197"/>
      <c r="F10" s="1198"/>
      <c r="H10" s="1178" t="s">
        <v>4179</v>
      </c>
      <c r="I10" s="1179"/>
      <c r="J10" s="1179"/>
      <c r="K10" s="1180"/>
    </row>
    <row r="11" spans="2:11" ht="374" customHeight="1" thickBot="1">
      <c r="B11" s="1199" t="s">
        <v>4376</v>
      </c>
      <c r="C11" s="1200"/>
      <c r="D11" s="1200"/>
      <c r="E11" s="1200"/>
      <c r="F11" s="1201"/>
      <c r="H11" s="1186"/>
      <c r="I11" s="1187"/>
      <c r="J11" s="1187"/>
      <c r="K11" s="1188"/>
    </row>
    <row r="12" spans="2:11" ht="17" thickBot="1"/>
    <row r="13" spans="2:11" ht="33" customHeight="1" thickBot="1">
      <c r="B13" s="1178" t="s">
        <v>4178</v>
      </c>
      <c r="C13" s="1179"/>
      <c r="D13" s="1179"/>
      <c r="E13" s="1179"/>
      <c r="F13" s="1181"/>
      <c r="G13" s="1181"/>
      <c r="H13" s="1181"/>
      <c r="I13" s="1181"/>
      <c r="J13" s="1181"/>
      <c r="K13" s="1182"/>
    </row>
    <row r="14" spans="2:11" ht="303" customHeight="1">
      <c r="B14" s="1183"/>
      <c r="C14" s="1184"/>
      <c r="D14" s="1184"/>
      <c r="E14" s="1184"/>
      <c r="F14" s="1184"/>
      <c r="G14" s="1184"/>
      <c r="H14" s="1184"/>
      <c r="I14" s="1184"/>
      <c r="J14" s="1184"/>
      <c r="K14" s="1185"/>
    </row>
    <row r="15" spans="2:11" ht="37" customHeight="1" thickBot="1">
      <c r="B15" s="1186"/>
      <c r="C15" s="1187"/>
      <c r="D15" s="1187"/>
      <c r="E15" s="1187"/>
      <c r="F15" s="1187"/>
      <c r="G15" s="1187"/>
      <c r="H15" s="1187"/>
      <c r="I15" s="1187"/>
      <c r="J15" s="1187"/>
      <c r="K15" s="1188"/>
    </row>
    <row r="16" spans="2:11">
      <c r="B16" s="161"/>
      <c r="C16" s="161"/>
      <c r="D16" s="161"/>
      <c r="E16" s="161"/>
      <c r="F16" s="161"/>
      <c r="G16" s="161"/>
      <c r="H16" s="161"/>
      <c r="I16" s="161"/>
      <c r="J16" s="161"/>
      <c r="K16" s="161"/>
    </row>
    <row r="17" spans="2:11">
      <c r="B17" s="161"/>
      <c r="C17" s="161"/>
      <c r="D17" s="161"/>
      <c r="E17" s="161"/>
      <c r="F17" s="161"/>
      <c r="G17" s="161"/>
      <c r="H17" s="161"/>
      <c r="I17" s="161"/>
      <c r="J17" s="161"/>
      <c r="K17" s="161"/>
    </row>
    <row r="18" spans="2:11">
      <c r="B18" s="161"/>
      <c r="C18" s="161"/>
      <c r="D18" s="161"/>
      <c r="E18" s="161"/>
      <c r="F18" s="161"/>
      <c r="G18" s="161"/>
      <c r="H18" s="161"/>
      <c r="I18" s="161"/>
      <c r="J18" s="161"/>
      <c r="K18" s="161"/>
    </row>
    <row r="19" spans="2:11">
      <c r="B19" s="161"/>
      <c r="C19" s="161"/>
      <c r="D19" s="161"/>
      <c r="E19" s="161"/>
      <c r="F19" s="161"/>
      <c r="G19" s="161"/>
      <c r="H19" s="161"/>
      <c r="I19" s="161"/>
      <c r="J19" s="161"/>
      <c r="K19" s="161"/>
    </row>
    <row r="20" spans="2:11">
      <c r="B20" s="161"/>
      <c r="C20" s="161"/>
      <c r="D20" s="161"/>
      <c r="E20" s="161"/>
      <c r="F20" s="161"/>
      <c r="G20" s="161"/>
      <c r="H20" s="161"/>
      <c r="I20" s="161"/>
      <c r="J20" s="161"/>
      <c r="K20" s="161"/>
    </row>
    <row r="21" spans="2:11">
      <c r="B21" s="161"/>
      <c r="C21" s="161"/>
      <c r="D21" s="161"/>
      <c r="E21" s="161"/>
      <c r="F21" s="161"/>
      <c r="G21" s="161"/>
      <c r="H21" s="161"/>
      <c r="I21" s="161"/>
      <c r="J21" s="161"/>
      <c r="K21" s="161"/>
    </row>
    <row r="22" spans="2:11">
      <c r="B22" s="161"/>
      <c r="C22" s="161"/>
      <c r="D22" s="161"/>
      <c r="E22" s="161"/>
      <c r="F22" s="161"/>
      <c r="G22" s="161"/>
      <c r="H22" s="161"/>
      <c r="I22" s="161"/>
      <c r="J22" s="161"/>
      <c r="K22" s="161"/>
    </row>
    <row r="23" spans="2:11">
      <c r="B23" s="161"/>
      <c r="C23" s="161"/>
      <c r="D23" s="161"/>
      <c r="E23" s="161"/>
      <c r="F23" s="161"/>
      <c r="G23" s="161"/>
      <c r="H23" s="161"/>
      <c r="I23" s="161"/>
      <c r="J23" s="161"/>
      <c r="K23" s="161"/>
    </row>
    <row r="24" spans="2:11">
      <c r="B24" s="161"/>
      <c r="C24" s="161"/>
      <c r="D24" s="161"/>
      <c r="E24" s="161"/>
      <c r="F24" s="161"/>
      <c r="G24" s="161"/>
      <c r="H24" s="161"/>
      <c r="I24" s="161"/>
      <c r="J24" s="161"/>
      <c r="K24" s="161"/>
    </row>
    <row r="25" spans="2:11">
      <c r="B25" s="161"/>
      <c r="C25" s="161"/>
      <c r="D25" s="161"/>
      <c r="E25" s="161"/>
      <c r="F25" s="161"/>
      <c r="G25" s="161"/>
      <c r="H25" s="161"/>
      <c r="I25" s="161"/>
      <c r="J25" s="161"/>
      <c r="K25" s="161"/>
    </row>
    <row r="26" spans="2:11">
      <c r="B26" s="161"/>
      <c r="C26" s="161"/>
      <c r="D26" s="161"/>
      <c r="E26" s="161"/>
      <c r="F26" s="161"/>
      <c r="G26" s="161"/>
      <c r="H26" s="161"/>
      <c r="I26" s="161"/>
      <c r="J26" s="161"/>
      <c r="K26" s="161"/>
    </row>
    <row r="27" spans="2:11">
      <c r="B27" s="161"/>
      <c r="C27" s="161"/>
      <c r="D27" s="161"/>
      <c r="E27" s="161"/>
      <c r="F27" s="161"/>
      <c r="G27" s="161"/>
      <c r="H27" s="161"/>
      <c r="I27" s="161"/>
      <c r="J27" s="161"/>
      <c r="K27" s="161"/>
    </row>
    <row r="28" spans="2:11">
      <c r="B28" s="161"/>
      <c r="C28" s="161"/>
      <c r="D28" s="161"/>
      <c r="E28" s="161"/>
      <c r="F28" s="161"/>
      <c r="G28" s="161"/>
      <c r="H28" s="161"/>
      <c r="I28" s="161"/>
      <c r="J28" s="161"/>
      <c r="K28" s="161"/>
    </row>
    <row r="29" spans="2:11">
      <c r="B29" s="161"/>
      <c r="C29" s="161"/>
      <c r="D29" s="161"/>
      <c r="E29" s="161"/>
      <c r="F29" s="161"/>
      <c r="G29" s="161"/>
      <c r="H29" s="161"/>
      <c r="I29" s="161"/>
      <c r="J29" s="161"/>
      <c r="K29" s="161"/>
    </row>
    <row r="30" spans="2:11">
      <c r="B30" s="161"/>
      <c r="C30" s="161"/>
      <c r="D30" s="161"/>
      <c r="E30" s="161"/>
      <c r="F30" s="161"/>
      <c r="G30" s="161"/>
      <c r="H30" s="161"/>
      <c r="I30" s="161"/>
      <c r="J30" s="161"/>
      <c r="K30" s="161"/>
    </row>
    <row r="31" spans="2:11">
      <c r="B31" s="161"/>
      <c r="C31" s="161"/>
      <c r="D31" s="161"/>
      <c r="E31" s="161"/>
      <c r="F31" s="161"/>
      <c r="G31" s="161"/>
      <c r="H31" s="161"/>
      <c r="I31" s="161"/>
      <c r="J31" s="161"/>
      <c r="K31" s="161"/>
    </row>
    <row r="32" spans="2:11">
      <c r="B32" s="161"/>
      <c r="C32" s="161"/>
      <c r="D32" s="161"/>
      <c r="E32" s="161"/>
      <c r="F32" s="161"/>
      <c r="G32" s="161"/>
      <c r="H32" s="161"/>
      <c r="I32" s="161"/>
      <c r="J32" s="161"/>
      <c r="K32" s="161"/>
    </row>
    <row r="33" spans="2:11">
      <c r="B33" s="161"/>
      <c r="C33" s="161"/>
      <c r="D33" s="161"/>
      <c r="E33" s="161"/>
      <c r="F33" s="161"/>
      <c r="G33" s="161"/>
      <c r="H33" s="161"/>
      <c r="I33" s="161"/>
      <c r="J33" s="161"/>
      <c r="K33" s="161"/>
    </row>
    <row r="34" spans="2:11">
      <c r="B34" s="161"/>
      <c r="C34" s="161"/>
      <c r="D34" s="161"/>
      <c r="E34" s="161"/>
      <c r="F34" s="161"/>
      <c r="G34" s="161"/>
      <c r="H34" s="161"/>
      <c r="I34" s="161"/>
      <c r="J34" s="161"/>
      <c r="K34" s="161"/>
    </row>
    <row r="35" spans="2:11">
      <c r="B35" s="161"/>
      <c r="C35" s="161"/>
      <c r="D35" s="161"/>
      <c r="E35" s="161"/>
      <c r="F35" s="161"/>
      <c r="G35" s="161"/>
      <c r="H35" s="161"/>
      <c r="I35" s="161"/>
      <c r="J35" s="161"/>
      <c r="K35" s="161"/>
    </row>
    <row r="36" spans="2:11">
      <c r="B36" s="161"/>
      <c r="C36" s="161"/>
      <c r="D36" s="161"/>
      <c r="E36" s="161"/>
      <c r="F36" s="161"/>
      <c r="G36" s="161"/>
      <c r="H36" s="161"/>
      <c r="I36" s="161"/>
      <c r="J36" s="161"/>
      <c r="K36" s="161"/>
    </row>
  </sheetData>
  <sheetProtection algorithmName="SHA-512" hashValue="s0eT8z5Eezww3+4QjKN9HuHjfQgVTxqmPWt0Q+5WqULNVoRyvXOiZHFcziKlw1BXETP0uWjhxYd5MdR3avgoBA==" saltValue="ETgHHUsvSK9bpeuA0/S5kg==" spinCount="100000" sheet="1" objects="1" scenarios="1"/>
  <mergeCells count="16">
    <mergeCell ref="H10:K10"/>
    <mergeCell ref="B13:K13"/>
    <mergeCell ref="B14:K15"/>
    <mergeCell ref="B1:K1"/>
    <mergeCell ref="H7:K7"/>
    <mergeCell ref="H3:K4"/>
    <mergeCell ref="H11:K11"/>
    <mergeCell ref="I8:K8"/>
    <mergeCell ref="B10:F10"/>
    <mergeCell ref="B11:F11"/>
    <mergeCell ref="B7:F8"/>
    <mergeCell ref="B2:F2"/>
    <mergeCell ref="B3:F4"/>
    <mergeCell ref="B6:F6"/>
    <mergeCell ref="H6:K6"/>
    <mergeCell ref="H2:K2"/>
  </mergeCells>
  <hyperlinks>
    <hyperlink ref="I8" r:id="rId1" xr:uid="{D32B1ECC-3E38-4E4B-8616-F402B65F290C}"/>
    <hyperlink ref="I8:K8" r:id="rId2" tooltip="Natuur &amp; Milieu, Factsheet brandstofranking" display="https://www.natuurenmilieu.nl/nieuwsberichten/brandstofranking/" xr:uid="{7F627546-6638-894E-8907-3A0E490B350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A9782-B192-AB42-92CF-AA2780E025EA}">
  <sheetPr codeName="Sheet6">
    <tabColor theme="9"/>
  </sheetPr>
  <dimension ref="A1:CC149"/>
  <sheetViews>
    <sheetView topLeftCell="B1" zoomScaleNormal="100" workbookViewId="0">
      <pane ySplit="1" topLeftCell="A97" activePane="bottomLeft" state="frozen"/>
      <selection pane="bottomLeft" activeCell="B1" sqref="A1:XFD1048576"/>
    </sheetView>
  </sheetViews>
  <sheetFormatPr baseColWidth="10" defaultColWidth="8.83203125" defaultRowHeight="15"/>
  <cols>
    <col min="1" max="1" width="4" style="176" customWidth="1"/>
    <col min="2" max="2" width="14" style="176" bestFit="1" customWidth="1"/>
    <col min="3" max="3" width="16.6640625" style="176" bestFit="1" customWidth="1"/>
    <col min="4" max="4" width="16.6640625" style="176" customWidth="1"/>
    <col min="5" max="5" width="20.1640625" style="176" customWidth="1"/>
    <col min="6" max="6" width="3.83203125" style="176" customWidth="1"/>
    <col min="7" max="7" width="15.33203125" style="176" customWidth="1"/>
    <col min="8" max="8" width="13.33203125" style="176" bestFit="1" customWidth="1"/>
    <col min="9" max="9" width="17.5" style="176" bestFit="1" customWidth="1"/>
    <col min="10" max="10" width="14.83203125" style="176" customWidth="1"/>
    <col min="11" max="11" width="2.33203125" style="176" customWidth="1"/>
    <col min="12" max="12" width="11.1640625" style="176" bestFit="1" customWidth="1"/>
    <col min="13" max="13" width="13.33203125" style="176" bestFit="1" customWidth="1"/>
    <col min="14" max="14" width="14.83203125" style="176" bestFit="1" customWidth="1"/>
    <col min="15" max="15" width="14.83203125" style="176" customWidth="1"/>
    <col min="16" max="16" width="16" style="176" customWidth="1"/>
    <col min="17" max="17" width="14.83203125" style="176" customWidth="1"/>
    <col min="18" max="18" width="3.1640625" style="176" customWidth="1"/>
    <col min="19" max="19" width="21.6640625" style="176" customWidth="1"/>
    <col min="20" max="20" width="3.1640625" style="176" customWidth="1"/>
    <col min="21" max="22" width="16.6640625" style="176" customWidth="1"/>
    <col min="23" max="23" width="14.1640625" style="176" customWidth="1"/>
    <col min="24" max="24" width="16" style="176" customWidth="1"/>
    <col min="25" max="25" width="12.83203125" style="176" customWidth="1"/>
    <col min="26" max="26" width="13.6640625" style="176" customWidth="1"/>
    <col min="27" max="28" width="15.1640625" style="176" customWidth="1"/>
    <col min="29" max="29" width="3.33203125" style="176" customWidth="1"/>
    <col min="30" max="31" width="16" style="176" customWidth="1"/>
    <col min="32" max="32" width="11" style="176" bestFit="1" customWidth="1"/>
    <col min="33" max="33" width="11" style="176" customWidth="1"/>
    <col min="34" max="34" width="12.5" style="176" customWidth="1"/>
    <col min="35" max="35" width="13.1640625" style="176" customWidth="1"/>
    <col min="36" max="37" width="11" style="176" customWidth="1"/>
    <col min="38" max="39" width="13.6640625" style="176" customWidth="1"/>
    <col min="40" max="40" width="3" style="176" customWidth="1"/>
    <col min="41" max="42" width="15.1640625" style="176" customWidth="1"/>
    <col min="43" max="44" width="15.6640625" style="176" customWidth="1"/>
    <col min="45" max="46" width="16.1640625" style="176" customWidth="1"/>
    <col min="47" max="47" width="15.83203125" style="176" customWidth="1"/>
    <col min="48" max="48" width="11.5" style="176" customWidth="1"/>
    <col min="49" max="49" width="13.83203125" style="176" customWidth="1"/>
    <col min="50" max="50" width="13" style="176" customWidth="1"/>
    <col min="51" max="52" width="11.5" style="176" customWidth="1"/>
    <col min="53" max="54" width="12.83203125" style="176" customWidth="1"/>
    <col min="55" max="55" width="2.6640625" style="176" customWidth="1"/>
    <col min="56" max="57" width="10.5" style="176" customWidth="1"/>
    <col min="58" max="58" width="13.6640625" style="176" customWidth="1"/>
    <col min="59" max="59" width="9.33203125" style="176" customWidth="1"/>
    <col min="60" max="61" width="16.83203125" style="176" customWidth="1"/>
    <col min="62" max="62" width="3.6640625" style="176" customWidth="1"/>
    <col min="63" max="64" width="16.6640625" style="176" customWidth="1"/>
    <col min="65" max="65" width="3" style="176" customWidth="1"/>
    <col min="66" max="66" width="12.6640625" style="176" customWidth="1"/>
    <col min="67" max="67" width="11.33203125" style="176" customWidth="1"/>
    <col min="68" max="68" width="2.83203125" style="176" customWidth="1"/>
    <col min="69" max="70" width="12.83203125" style="176" customWidth="1"/>
    <col min="71" max="71" width="2.33203125" style="176" customWidth="1"/>
    <col min="72" max="73" width="12.33203125" style="176" customWidth="1"/>
    <col min="74" max="74" width="3.33203125" style="176" customWidth="1"/>
    <col min="75" max="75" width="25.33203125" style="176" bestFit="1" customWidth="1"/>
    <col min="76" max="76" width="26.1640625" style="176" bestFit="1" customWidth="1"/>
    <col min="77" max="77" width="26.1640625" style="176" customWidth="1"/>
    <col min="78" max="78" width="3.83203125" style="176" customWidth="1"/>
    <col min="79" max="79" width="25.33203125" style="176" bestFit="1" customWidth="1"/>
    <col min="80" max="80" width="26.1640625" style="176" bestFit="1" customWidth="1"/>
    <col min="81" max="81" width="26.1640625" style="176" customWidth="1"/>
    <col min="82" max="16384" width="8.83203125" style="176"/>
  </cols>
  <sheetData>
    <row r="1" spans="1:81" ht="17" thickBot="1">
      <c r="B1" s="839"/>
      <c r="C1" s="840"/>
      <c r="D1" s="840"/>
      <c r="E1" s="841"/>
      <c r="G1" s="1572" t="s">
        <v>270</v>
      </c>
      <c r="H1" s="1573"/>
      <c r="I1" s="1573"/>
      <c r="J1" s="1552"/>
      <c r="L1" s="1572" t="s">
        <v>271</v>
      </c>
      <c r="M1" s="1582"/>
      <c r="N1" s="1582"/>
      <c r="O1" s="1582"/>
      <c r="P1" s="1582"/>
      <c r="Q1" s="1583"/>
      <c r="S1" s="492" t="s">
        <v>1707</v>
      </c>
      <c r="U1" s="1574" t="s">
        <v>272</v>
      </c>
      <c r="V1" s="1575"/>
      <c r="W1" s="1575"/>
      <c r="X1" s="1575"/>
      <c r="Y1" s="1575"/>
      <c r="Z1" s="1575"/>
      <c r="AA1" s="1575"/>
      <c r="AB1" s="1575"/>
      <c r="AD1" s="1576" t="s">
        <v>273</v>
      </c>
      <c r="AE1" s="1577"/>
      <c r="AF1" s="1577"/>
      <c r="AG1" s="1577"/>
      <c r="AH1" s="1577"/>
      <c r="AI1" s="1577"/>
      <c r="AJ1" s="1577"/>
      <c r="AK1" s="1577"/>
      <c r="AL1" s="1577"/>
      <c r="AM1" s="1578"/>
      <c r="AO1" s="1579" t="s">
        <v>274</v>
      </c>
      <c r="AP1" s="1580"/>
      <c r="AQ1" s="1580"/>
      <c r="AR1" s="1580"/>
      <c r="AS1" s="1580"/>
      <c r="AT1" s="1580"/>
      <c r="AU1" s="1580"/>
      <c r="AV1" s="1580"/>
      <c r="AW1" s="1580"/>
      <c r="AX1" s="1580"/>
      <c r="AY1" s="1580"/>
      <c r="AZ1" s="1580"/>
      <c r="BA1" s="1580"/>
      <c r="BB1" s="1581"/>
      <c r="BD1" s="1579" t="s">
        <v>275</v>
      </c>
      <c r="BE1" s="1580"/>
      <c r="BF1" s="1580"/>
      <c r="BG1" s="1580"/>
      <c r="BH1" s="1580"/>
      <c r="BI1" s="1580"/>
      <c r="BJ1" s="1580"/>
      <c r="BK1" s="1580"/>
      <c r="BL1" s="1580"/>
      <c r="BM1" s="1580"/>
      <c r="BN1" s="1580"/>
      <c r="BO1" s="1580"/>
      <c r="BP1" s="1580"/>
      <c r="BQ1" s="1580"/>
      <c r="BR1" s="1580"/>
      <c r="BS1" s="1580"/>
      <c r="BT1" s="1580"/>
      <c r="BU1" s="1581"/>
      <c r="BV1" s="842"/>
      <c r="BW1" s="1569" t="s">
        <v>276</v>
      </c>
      <c r="BX1" s="1570"/>
      <c r="BY1" s="1571"/>
      <c r="BZ1" s="843"/>
      <c r="CA1" s="1569" t="s">
        <v>675</v>
      </c>
      <c r="CB1" s="1570"/>
      <c r="CC1" s="1571"/>
    </row>
    <row r="2" spans="1:81" s="844" customFormat="1" ht="53" customHeight="1">
      <c r="B2" s="845" t="s">
        <v>0</v>
      </c>
      <c r="C2" s="846" t="s">
        <v>277</v>
      </c>
      <c r="D2" s="847" t="s">
        <v>4261</v>
      </c>
      <c r="E2" s="848" t="s">
        <v>278</v>
      </c>
      <c r="F2" s="849"/>
      <c r="G2" s="845" t="s">
        <v>279</v>
      </c>
      <c r="H2" s="846" t="s">
        <v>280</v>
      </c>
      <c r="I2" s="846" t="s">
        <v>281</v>
      </c>
      <c r="J2" s="850" t="s">
        <v>810</v>
      </c>
      <c r="L2" s="845" t="s">
        <v>279</v>
      </c>
      <c r="M2" s="846" t="s">
        <v>280</v>
      </c>
      <c r="N2" s="846" t="s">
        <v>281</v>
      </c>
      <c r="O2" s="846" t="s">
        <v>810</v>
      </c>
      <c r="P2" s="846" t="s">
        <v>282</v>
      </c>
      <c r="Q2" s="850" t="s">
        <v>1537</v>
      </c>
      <c r="S2" s="851" t="s">
        <v>2018</v>
      </c>
      <c r="U2" s="852" t="s">
        <v>283</v>
      </c>
      <c r="V2" s="853" t="s">
        <v>1696</v>
      </c>
      <c r="W2" s="854" t="s">
        <v>284</v>
      </c>
      <c r="X2" s="854" t="s">
        <v>1698</v>
      </c>
      <c r="Y2" s="854" t="s">
        <v>678</v>
      </c>
      <c r="Z2" s="853" t="s">
        <v>285</v>
      </c>
      <c r="AA2" s="853" t="s">
        <v>852</v>
      </c>
      <c r="AB2" s="855" t="s">
        <v>1697</v>
      </c>
      <c r="AD2" s="852" t="s">
        <v>283</v>
      </c>
      <c r="AE2" s="853" t="s">
        <v>1696</v>
      </c>
      <c r="AF2" s="854" t="s">
        <v>284</v>
      </c>
      <c r="AG2" s="854" t="s">
        <v>1698</v>
      </c>
      <c r="AH2" s="854" t="s">
        <v>679</v>
      </c>
      <c r="AI2" s="853" t="s">
        <v>285</v>
      </c>
      <c r="AJ2" s="854" t="s">
        <v>286</v>
      </c>
      <c r="AK2" s="854" t="s">
        <v>1700</v>
      </c>
      <c r="AL2" s="853" t="s">
        <v>852</v>
      </c>
      <c r="AM2" s="855" t="s">
        <v>1697</v>
      </c>
      <c r="AO2" s="856" t="s">
        <v>287</v>
      </c>
      <c r="AP2" s="847" t="s">
        <v>1701</v>
      </c>
      <c r="AQ2" s="847" t="s">
        <v>1564</v>
      </c>
      <c r="AR2" s="847" t="s">
        <v>1702</v>
      </c>
      <c r="AS2" s="847" t="s">
        <v>1688</v>
      </c>
      <c r="AT2" s="857" t="s">
        <v>1703</v>
      </c>
      <c r="AU2" s="857" t="s">
        <v>288</v>
      </c>
      <c r="AV2" s="857" t="s">
        <v>1704</v>
      </c>
      <c r="AW2" s="847" t="s">
        <v>289</v>
      </c>
      <c r="AX2" s="847" t="s">
        <v>290</v>
      </c>
      <c r="AY2" s="847" t="s">
        <v>291</v>
      </c>
      <c r="AZ2" s="847" t="s">
        <v>1699</v>
      </c>
      <c r="BA2" s="857" t="s">
        <v>772</v>
      </c>
      <c r="BB2" s="858" t="s">
        <v>1705</v>
      </c>
      <c r="BD2" s="852" t="s">
        <v>287</v>
      </c>
      <c r="BE2" s="853" t="s">
        <v>1701</v>
      </c>
      <c r="BF2" s="853" t="s">
        <v>1564</v>
      </c>
      <c r="BG2" s="853" t="s">
        <v>1702</v>
      </c>
      <c r="BH2" s="859" t="s">
        <v>1688</v>
      </c>
      <c r="BI2" s="859" t="s">
        <v>1703</v>
      </c>
      <c r="BJ2" s="860"/>
      <c r="BK2" s="853" t="s">
        <v>1294</v>
      </c>
      <c r="BL2" s="853" t="s">
        <v>1295</v>
      </c>
      <c r="BM2" s="860"/>
      <c r="BN2" s="853" t="s">
        <v>288</v>
      </c>
      <c r="BO2" s="859" t="s">
        <v>1704</v>
      </c>
      <c r="BP2" s="853"/>
      <c r="BQ2" s="859" t="s">
        <v>291</v>
      </c>
      <c r="BR2" s="859" t="s">
        <v>1699</v>
      </c>
      <c r="BS2" s="861"/>
      <c r="BT2" s="859" t="s">
        <v>772</v>
      </c>
      <c r="BU2" s="862" t="s">
        <v>1705</v>
      </c>
      <c r="BV2" s="857"/>
      <c r="BW2" s="863" t="s">
        <v>292</v>
      </c>
      <c r="BX2" s="864" t="s">
        <v>293</v>
      </c>
      <c r="BY2" s="865" t="s">
        <v>1723</v>
      </c>
      <c r="BZ2" s="866"/>
      <c r="CA2" s="863" t="s">
        <v>292</v>
      </c>
      <c r="CB2" s="864" t="s">
        <v>293</v>
      </c>
      <c r="CC2" s="865" t="s">
        <v>1723</v>
      </c>
    </row>
    <row r="3" spans="1:81">
      <c r="A3" s="176" t="s">
        <v>294</v>
      </c>
      <c r="B3" s="867" t="s">
        <v>7</v>
      </c>
      <c r="C3" s="868" t="s">
        <v>748</v>
      </c>
      <c r="D3" s="868"/>
      <c r="E3" s="869">
        <v>10000</v>
      </c>
      <c r="G3" s="870">
        <f>SUM(H3:J3)</f>
        <v>0</v>
      </c>
      <c r="H3" s="871" t="str">
        <f t="array" ref="H3:H7">TRANSPOSE('1a. Invoer - BESTAAND'!J4:N4)</f>
        <v>n.v.t.</v>
      </c>
      <c r="I3" s="868">
        <f t="array" ref="I3:I7">TRANSPOSE('1a. Invoer - BESTAAND'!E4:I4)</f>
        <v>0</v>
      </c>
      <c r="J3" s="872">
        <f t="array" ref="J3:J7">TRANSPOSE('1a. Invoer - BESTAAND'!E33:I33
)</f>
        <v>0</v>
      </c>
      <c r="K3" s="873"/>
      <c r="L3" s="870">
        <f>SUM(M3:Q3)</f>
        <v>0</v>
      </c>
      <c r="M3" s="868" t="s">
        <v>158</v>
      </c>
      <c r="N3" s="868">
        <v>0</v>
      </c>
      <c r="O3" s="868">
        <v>0</v>
      </c>
      <c r="P3" s="868">
        <f t="array" ref="P3:P7">TRANSPOSE('1b. Invoer - NIEUW'!E6:I6)</f>
        <v>0</v>
      </c>
      <c r="Q3" s="874">
        <v>0</v>
      </c>
      <c r="S3" s="875">
        <f>(L3*E3*looptijd)</f>
        <v>0</v>
      </c>
      <c r="U3" s="876">
        <f>(Netto_cat_benz_A*I3)+(Netto_cat_CNG_A*J3)</f>
        <v>0</v>
      </c>
      <c r="V3" s="877">
        <f>IF($G3=0,0,U3/($E3*$G3*looptijd))</f>
        <v>0</v>
      </c>
      <c r="W3" s="878">
        <f>IF(BPM_belasting="ja",(BPM_benz_A*I3)+(BPM_CNG_A*J3),0)</f>
        <v>0</v>
      </c>
      <c r="X3" s="877">
        <f>IF($G3=0,0,W3/($E3*looptijd*$G3))</f>
        <v>0</v>
      </c>
      <c r="Y3" s="879">
        <f>BTW*U3</f>
        <v>0</v>
      </c>
      <c r="Z3" s="879">
        <f>SUM(U3:Y3)</f>
        <v>0</v>
      </c>
      <c r="AA3" s="879">
        <f>IF(BTW_verrekening="ja",((U3+W3-AW3))/2*Rente_financiering,((U3+W3+Y3-AW3)/2)*Rente_financiering)</f>
        <v>0</v>
      </c>
      <c r="AB3" s="880">
        <f>IF(G3=0,0,AA3*looptijd/($E3*looptijd*$G3))</f>
        <v>0</v>
      </c>
      <c r="AD3" s="876">
        <f>(Netto_cat_benz_A*N3)+(Netto_cat_CNG_A*O3)+(Netto_cat_BEV_A*P3)+(Netto_cat_FCEV_A*Q3)</f>
        <v>0</v>
      </c>
      <c r="AE3" s="877">
        <f>IF($L3=0,0,AD3/($E3*$L3*looptijd))</f>
        <v>0</v>
      </c>
      <c r="AF3" s="878">
        <f>IF(BPM_belasting="ja",(BPM_benz_A*N3)+(BPM_CNG_A*O3)+(P3*BPM_BEV)+(Q3*BPM_FCEV),0)</f>
        <v>0</v>
      </c>
      <c r="AG3" s="878">
        <f>IF($L3=0,0,AF3/($E3*looptijd*$L3))</f>
        <v>0</v>
      </c>
      <c r="AH3" s="881">
        <f>BTW*AD3</f>
        <v>0</v>
      </c>
      <c r="AI3" s="878">
        <f>SUM(AD3:AH3)</f>
        <v>0</v>
      </c>
      <c r="AJ3" s="878">
        <f>IF('2. Invoer parameters'!$C$10="ja",MIA_BEV_A*P3,0)</f>
        <v>0</v>
      </c>
      <c r="AK3" s="882">
        <f>IF($L3=0,0,AJ3/($E3*looptijd*$L3))</f>
        <v>0</v>
      </c>
      <c r="AL3" s="881">
        <f>IF(BPM_belasting="nee",(((AD3-AJ3)-BK3)/2)*Rente_financiering,(((AD3-AJ3+AF3)-BL3)/2)*Rente_financiering)</f>
        <v>0</v>
      </c>
      <c r="AM3" s="880">
        <f>IF($L3=0,0,AL3*looptijd/($E3*looptijd*$L3))</f>
        <v>0</v>
      </c>
      <c r="AO3" s="876">
        <f>(I3*verz_benz_A)+(J3*verz_CNG_A)</f>
        <v>0</v>
      </c>
      <c r="AP3" s="877">
        <f>IF($G3=0,0,(AO3*12*looptijd)/($E3*looptijd*$G3))</f>
        <v>0</v>
      </c>
      <c r="AQ3" s="878">
        <f>(input_MRB_benz_A*I3)+(input_MRB_CNG_A*J3)</f>
        <v>0</v>
      </c>
      <c r="AR3" s="877">
        <f>IF($G3=0,0,AQ3/($E3*looptijd*$G3))</f>
        <v>0</v>
      </c>
      <c r="AS3" s="878">
        <f>($E3*I3*(gem_verbr_benz_A/100)*prijs_benz)+($E3*J3*(gem_verbr_CNG_A/100)*prijs_CNG)</f>
        <v>0</v>
      </c>
      <c r="AT3" s="877">
        <f>IF($G3=0,0,(AS3*looptijd)/(looptijd*$E3*$G3))</f>
        <v>0</v>
      </c>
      <c r="AU3" s="878">
        <f>($E3*I3*Onderh_benz_A)+($E3*J3*Onderh_CNG_A)</f>
        <v>0</v>
      </c>
      <c r="AV3" s="877">
        <f>IF($G3=0,0,(AU3*looptijd)/(looptijd*$E3*$G3))</f>
        <v>0</v>
      </c>
      <c r="AW3" s="878">
        <f>Rest_perc*SUM(U3:W3)</f>
        <v>0</v>
      </c>
      <c r="AX3" s="881">
        <f>Rest_perc*SUM(U3:Y3)</f>
        <v>0</v>
      </c>
      <c r="AY3" s="878">
        <f>IF(BTW_verrekening="Ja",((U3+W3)-AW3)/(looptijd*12),((U3+W3+Y3)-AX3)/(looptijd*12))</f>
        <v>0</v>
      </c>
      <c r="AZ3" s="877">
        <f>IF($G3=0,0,(AY3*12*looptijd)/(looptijd*$E3*$G3))</f>
        <v>0</v>
      </c>
      <c r="BA3" s="883">
        <f>(_schadekosten_per_km*E3*G3)/12</f>
        <v>0</v>
      </c>
      <c r="BB3" s="884">
        <f>IF($G3=0,0,(BA3*12*looptijd)/($E3*$G3*looptijd))</f>
        <v>0</v>
      </c>
      <c r="BD3" s="876">
        <f>(N3*verz_benz_A)+(O3*verz_CNG_A)+(P3*verz_BEV_A)+(Q3*verz_FCEV_A)</f>
        <v>0</v>
      </c>
      <c r="BE3" s="877">
        <f>IF($L3=0,0,(BD3*12*looptijd)/($E3*looptijd*$L3))</f>
        <v>0</v>
      </c>
      <c r="BF3" s="878">
        <f>(input_MRB_benz_A*N3)+(input_MRB_die_A*O3)+(input_MRB_BEV_A*P3)+(input_MRB_FCEV_A*Q3)</f>
        <v>0</v>
      </c>
      <c r="BG3" s="877">
        <f>IF($L3=0,0,BF3/($E3*looptijd*$L3))</f>
        <v>0</v>
      </c>
      <c r="BH3" s="878">
        <f>($E3*N3*(gem_verbr_benz_A/100)*prijs_benz)+($E3*O3*(gem_verbr_CNG_A/100)*prijs_CNG)+($E3*P3*(gem_verbr_BEV_A/100)*(prijs_elek_berekening))+($E3*Q3*(gem_verbr_FCEV_A_Elek/100)*prijs_elek_berekening*(100%-_verh_H2_accu_A))+($E3*Q3*(gem_verbr_FCEV_A_H2/100)*prijs_H2*(_verh_H2_accu_A))</f>
        <v>0</v>
      </c>
      <c r="BI3" s="877">
        <f>IF($L3=0,0,(BH3*looptijd)/(looptijd*$E3*$L3))</f>
        <v>0</v>
      </c>
      <c r="BJ3" s="885"/>
      <c r="BK3" s="878">
        <f>Rest_perc_ZE*(AD3+AF3)</f>
        <v>0</v>
      </c>
      <c r="BL3" s="878">
        <f>Rest_perc_ZE*(AD3+AF3+AH3)</f>
        <v>0</v>
      </c>
      <c r="BM3" s="885"/>
      <c r="BN3" s="878">
        <f>($E3*N3*Onderh_benz_A)+($E3*O3*Onderh_CNG_A)+($E3*P3*Onderh_BEV_A)+($E3*Q3*Onderh_FCEV_A)</f>
        <v>0</v>
      </c>
      <c r="BO3" s="877">
        <f>IF($L3=0,0,(BN3*looptijd)/(looptijd*$E3*$L3))</f>
        <v>0</v>
      </c>
      <c r="BP3" s="878"/>
      <c r="BQ3" s="878">
        <f>IF(BTW_verrekening="Ja",((AD3+AF3-AJ3)-BK3)/(looptijd*12),((AD3+AF3+AH3-AJ3)-BL3)/(looptijd*12))</f>
        <v>0</v>
      </c>
      <c r="BR3" s="877">
        <f>IF($G3=0,0,(BQ3*12*looptijd)/(looptijd*$E3*$G3))</f>
        <v>0</v>
      </c>
      <c r="BS3" s="885"/>
      <c r="BT3" s="883">
        <f>(_schadekosten_per_km*E3*L3)/12</f>
        <v>0</v>
      </c>
      <c r="BU3" s="884">
        <f>IF($L3=0,0,(BT3*12*looptijd)/($E3*$L3*looptijd))</f>
        <v>0</v>
      </c>
      <c r="BV3" s="881"/>
      <c r="BW3" s="886">
        <f>(Efac_benz_TTW*(gem_verbr_benz_A/100)*$E3*I3)+(Efac_CNG_berekening_TTW*(gem_verbr_CNG_A/100)*$E3*J3)</f>
        <v>0</v>
      </c>
      <c r="BX3" s="887">
        <f>(Efac_benz_WTW*(gem_verbr_benz_A/100)*$E3*I3)+(Efac_CNG_berekening_WTW*(gem_verbr_CNG_A/100)*$E3*J3)</f>
        <v>0</v>
      </c>
      <c r="BY3" s="888">
        <f>IF($G3=0,0,(BX3*looptijd)/($E3*$G3*looptijd))</f>
        <v>0</v>
      </c>
      <c r="BZ3" s="889"/>
      <c r="CA3" s="886">
        <f>(Efac_die_TTW*(gem_verbr_die_A/100)*$E3*N3)+(Efac_CNG_berekening_TTW*(gem_verbr_CNG_A/100)*$E3*O3)+(Efac_elek_berekening_TTW*(gem_verbr_BEV_A/100)*$E3*P3)+(Efac_elek_berekening_TTW*(gem_verbr_FCEV_A_Elek/100)*(100%-_verh_H2_accu_A)*Q3)+(Efac_H2_berekening_TTW*(gem_verbr_FCEV_A_H2/100)*(_verh_H2_accu_A)*Q3)</f>
        <v>0</v>
      </c>
      <c r="CB3" s="887">
        <f>(Efac_die_WTW*(gem_verbr_die_A/100)*$E3*N3)+(Efac_CNG_berekening_WTW*(gem_verbr_CNG_A/100)*$E3*O3)+(Efac_elek_berekening_WTW*(gem_verbr_BEV_A/100)*$E3*P3)+(Efac_elek_berekening_WTW*(gem_verbr_FCEV_A_Elek/100)*(100%-_verh_H2_accu_A)*Q3)+(Efac_H2_berekening_WTW*(gem_verbr_FCEV_A_H2/100)*(_verh_H2_accu_A)*Q3)</f>
        <v>0</v>
      </c>
      <c r="CC3" s="888">
        <f>IF($L3=0,0,(CB3*looptijd)/($L3*$E3*looptijd))</f>
        <v>0</v>
      </c>
    </row>
    <row r="4" spans="1:81">
      <c r="A4" s="176" t="s">
        <v>295</v>
      </c>
      <c r="B4" s="867" t="s">
        <v>7</v>
      </c>
      <c r="C4" s="868" t="s">
        <v>749</v>
      </c>
      <c r="D4" s="868"/>
      <c r="E4" s="890">
        <v>15000</v>
      </c>
      <c r="G4" s="870">
        <f t="shared" ref="G4:G67" si="0">SUM(H4:J4)</f>
        <v>0</v>
      </c>
      <c r="H4" s="871" t="str">
        <v>n.v.t.</v>
      </c>
      <c r="I4" s="868">
        <v>0</v>
      </c>
      <c r="J4" s="872">
        <v>0</v>
      </c>
      <c r="K4" s="873"/>
      <c r="L4" s="870">
        <f t="shared" ref="L4:L67" si="1">SUM(M4:Q4)</f>
        <v>0</v>
      </c>
      <c r="M4" s="868" t="s">
        <v>158</v>
      </c>
      <c r="N4" s="868">
        <v>0</v>
      </c>
      <c r="O4" s="868">
        <v>0</v>
      </c>
      <c r="P4" s="868">
        <v>0</v>
      </c>
      <c r="Q4" s="874">
        <v>0</v>
      </c>
      <c r="S4" s="875">
        <f>(L4*E4*looptijd)</f>
        <v>0</v>
      </c>
      <c r="U4" s="876">
        <f>(Netto_cat_benz_A*I4)+(Netto_cat_CNG_A*J4)</f>
        <v>0</v>
      </c>
      <c r="V4" s="877">
        <f>IF($G4=0,0,U4/($E4*$G4*looptijd))</f>
        <v>0</v>
      </c>
      <c r="W4" s="878">
        <f>IF(BPM_belasting="ja",(BPM_benz_A*I4)+(BPM_CNG_A*J4),0)</f>
        <v>0</v>
      </c>
      <c r="X4" s="877">
        <f>IF($G4=0,0,W4/($E4*looptijd*$G4))</f>
        <v>0</v>
      </c>
      <c r="Y4" s="879">
        <f>BTW*U4</f>
        <v>0</v>
      </c>
      <c r="Z4" s="879">
        <f>SUM(U4:Y4)</f>
        <v>0</v>
      </c>
      <c r="AA4" s="879">
        <f>IF(BTW_verrekening="ja",((U4+W4-AW4))/2*Rente_financiering,((U4+W4+Y4-AW4)/2)*Rente_financiering)</f>
        <v>0</v>
      </c>
      <c r="AB4" s="880">
        <f>IF(G4=0,0,AA4*looptijd/($E4*looptijd*$G4))</f>
        <v>0</v>
      </c>
      <c r="AD4" s="876">
        <f>(Netto_cat_benz_A*N4)+(Netto_cat_CNG_A*O4)+(Netto_cat_BEV_A*P4)+(Netto_cat_FCEV_A*Q4)</f>
        <v>0</v>
      </c>
      <c r="AE4" s="877">
        <f>IF($L4=0,0,AD4/($E4*$L4*looptijd))</f>
        <v>0</v>
      </c>
      <c r="AF4" s="878">
        <f>IF(BPM_belasting="ja",(BPM_benz_A*N4)+(BPM_CNG_A*O4)+(P4*BPM_BEV)+(Q4*BPM_FCEV),0)</f>
        <v>0</v>
      </c>
      <c r="AG4" s="878">
        <f>IF($L4=0,0,AF4/($E4*looptijd*$L4))</f>
        <v>0</v>
      </c>
      <c r="AH4" s="878">
        <f>BTW*AD4</f>
        <v>0</v>
      </c>
      <c r="AI4" s="878">
        <f>SUM(AD4:AH4)</f>
        <v>0</v>
      </c>
      <c r="AJ4" s="878">
        <f>IF('2. Invoer parameters'!$C$10="ja",MIA_BEV_A*P4,0)</f>
        <v>0</v>
      </c>
      <c r="AK4" s="882">
        <f>IF($L4=0,0,AJ4/($E4*looptijd*$L4))</f>
        <v>0</v>
      </c>
      <c r="AL4" s="881">
        <f>IF(BPM_belasting="nee",(((AD4-AJ4)-BK4)/2)*Rente_financiering,(((AD4-AJ4+AF4)-BL4)/2)*Rente_financiering)</f>
        <v>0</v>
      </c>
      <c r="AM4" s="880">
        <f>IF($L4=0,0,AL4*looptijd/($E4*looptijd*$L4))</f>
        <v>0</v>
      </c>
      <c r="AO4" s="876">
        <f>(I4*verz_benz_A)+(J4*verz_CNG_A)</f>
        <v>0</v>
      </c>
      <c r="AP4" s="877">
        <f>IF($G4=0,0,(AO4*12*looptijd)/($E4*looptijd*$G4))</f>
        <v>0</v>
      </c>
      <c r="AQ4" s="878">
        <f>(input_MRB_benz_A*I4)+(input_MRB_CNG_A*J4)</f>
        <v>0</v>
      </c>
      <c r="AR4" s="877">
        <f>IF($G4=0,0,AQ4/($E4*looptijd*$G4))</f>
        <v>0</v>
      </c>
      <c r="AS4" s="878">
        <f>($E4*I4*(gem_verbr_benz_A/100)*prijs_benz)+($E4*J4*(gem_verbr_CNG_A/100)*prijs_CNG)</f>
        <v>0</v>
      </c>
      <c r="AT4" s="877">
        <f>IF($G4=0,0,(AS4*looptijd)/(looptijd*$E4*$G4))</f>
        <v>0</v>
      </c>
      <c r="AU4" s="878">
        <f>($E4*I4*Onderh_benz_A)+($E4*J4*Onderh_CNG_A)</f>
        <v>0</v>
      </c>
      <c r="AV4" s="877">
        <f>IF($G4=0,0,(AU4*looptijd)/(looptijd*$E4*$G4))</f>
        <v>0</v>
      </c>
      <c r="AW4" s="878">
        <f>Rest_perc*SUM(U4:W4)</f>
        <v>0</v>
      </c>
      <c r="AX4" s="881">
        <f>Rest_perc*SUM(U4:Y4)</f>
        <v>0</v>
      </c>
      <c r="AY4" s="878">
        <f>IF(BTW_verrekening="Ja",((U4+W4)-AW4)/(looptijd*12),((U4+W4+Y4)-AX4)/(looptijd*12))</f>
        <v>0</v>
      </c>
      <c r="AZ4" s="877">
        <f>IF($G4=0,0,(AY4*12*looptijd)/(looptijd*$E4*$G4))</f>
        <v>0</v>
      </c>
      <c r="BA4" s="883">
        <f>(_schadekosten_per_km*E4*G4)/12</f>
        <v>0</v>
      </c>
      <c r="BB4" s="884">
        <f>IF($G4=0,0,(BA4*12*looptijd)/($E4*$G4*looptijd))</f>
        <v>0</v>
      </c>
      <c r="BD4" s="876">
        <f>(N4*verz_benz_A)+(O4*verz_CNG_A)+(P4*verz_BEV_A)+(Q4*verz_FCEV_A)</f>
        <v>0</v>
      </c>
      <c r="BE4" s="877">
        <f>IF($L4=0,0,(BD4*12*looptijd)/($E4*looptijd*$L4))</f>
        <v>0</v>
      </c>
      <c r="BF4" s="878">
        <f>(input_MRB_benz_A*N4)+(input_MRB_die_A*O4)+(input_MRB_BEV_A*P4)+(input_MRB_FCEV_A*Q4)</f>
        <v>0</v>
      </c>
      <c r="BG4" s="877">
        <f>IF($L4=0,0,BF4/($E4*looptijd*$L4))</f>
        <v>0</v>
      </c>
      <c r="BH4" s="878">
        <f>($E4*N4*(gem_verbr_benz_A/100)*prijs_benz)+($E4*O4*(gem_verbr_CNG_A/100)*prijs_CNG)+($E4*P4*(gem_verbr_BEV_A/100)*(prijs_elek_berekening))+($E4*Q4*(gem_verbr_FCEV_A_Elek/100)*prijs_elek_berekening*(100%-_verh_H2_accu_A))+($E4*Q4*(gem_verbr_FCEV_A_H2/100)*prijs_H2*(_verh_H2_accu_A))</f>
        <v>0</v>
      </c>
      <c r="BI4" s="877">
        <f>IF($L4=0,0,(BH4*looptijd)/(looptijd*$E4*$L4))</f>
        <v>0</v>
      </c>
      <c r="BJ4" s="885"/>
      <c r="BK4" s="878">
        <f>Rest_perc_ZE*(AD4+AF4)</f>
        <v>0</v>
      </c>
      <c r="BL4" s="878">
        <f>Rest_perc_ZE*(AD4+AF4+AH4)</f>
        <v>0</v>
      </c>
      <c r="BM4" s="885"/>
      <c r="BN4" s="878">
        <f>($E4*N4*Onderh_benz_A)+($E4*O4*Onderh_CNG_A)+($E4*P4*Onderh_BEV_A)+($E4*Q4*Onderh_FCEV_A)</f>
        <v>0</v>
      </c>
      <c r="BO4" s="877">
        <f>IF($L4=0,0,(BN4*looptijd)/(looptijd*$E4*$L4))</f>
        <v>0</v>
      </c>
      <c r="BP4" s="878"/>
      <c r="BQ4" s="878">
        <f>IF(BTW_verrekening="Ja",((AD4+AF4-AJ4)-BK4)/(looptijd*12),((AD4+AF4+AH4-AJ4)-BL4)/(looptijd*12))</f>
        <v>0</v>
      </c>
      <c r="BR4" s="877">
        <f>IF($G4=0,0,(BQ4*12*looptijd)/(looptijd*$E4*$G4))</f>
        <v>0</v>
      </c>
      <c r="BS4" s="885"/>
      <c r="BT4" s="883">
        <f>(_schadekosten_per_km*E4*L4)/12</f>
        <v>0</v>
      </c>
      <c r="BU4" s="884">
        <f>IF($L4=0,0,(BT4*12*looptijd)/($E4*$L4*looptijd))</f>
        <v>0</v>
      </c>
      <c r="BV4" s="881"/>
      <c r="BW4" s="886">
        <f>(Efac_benz_TTW*(gem_verbr_benz_A/100)*$E4*I4)+(Efac_CNG_berekening_TTW*(gem_verbr_CNG_A/100)*$E4*J4)</f>
        <v>0</v>
      </c>
      <c r="BX4" s="887">
        <f>(Efac_benz_WTW*(gem_verbr_benz_A/100)*$E4*I4)+(Efac_CNG_berekening_WTW*(gem_verbr_CNG_A/100)*$E4*J4)</f>
        <v>0</v>
      </c>
      <c r="BY4" s="888">
        <f>IF($G4=0,0,(BX4*looptijd)/($E4*$G4*looptijd))</f>
        <v>0</v>
      </c>
      <c r="BZ4" s="889"/>
      <c r="CA4" s="886">
        <f>(Efac_die_TTW*(gem_verbr_die_A/100)*$E4*N4)+(Efac_CNG_berekening_TTW*(gem_verbr_CNG_A/100)*$E4*O4)+(Efac_elek_berekening_TTW*(gem_verbr_BEV_A/100)*$E4*P4)+(Efac_elek_berekening_TTW*(gem_verbr_FCEV_A_Elek/100)*(100%-_verh_H2_accu_A)*Q4)+(Efac_H2_berekening_TTW*(gem_verbr_FCEV_A_H2/100)*(_verh_H2_accu_A)*Q4)</f>
        <v>0</v>
      </c>
      <c r="CB4" s="887">
        <f>(Efac_die_WTW*(gem_verbr_die_A/100)*$E4*N4)+(Efac_CNG_berekening_WTW*(gem_verbr_CNG_A/100)*$E4*O4)+(Efac_elek_berekening_WTW*(gem_verbr_BEV_A/100)*$E4*P4)+(Efac_elek_berekening_WTW*(gem_verbr_FCEV_A_Elek/100)*(100%-_verh_H2_accu_A)*Q4)+(Efac_H2_berekening_WTW*(gem_verbr_FCEV_A_H2/100)*(_verh_H2_accu_A)*Q4)</f>
        <v>0</v>
      </c>
      <c r="CC4" s="888">
        <f>IF($L4=0,0,(CB4*looptijd)/($L4*$E4*looptijd))</f>
        <v>0</v>
      </c>
    </row>
    <row r="5" spans="1:81">
      <c r="A5" s="891">
        <v>3</v>
      </c>
      <c r="B5" s="867" t="s">
        <v>7</v>
      </c>
      <c r="C5" s="868" t="s">
        <v>750</v>
      </c>
      <c r="D5" s="868"/>
      <c r="E5" s="869">
        <v>25000</v>
      </c>
      <c r="G5" s="870">
        <f t="shared" si="0"/>
        <v>0</v>
      </c>
      <c r="H5" s="871" t="str">
        <v>n.v.t.</v>
      </c>
      <c r="I5" s="868">
        <v>0</v>
      </c>
      <c r="J5" s="872">
        <v>0</v>
      </c>
      <c r="K5" s="873"/>
      <c r="L5" s="870">
        <f t="shared" si="1"/>
        <v>0</v>
      </c>
      <c r="M5" s="868" t="s">
        <v>158</v>
      </c>
      <c r="N5" s="868">
        <v>0</v>
      </c>
      <c r="O5" s="868">
        <v>0</v>
      </c>
      <c r="P5" s="868">
        <v>0</v>
      </c>
      <c r="Q5" s="874">
        <v>0</v>
      </c>
      <c r="S5" s="875">
        <f>(L5*E5*looptijd)</f>
        <v>0</v>
      </c>
      <c r="U5" s="876">
        <f>(Netto_cat_benz_A*I5)+(Netto_cat_CNG_A*J5)</f>
        <v>0</v>
      </c>
      <c r="V5" s="877">
        <f>IF($G5=0,0,U5/($E5*$G5*looptijd))</f>
        <v>0</v>
      </c>
      <c r="W5" s="878">
        <f>IF(BPM_belasting="ja",(BPM_benz_A*I5)+(BPM_CNG_A*J5),0)</f>
        <v>0</v>
      </c>
      <c r="X5" s="877">
        <f>IF($G5=0,0,W5/($E5*looptijd*$G5))</f>
        <v>0</v>
      </c>
      <c r="Y5" s="879">
        <f>BTW*U5</f>
        <v>0</v>
      </c>
      <c r="Z5" s="879">
        <f>SUM(U5:Y5)</f>
        <v>0</v>
      </c>
      <c r="AA5" s="879">
        <f>IF(BTW_verrekening="ja",((U5+W5-AW5))/2*Rente_financiering,((U5+W5+Y5-AW5)/2)*Rente_financiering)</f>
        <v>0</v>
      </c>
      <c r="AB5" s="880">
        <f>IF(G5=0,0,AA5*looptijd/($E5*looptijd*$G5))</f>
        <v>0</v>
      </c>
      <c r="AD5" s="876">
        <f>(Netto_cat_benz_A*N5)+(Netto_cat_CNG_A*O5)+(Netto_cat_BEV_A*P5)+(Netto_cat_FCEV_A*Q5)</f>
        <v>0</v>
      </c>
      <c r="AE5" s="877">
        <f>IF($L5=0,0,AD5/($E5*$L5*looptijd))</f>
        <v>0</v>
      </c>
      <c r="AF5" s="878">
        <f>IF(BPM_belasting="ja",(BPM_benz_A*N5)+(BPM_CNG_A*O5)+(P5*BPM_BEV)+(Q5*BPM_FCEV),0)</f>
        <v>0</v>
      </c>
      <c r="AG5" s="878">
        <f>IF($L5=0,0,AF5/($E5*looptijd*$L5))</f>
        <v>0</v>
      </c>
      <c r="AH5" s="878">
        <f>BTW*AD5</f>
        <v>0</v>
      </c>
      <c r="AI5" s="878">
        <f>SUM(AD5:AH5)</f>
        <v>0</v>
      </c>
      <c r="AJ5" s="878">
        <f>IF('2. Invoer parameters'!$C$10="ja",MIA_BEV_A*P5,0)</f>
        <v>0</v>
      </c>
      <c r="AK5" s="882">
        <f>IF($L5=0,0,AJ5/($E5*looptijd*$L5))</f>
        <v>0</v>
      </c>
      <c r="AL5" s="881">
        <f>IF(BPM_belasting="nee",(((AD5-AJ5)-BK5)/2)*Rente_financiering,(((AD5-AJ5+AF5)-BL5)/2)*Rente_financiering)</f>
        <v>0</v>
      </c>
      <c r="AM5" s="880">
        <f>IF($L5=0,0,AL5*looptijd/($E5*looptijd*$L5))</f>
        <v>0</v>
      </c>
      <c r="AO5" s="876">
        <f>(I5*verz_benz_A)+(J5*verz_CNG_A)</f>
        <v>0</v>
      </c>
      <c r="AP5" s="877">
        <f>IF($G5=0,0,(AO5*12*looptijd)/($E5*looptijd*$G5))</f>
        <v>0</v>
      </c>
      <c r="AQ5" s="878">
        <f>(input_MRB_benz_A*I5)+(input_MRB_CNG_A*J5)</f>
        <v>0</v>
      </c>
      <c r="AR5" s="877">
        <f>IF($G5=0,0,AQ5/($E5*looptijd*$G5))</f>
        <v>0</v>
      </c>
      <c r="AS5" s="878">
        <f>($E5*I5*(gem_verbr_benz_A/100)*prijs_benz)+($E5*J5*(gem_verbr_CNG_A/100)*prijs_CNG)</f>
        <v>0</v>
      </c>
      <c r="AT5" s="877">
        <f>IF($G5=0,0,(AS5*looptijd)/(looptijd*$E5*$G5))</f>
        <v>0</v>
      </c>
      <c r="AU5" s="878">
        <f>($E5*I5*Onderh_benz_A)+($E5*J5*Onderh_CNG_A)</f>
        <v>0</v>
      </c>
      <c r="AV5" s="877">
        <f>IF($G5=0,0,(AU5*looptijd)/(looptijd*$E5*$G5))</f>
        <v>0</v>
      </c>
      <c r="AW5" s="878">
        <f>Rest_perc*SUM(U5:W5)</f>
        <v>0</v>
      </c>
      <c r="AX5" s="881">
        <f>Rest_perc*SUM(U5:Y5)</f>
        <v>0</v>
      </c>
      <c r="AY5" s="878">
        <f>IF(BTW_verrekening="Ja",((U5+W5)-AW5)/(looptijd*12),((U5+W5+Y5)-AX5)/(looptijd*12))</f>
        <v>0</v>
      </c>
      <c r="AZ5" s="877">
        <f>IF($G5=0,0,(AY5*12*looptijd)/(looptijd*$E5*$G5))</f>
        <v>0</v>
      </c>
      <c r="BA5" s="883">
        <f>(_schadekosten_per_km*E5*G5)/12</f>
        <v>0</v>
      </c>
      <c r="BB5" s="884">
        <f>IF($G5=0,0,(BA5*12*looptijd)/($E5*$G5*looptijd))</f>
        <v>0</v>
      </c>
      <c r="BD5" s="876">
        <f>(N5*verz_benz_A)+(O5*verz_CNG_A)+(P5*verz_BEV_A)+(Q5*verz_FCEV_A)</f>
        <v>0</v>
      </c>
      <c r="BE5" s="877">
        <f>IF($L5=0,0,(BD5*12*looptijd)/($E5*looptijd*$L5))</f>
        <v>0</v>
      </c>
      <c r="BF5" s="878">
        <f>(input_MRB_benz_A*N5)+(input_MRB_die_A*O5)+(input_MRB_BEV_A*P5)+(input_MRB_FCEV_A*Q5)</f>
        <v>0</v>
      </c>
      <c r="BG5" s="877">
        <f>IF($L5=0,0,BF5/($E5*looptijd*$L5))</f>
        <v>0</v>
      </c>
      <c r="BH5" s="878">
        <f>($E5*N5*(gem_verbr_benz_A/100)*prijs_benz)+($E5*O5*(gem_verbr_CNG_A/100)*prijs_CNG)+($E5*P5*(gem_verbr_BEV_A/100)*(prijs_elek_berekening))+($E5*Q5*(gem_verbr_FCEV_A_Elek/100)*prijs_elek_berekening*(100%-_verh_H2_accu_A))+($E5*Q5*(gem_verbr_FCEV_A_H2/100)*prijs_H2*(_verh_H2_accu_A))</f>
        <v>0</v>
      </c>
      <c r="BI5" s="877">
        <f>IF($L5=0,0,(BH5*looptijd)/(looptijd*$E5*$L5))</f>
        <v>0</v>
      </c>
      <c r="BJ5" s="885"/>
      <c r="BK5" s="878">
        <f>Rest_perc_ZE*(AD5+AF5)</f>
        <v>0</v>
      </c>
      <c r="BL5" s="878">
        <f>Rest_perc_ZE*(AD5+AF5+AH5)</f>
        <v>0</v>
      </c>
      <c r="BM5" s="885"/>
      <c r="BN5" s="878">
        <f>($E5*N5*Onderh_benz_A)+($E5*O5*Onderh_CNG_A)+($E5*P5*Onderh_BEV_A)+($E5*Q5*Onderh_FCEV_A)</f>
        <v>0</v>
      </c>
      <c r="BO5" s="877">
        <f>IF($L5=0,0,(BN5*looptijd)/(looptijd*$E5*$L5))</f>
        <v>0</v>
      </c>
      <c r="BP5" s="878"/>
      <c r="BQ5" s="878">
        <f>IF(BTW_verrekening="Ja",((AD5+AF5-AJ5)-BK5)/(looptijd*12),((AD5+AF5+AH5-AJ5)-BL5)/(looptijd*12))</f>
        <v>0</v>
      </c>
      <c r="BR5" s="877">
        <f>IF($G5=0,0,(BQ5*12*looptijd)/(looptijd*$E5*$G5))</f>
        <v>0</v>
      </c>
      <c r="BS5" s="885"/>
      <c r="BT5" s="883">
        <f>(_schadekosten_per_km*E5*L5)/12</f>
        <v>0</v>
      </c>
      <c r="BU5" s="884">
        <f>IF($L5=0,0,(BT5*12*looptijd)/($E5*$L5*looptijd))</f>
        <v>0</v>
      </c>
      <c r="BV5" s="881"/>
      <c r="BW5" s="886">
        <f>(Efac_benz_TTW*(gem_verbr_benz_A/100)*$E5*I5)+(Efac_CNG_berekening_TTW*(gem_verbr_CNG_A/100)*$E5*J5)</f>
        <v>0</v>
      </c>
      <c r="BX5" s="887">
        <f>(Efac_benz_WTW*(gem_verbr_benz_A/100)*$E5*I5)+(Efac_CNG_berekening_WTW*(gem_verbr_CNG_A/100)*$E5*J5)</f>
        <v>0</v>
      </c>
      <c r="BY5" s="888">
        <f>IF($G5=0,0,(BX5*looptijd)/($E5*$G5*looptijd))</f>
        <v>0</v>
      </c>
      <c r="BZ5" s="889"/>
      <c r="CA5" s="886">
        <f>(Efac_die_TTW*(gem_verbr_die_A/100)*$E5*N5)+(Efac_CNG_berekening_TTW*(gem_verbr_CNG_A/100)*$E5*O5)+(Efac_elek_berekening_TTW*(gem_verbr_BEV_A/100)*$E5*P5)+(Efac_elek_berekening_TTW*(gem_verbr_FCEV_A_Elek/100)*(100%-_verh_H2_accu_A)*Q5)+(Efac_H2_berekening_TTW*(gem_verbr_FCEV_A_H2/100)*(_verh_H2_accu_A)*Q5)</f>
        <v>0</v>
      </c>
      <c r="CB5" s="887">
        <f>(Efac_die_WTW*(gem_verbr_die_A/100)*$E5*N5)+(Efac_CNG_berekening_WTW*(gem_verbr_CNG_A/100)*$E5*O5)+(Efac_elek_berekening_WTW*(gem_verbr_BEV_A/100)*$E5*P5)+(Efac_elek_berekening_WTW*(gem_verbr_FCEV_A_Elek/100)*(100%-_verh_H2_accu_A)*Q5)+(Efac_H2_berekening_WTW*(gem_verbr_FCEV_A_H2/100)*(_verh_H2_accu_A)*Q5)</f>
        <v>0</v>
      </c>
      <c r="CC5" s="888">
        <f>IF($L5=0,0,(CB5*looptijd)/($L5*$E5*looptijd))</f>
        <v>0</v>
      </c>
    </row>
    <row r="6" spans="1:81">
      <c r="A6" s="891">
        <v>4</v>
      </c>
      <c r="B6" s="867" t="s">
        <v>7</v>
      </c>
      <c r="C6" s="868" t="s">
        <v>752</v>
      </c>
      <c r="D6" s="868"/>
      <c r="E6" s="872">
        <v>50000</v>
      </c>
      <c r="F6" s="873"/>
      <c r="G6" s="870">
        <f t="shared" si="0"/>
        <v>0</v>
      </c>
      <c r="H6" s="871" t="str">
        <v>n.v.t.</v>
      </c>
      <c r="I6" s="868">
        <v>0</v>
      </c>
      <c r="J6" s="872">
        <v>0</v>
      </c>
      <c r="K6" s="873"/>
      <c r="L6" s="870">
        <f t="shared" si="1"/>
        <v>0</v>
      </c>
      <c r="M6" s="868" t="s">
        <v>158</v>
      </c>
      <c r="N6" s="868">
        <v>0</v>
      </c>
      <c r="O6" s="868">
        <v>0</v>
      </c>
      <c r="P6" s="868">
        <v>0</v>
      </c>
      <c r="Q6" s="874">
        <v>0</v>
      </c>
      <c r="S6" s="875">
        <f>(L6*E6*looptijd)</f>
        <v>0</v>
      </c>
      <c r="U6" s="876">
        <f>(Netto_cat_benz_A*I6)+(Netto_cat_CNG_A*J6)</f>
        <v>0</v>
      </c>
      <c r="V6" s="877">
        <f>IF($G6=0,0,U6/($E6*$G6*looptijd))</f>
        <v>0</v>
      </c>
      <c r="W6" s="878">
        <f>IF(BPM_belasting="ja",(BPM_benz_A*I6)+(BPM_CNG_A*J6),0)</f>
        <v>0</v>
      </c>
      <c r="X6" s="877">
        <f>IF($G6=0,0,W6/($E6*looptijd*$G6))</f>
        <v>0</v>
      </c>
      <c r="Y6" s="879">
        <f>BTW*U6</f>
        <v>0</v>
      </c>
      <c r="Z6" s="879">
        <f>SUM(U6:Y6)</f>
        <v>0</v>
      </c>
      <c r="AA6" s="879">
        <f>IF(BTW_verrekening="ja",((U6+W6-AW6))/2*Rente_financiering,((U6+W6+Y6-AW6)/2)*Rente_financiering)</f>
        <v>0</v>
      </c>
      <c r="AB6" s="880">
        <f>IF(G6=0,0,AA6*looptijd/($E6*looptijd*$G6))</f>
        <v>0</v>
      </c>
      <c r="AD6" s="876">
        <f>(Netto_cat_benz_A*N6)+(Netto_cat_CNG_A*O6)+(Netto_cat_BEV_A*P6)+(Netto_cat_FCEV_A*Q6)</f>
        <v>0</v>
      </c>
      <c r="AE6" s="877">
        <f>IF($L6=0,0,AD6/($E6*$L6*looptijd))</f>
        <v>0</v>
      </c>
      <c r="AF6" s="878">
        <f>IF(BPM_belasting="ja",(BPM_benz_A*N6)+(BPM_CNG_A*O6)+(P6*BPM_BEV)+(Q6*BPM_FCEV),0)</f>
        <v>0</v>
      </c>
      <c r="AG6" s="878">
        <f>IF($L6=0,0,AF6/($E6*looptijd*$L6))</f>
        <v>0</v>
      </c>
      <c r="AH6" s="878">
        <f>BTW*AD6</f>
        <v>0</v>
      </c>
      <c r="AI6" s="878">
        <f>SUM(AD6:AH6)</f>
        <v>0</v>
      </c>
      <c r="AJ6" s="878">
        <f>IF('2. Invoer parameters'!$C$10="ja",MIA_BEV_A*P6,0)</f>
        <v>0</v>
      </c>
      <c r="AK6" s="882">
        <f>IF($L6=0,0,AJ6/($E6*looptijd*$L6))</f>
        <v>0</v>
      </c>
      <c r="AL6" s="881">
        <f>IF(BPM_belasting="nee",(((AD6-AJ6)-BK6)/2)*Rente_financiering,(((AD6-AJ6+AF6)-BL6)/2)*Rente_financiering)</f>
        <v>0</v>
      </c>
      <c r="AM6" s="880">
        <f>IF($L6=0,0,AL6*looptijd/($E6*looptijd*$L6))</f>
        <v>0</v>
      </c>
      <c r="AO6" s="876">
        <f>(I6*verz_benz_A)+(J6*verz_CNG_A)</f>
        <v>0</v>
      </c>
      <c r="AP6" s="877">
        <f>IF($G6=0,0,(AO6*12*looptijd)/($E6*looptijd*$G6))</f>
        <v>0</v>
      </c>
      <c r="AQ6" s="878">
        <f>(input_MRB_benz_A*I6)+(input_MRB_CNG_A*J6)</f>
        <v>0</v>
      </c>
      <c r="AR6" s="877">
        <f>IF($G6=0,0,AQ6/($E6*looptijd*$G6))</f>
        <v>0</v>
      </c>
      <c r="AS6" s="878">
        <f>($E6*I6*(gem_verbr_benz_A/100)*prijs_benz)+($E6*J6*(gem_verbr_CNG_A/100)*prijs_CNG)</f>
        <v>0</v>
      </c>
      <c r="AT6" s="877">
        <f>IF($G6=0,0,(AS6*looptijd)/(looptijd*$E6*$G6))</f>
        <v>0</v>
      </c>
      <c r="AU6" s="878">
        <f>($E6*I6*Onderh_benz_A_hoog_km)+($E6*J6*Onderh_CNG_A_hoog_km)</f>
        <v>0</v>
      </c>
      <c r="AV6" s="877">
        <f>IF($G6=0,0,(AU6*looptijd)/(looptijd*$E6*$G6))</f>
        <v>0</v>
      </c>
      <c r="AW6" s="878">
        <f>Rest_perc*SUM(U6:W6)</f>
        <v>0</v>
      </c>
      <c r="AX6" s="881">
        <f>Rest_perc*SUM(U6:Y6)</f>
        <v>0</v>
      </c>
      <c r="AY6" s="878">
        <f>IF(BTW_verrekening="Ja",((U6+W6)-AW6)/(looptijd*12),((U6+W6+Y6)-AX6)/(looptijd*12))</f>
        <v>0</v>
      </c>
      <c r="AZ6" s="877">
        <f>IF($G6=0,0,(AY6*12*looptijd)/(looptijd*$E6*$G6))</f>
        <v>0</v>
      </c>
      <c r="BA6" s="883">
        <f>(_schadekosten_per_km*E6*G6)/12</f>
        <v>0</v>
      </c>
      <c r="BB6" s="884">
        <f>IF($G6=0,0,(BA6*12*looptijd)/($E6*$G6*looptijd))</f>
        <v>0</v>
      </c>
      <c r="BD6" s="876">
        <f>(N6*verz_benz_A)+(O6*verz_CNG_A)+(P6*verz_BEV_A)+(Q6*verz_FCEV_A)</f>
        <v>0</v>
      </c>
      <c r="BE6" s="877">
        <f>IF($L6=0,0,(BD6*12*looptijd)/($E6*looptijd*$L6))</f>
        <v>0</v>
      </c>
      <c r="BF6" s="878">
        <f>(input_MRB_benz_A*N6)+(input_MRB_die_A*O6)+(input_MRB_BEV_A*P6)+(input_MRB_FCEV_A*Q6)</f>
        <v>0</v>
      </c>
      <c r="BG6" s="877">
        <f>IF($L6=0,0,BF6/($E6*looptijd*$L6))</f>
        <v>0</v>
      </c>
      <c r="BH6" s="878">
        <f>($E6*N6*(gem_verbr_benz_A/100)*prijs_benz)+($E6*O6*(gem_verbr_CNG_A/100)*prijs_CNG)+($E6*P6*(gem_verbr_BEV_A/100)*(prijs_elek_berekening))+($E6*Q6*(gem_verbr_FCEV_A_Elek/100)*prijs_elek_berekening*(100%-_verh_H2_accu_A))+($E6*Q6*(gem_verbr_FCEV_A_H2/100)*prijs_H2*(_verh_H2_accu_A))</f>
        <v>0</v>
      </c>
      <c r="BI6" s="877">
        <f>IF($L6=0,0,(BH6*looptijd)/(looptijd*$E6*$L6))</f>
        <v>0</v>
      </c>
      <c r="BJ6" s="885"/>
      <c r="BK6" s="878">
        <f>Rest_perc_ZE*(AD6+AF6)</f>
        <v>0</v>
      </c>
      <c r="BL6" s="878">
        <f>Rest_perc_ZE*(AD6+AF6+AH6)</f>
        <v>0</v>
      </c>
      <c r="BM6" s="885"/>
      <c r="BN6" s="878">
        <f>($E6*N6*Onderh_benz_A_hoog_km)+($E6*O6*Onderh_CNG_A_hoog_km)+($E6*P6*Onderh_BEV_A_hoog_km)+($E6*Q6*Onderh_FCEV_A_hoog_km)</f>
        <v>0</v>
      </c>
      <c r="BO6" s="877">
        <f>IF($L6=0,0,(BN6*looptijd)/(looptijd*$E6*$L6))</f>
        <v>0</v>
      </c>
      <c r="BP6" s="878"/>
      <c r="BQ6" s="878">
        <f>IF(BTW_verrekening="Ja",((AD6+AF6-AJ6)-BK6)/(looptijd*12),((AD6+AF6+AH6-AJ6)-BL6)/(looptijd*12))</f>
        <v>0</v>
      </c>
      <c r="BR6" s="877">
        <f>IF($G6=0,0,(BQ6*12*looptijd)/(looptijd*$E6*$G6))</f>
        <v>0</v>
      </c>
      <c r="BS6" s="885"/>
      <c r="BT6" s="883">
        <f>(_schadekosten_per_km*E6*L6)/12</f>
        <v>0</v>
      </c>
      <c r="BU6" s="884">
        <f>IF($L6=0,0,(BT6*12*looptijd)/($E6*$L6*looptijd))</f>
        <v>0</v>
      </c>
      <c r="BV6" s="881"/>
      <c r="BW6" s="886">
        <f>(Efac_benz_TTW*(gem_verbr_benz_A/100)*$E6*I6)+(Efac_CNG_berekening_TTW*(gem_verbr_CNG_A/100)*$E6*J6)</f>
        <v>0</v>
      </c>
      <c r="BX6" s="887">
        <f>(Efac_benz_WTW*(gem_verbr_benz_A/100)*$E6*I6)+(Efac_CNG_berekening_WTW*(gem_verbr_CNG_A/100)*$E6*J6)</f>
        <v>0</v>
      </c>
      <c r="BY6" s="888">
        <f>IF($G6=0,0,(BX6*looptijd)/($E6*$G6*looptijd))</f>
        <v>0</v>
      </c>
      <c r="BZ6" s="889"/>
      <c r="CA6" s="886">
        <f>(Efac_die_TTW*(gem_verbr_die_A/100)*$E6*N6)+(Efac_CNG_berekening_TTW*(gem_verbr_CNG_A/100)*$E6*O6)+(Efac_elek_berekening_TTW*(gem_verbr_BEV_A/100)*$E6*P6)+(Efac_elek_berekening_TTW*(gem_verbr_FCEV_A_Elek/100)*(100%-_verh_H2_accu_A)*Q6)+(Efac_H2_berekening_TTW*(gem_verbr_FCEV_A_H2/100)*(_verh_H2_accu_A)*Q6)</f>
        <v>0</v>
      </c>
      <c r="CB6" s="887">
        <f>(Efac_die_WTW*(gem_verbr_die_A/100)*$E6*N6)+(Efac_CNG_berekening_WTW*(gem_verbr_CNG_A/100)*$E6*O6)+(Efac_elek_berekening_WTW*(gem_verbr_BEV_A/100)*$E6*P6)+(Efac_elek_berekening_WTW*(gem_verbr_FCEV_A_Elek/100)*(100%-_verh_H2_accu_A)*Q6)+(Efac_H2_berekening_WTW*(gem_verbr_FCEV_A_H2/100)*(_verh_H2_accu_A)*Q6)</f>
        <v>0</v>
      </c>
      <c r="CC6" s="888">
        <f>IF($L6=0,0,(CB6*looptijd)/($L6*$E6*looptijd))</f>
        <v>0</v>
      </c>
    </row>
    <row r="7" spans="1:81">
      <c r="A7" s="891">
        <v>5</v>
      </c>
      <c r="B7" s="867" t="s">
        <v>7</v>
      </c>
      <c r="C7" s="868" t="s">
        <v>1695</v>
      </c>
      <c r="D7" s="868"/>
      <c r="E7" s="872">
        <v>75000</v>
      </c>
      <c r="F7" s="873"/>
      <c r="G7" s="870">
        <f t="shared" si="0"/>
        <v>0</v>
      </c>
      <c r="H7" s="871" t="str">
        <v>n.v.t.</v>
      </c>
      <c r="I7" s="868">
        <v>0</v>
      </c>
      <c r="J7" s="872">
        <v>0</v>
      </c>
      <c r="K7" s="873"/>
      <c r="L7" s="870">
        <f t="shared" si="1"/>
        <v>0</v>
      </c>
      <c r="M7" s="868" t="s">
        <v>158</v>
      </c>
      <c r="N7" s="868">
        <v>0</v>
      </c>
      <c r="O7" s="868">
        <v>0</v>
      </c>
      <c r="P7" s="868">
        <v>0</v>
      </c>
      <c r="Q7" s="874">
        <v>0</v>
      </c>
      <c r="S7" s="875">
        <f>(L7*E7*looptijd)</f>
        <v>0</v>
      </c>
      <c r="U7" s="876">
        <f>(Netto_cat_benz_A*I7)+(Netto_cat_CNG_A*J7)</f>
        <v>0</v>
      </c>
      <c r="V7" s="877">
        <f>IF($G7=0,0,U7/($E7*$G7*looptijd))</f>
        <v>0</v>
      </c>
      <c r="W7" s="878">
        <f>IF(BPM_belasting="ja",(BPM_benz_A*I7)+(BPM_CNG_A*J7),0)</f>
        <v>0</v>
      </c>
      <c r="X7" s="877">
        <f>IF($G7=0,0,W7/($E7*looptijd*$G7))</f>
        <v>0</v>
      </c>
      <c r="Y7" s="879">
        <f>BTW*U7</f>
        <v>0</v>
      </c>
      <c r="Z7" s="879">
        <f>SUM(U7:Y7)</f>
        <v>0</v>
      </c>
      <c r="AA7" s="879">
        <f>IF(BTW_verrekening="ja",((U7+W7-AW7))/2*Rente_financiering,((U7+W7+Y7-AW7)/2)*Rente_financiering)</f>
        <v>0</v>
      </c>
      <c r="AB7" s="880">
        <f>IF(G7=0,0,AA7*looptijd/($E7*looptijd*$G7))</f>
        <v>0</v>
      </c>
      <c r="AD7" s="876">
        <f>(Netto_cat_benz_A*N7)+(Netto_cat_CNG_A*O7)+(Netto_cat_BEV_A*P7)+(Netto_cat_FCEV_A*Q7)</f>
        <v>0</v>
      </c>
      <c r="AE7" s="877">
        <f>IF($L7=0,0,AD7/($E7*$L7*looptijd))</f>
        <v>0</v>
      </c>
      <c r="AF7" s="878">
        <f>IF(BPM_belasting="ja",(BPM_benz_A*N7)+(BPM_CNG_A*O7)+(P7*BPM_BEV)+(Q7*BPM_FCEV),0)</f>
        <v>0</v>
      </c>
      <c r="AG7" s="878">
        <f>IF($L7=0,0,AF7/($E7*looptijd*$L7))</f>
        <v>0</v>
      </c>
      <c r="AH7" s="878">
        <f>BTW*AD7</f>
        <v>0</v>
      </c>
      <c r="AI7" s="878">
        <f>SUM(AD7:AH7)</f>
        <v>0</v>
      </c>
      <c r="AJ7" s="878">
        <f>IF('2. Invoer parameters'!$C$10="ja",MIA_BEV_A*P7,0)</f>
        <v>0</v>
      </c>
      <c r="AK7" s="882">
        <f>IF($L7=0,0,AJ7/($E7*looptijd*$L7))</f>
        <v>0</v>
      </c>
      <c r="AL7" s="881">
        <f>IF(BPM_belasting="nee",(((AD7-AJ7)-BK7)/2)*Rente_financiering,(((AD7-AJ7+AF7)-BL7)/2)*Rente_financiering)</f>
        <v>0</v>
      </c>
      <c r="AM7" s="880">
        <f>IF($L7=0,0,AL7*looptijd/($E7*looptijd*$L7))</f>
        <v>0</v>
      </c>
      <c r="AO7" s="876">
        <f>(I7*verz_benz_A)+(J7*verz_CNG_A)</f>
        <v>0</v>
      </c>
      <c r="AP7" s="877">
        <f>IF($G7=0,0,(AO7*12*looptijd)/($E7*looptijd*$G7))</f>
        <v>0</v>
      </c>
      <c r="AQ7" s="878">
        <f>(input_MRB_benz_A*I7)+(input_MRB_CNG_A*J7)</f>
        <v>0</v>
      </c>
      <c r="AR7" s="877">
        <f>IF($G7=0,0,AQ7/($E7*looptijd*$G7))</f>
        <v>0</v>
      </c>
      <c r="AS7" s="878">
        <f>($E7*I7*(gem_verbr_benz_A/100)*prijs_benz)+($E7*J7*(gem_verbr_CNG_A/100)*prijs_CNG)</f>
        <v>0</v>
      </c>
      <c r="AT7" s="877">
        <f>IF($G7=0,0,(AS7*looptijd)/(looptijd*$E7*$G7))</f>
        <v>0</v>
      </c>
      <c r="AU7" s="878">
        <f>($E7*I7*Onderh_benz_A_hoog_km)+($E7*J7*Onderh_CNG_A_hoog_km)</f>
        <v>0</v>
      </c>
      <c r="AV7" s="877">
        <f>IF($G7=0,0,(AU7*looptijd)/(looptijd*$E7*$G7))</f>
        <v>0</v>
      </c>
      <c r="AW7" s="878">
        <f>Rest_perc*SUM(U7:W7)</f>
        <v>0</v>
      </c>
      <c r="AX7" s="881">
        <f>Rest_perc*SUM(U7:Y7)</f>
        <v>0</v>
      </c>
      <c r="AY7" s="878">
        <f>IF(BTW_verrekening="Ja",((U7+W7)-AW7)/(looptijd*12),((U7+W7+Y7)-AX7)/(looptijd*12))</f>
        <v>0</v>
      </c>
      <c r="AZ7" s="877">
        <f>IF($G7=0,0,(AY7*12*looptijd)/(looptijd*$E7*$G7))</f>
        <v>0</v>
      </c>
      <c r="BA7" s="883">
        <f>(_schadekosten_per_km*E7*G7)/12</f>
        <v>0</v>
      </c>
      <c r="BB7" s="884">
        <f>IF($G7=0,0,(BA7*12*looptijd)/($E7*$G7*looptijd))</f>
        <v>0</v>
      </c>
      <c r="BD7" s="876">
        <f>(N7*verz_benz_A)+(O7*verz_CNG_A)+(P7*verz_BEV_A)+(Q7*verz_FCEV_A)</f>
        <v>0</v>
      </c>
      <c r="BE7" s="877">
        <f>IF($L7=0,0,(BD7*12*looptijd)/($E7*looptijd*$L7))</f>
        <v>0</v>
      </c>
      <c r="BF7" s="878">
        <f>(input_MRB_benz_A*N7)+(input_MRB_die_A*O7)+(input_MRB_BEV_A*P7)+(input_MRB_FCEV_A*Q7)</f>
        <v>0</v>
      </c>
      <c r="BG7" s="877">
        <f>IF($L7=0,0,BF7/($E7*looptijd*$L7))</f>
        <v>0</v>
      </c>
      <c r="BH7" s="878">
        <f>($E7*N7*(gem_verbr_benz_A/100)*prijs_benz)+($E7*O7*(gem_verbr_CNG_A/100)*prijs_CNG)+($E7*P7*(gem_verbr_BEV_A/100)*(prijs_elek_berekening))+($E7*Q7*(gem_verbr_FCEV_A_Elek/100)*prijs_elek_berekening*(100%-_verh_H2_accu_A))+($E7*Q7*(gem_verbr_FCEV_A_H2/100)*prijs_H2*(_verh_H2_accu_A))</f>
        <v>0</v>
      </c>
      <c r="BI7" s="877">
        <f>IF($L7=0,0,(BH7*looptijd)/(looptijd*$E7*$L7))</f>
        <v>0</v>
      </c>
      <c r="BJ7" s="885"/>
      <c r="BK7" s="878">
        <f>Rest_perc_ZE*(AD7+AF7)</f>
        <v>0</v>
      </c>
      <c r="BL7" s="878">
        <f>Rest_perc_ZE*(AD7+AF7+AH7)</f>
        <v>0</v>
      </c>
      <c r="BM7" s="885"/>
      <c r="BN7" s="878">
        <f>($E7*N7*Onderh_benz_A_hoog_km)+($E7*O7*Onderh_CNG_A_hoog_km)+($E7*P7*Onderh_BEV_A_hoog_km)+($E7*Q7*Onderh_FCEV_A_hoog_km)</f>
        <v>0</v>
      </c>
      <c r="BO7" s="877">
        <f>IF($L7=0,0,(BN7*looptijd)/(looptijd*$E7*$L7))</f>
        <v>0</v>
      </c>
      <c r="BP7" s="878"/>
      <c r="BQ7" s="878">
        <f>IF(BTW_verrekening="Ja",((AD7+AF7-AJ7)-BK7)/(looptijd*12),((AD7+AF7+AH7-AJ7)-BL7)/(looptijd*12))</f>
        <v>0</v>
      </c>
      <c r="BR7" s="877">
        <f>IF($G7=0,0,(BQ7*12*looptijd)/(looptijd*$E7*$G7))</f>
        <v>0</v>
      </c>
      <c r="BS7" s="885"/>
      <c r="BT7" s="883">
        <f>(_schadekosten_per_km*E7*L7)/12</f>
        <v>0</v>
      </c>
      <c r="BU7" s="884">
        <f>IF($L7=0,0,(BT7*12*looptijd)/($E7*$L7*looptijd))</f>
        <v>0</v>
      </c>
      <c r="BV7" s="881"/>
      <c r="BW7" s="886">
        <f>(Efac_benz_TTW*(gem_verbr_benz_A/100)*$E7*I7)+(Efac_CNG_berekening_TTW*(gem_verbr_CNG_A/100)*$E7*J7)</f>
        <v>0</v>
      </c>
      <c r="BX7" s="887">
        <f>(Efac_benz_WTW*(gem_verbr_benz_A/100)*$E7*I7)+(Efac_CNG_berekening_WTW*(gem_verbr_CNG_A/100)*$E7*J7)</f>
        <v>0</v>
      </c>
      <c r="BY7" s="888">
        <f>IF($G7=0,0,(BX7*looptijd)/($E7*$G7*looptijd))</f>
        <v>0</v>
      </c>
      <c r="BZ7" s="889"/>
      <c r="CA7" s="886">
        <f>(Efac_die_TTW*(gem_verbr_die_A/100)*$E7*N7)+(Efac_CNG_berekening_TTW*(gem_verbr_CNG_A/100)*$E7*O7)+(Efac_elek_berekening_TTW*(gem_verbr_BEV_A/100)*$E7*P7)+(Efac_elek_berekening_TTW*(gem_verbr_FCEV_A_Elek/100)*(100%-_verh_H2_accu_A)*Q7)+(Efac_H2_berekening_TTW*(gem_verbr_FCEV_A_H2/100)*(_verh_H2_accu_A)*Q7)</f>
        <v>0</v>
      </c>
      <c r="CB7" s="887">
        <f>(Efac_die_WTW*(gem_verbr_die_A/100)*$E7*N7)+(Efac_CNG_berekening_WTW*(gem_verbr_CNG_A/100)*$E7*O7)+(Efac_elek_berekening_WTW*(gem_verbr_BEV_A/100)*$E7*P7)+(Efac_elek_berekening_WTW*(gem_verbr_FCEV_A_Elek/100)*(100%-_verh_H2_accu_A)*Q7)+(Efac_H2_berekening_WTW*(gem_verbr_FCEV_A_H2/100)*(_verh_H2_accu_A)*Q7)</f>
        <v>0</v>
      </c>
      <c r="CC7" s="888">
        <f>IF($L7=0,0,(CB7*looptijd)/($L7*$E7*looptijd))</f>
        <v>0</v>
      </c>
    </row>
    <row r="8" spans="1:81">
      <c r="A8" s="891"/>
      <c r="B8" s="867"/>
      <c r="C8" s="868"/>
      <c r="D8" s="868"/>
      <c r="E8" s="872"/>
      <c r="F8" s="873"/>
      <c r="G8" s="870"/>
      <c r="H8" s="868"/>
      <c r="I8" s="868"/>
      <c r="J8" s="872"/>
      <c r="K8" s="873"/>
      <c r="L8" s="870"/>
      <c r="M8" s="868"/>
      <c r="N8" s="868"/>
      <c r="O8" s="868"/>
      <c r="P8" s="868"/>
      <c r="Q8" s="872"/>
      <c r="S8" s="875"/>
      <c r="U8" s="867"/>
      <c r="V8" s="877"/>
      <c r="W8" s="889"/>
      <c r="X8" s="877"/>
      <c r="Y8" s="879"/>
      <c r="Z8" s="879"/>
      <c r="AA8" s="879"/>
      <c r="AB8" s="880"/>
      <c r="AD8" s="867"/>
      <c r="AE8" s="877"/>
      <c r="AF8" s="878"/>
      <c r="AG8" s="878"/>
      <c r="AH8" s="878"/>
      <c r="AI8" s="878"/>
      <c r="AJ8" s="878"/>
      <c r="AK8" s="882"/>
      <c r="AL8" s="881"/>
      <c r="AM8" s="880"/>
      <c r="AO8" s="867"/>
      <c r="AP8" s="877"/>
      <c r="AQ8" s="889"/>
      <c r="AR8" s="877"/>
      <c r="AS8" s="889"/>
      <c r="AT8" s="877"/>
      <c r="AU8" s="889"/>
      <c r="AV8" s="877"/>
      <c r="AW8" s="878"/>
      <c r="AX8" s="881"/>
      <c r="AY8" s="878"/>
      <c r="AZ8" s="877"/>
      <c r="BA8" s="883"/>
      <c r="BB8" s="884"/>
      <c r="BD8" s="876"/>
      <c r="BE8" s="877"/>
      <c r="BF8" s="889"/>
      <c r="BG8" s="877"/>
      <c r="BH8" s="889"/>
      <c r="BI8" s="877"/>
      <c r="BJ8" s="892"/>
      <c r="BK8" s="878"/>
      <c r="BL8" s="878"/>
      <c r="BM8" s="885"/>
      <c r="BN8" s="889"/>
      <c r="BO8" s="877"/>
      <c r="BP8" s="889"/>
      <c r="BQ8" s="878"/>
      <c r="BR8" s="877"/>
      <c r="BS8" s="885"/>
      <c r="BT8" s="883"/>
      <c r="BU8" s="884"/>
      <c r="BV8" s="881"/>
      <c r="BW8" s="867"/>
      <c r="BX8" s="887"/>
      <c r="BY8" s="888"/>
      <c r="BZ8" s="889"/>
      <c r="CA8" s="867"/>
      <c r="CB8" s="889"/>
      <c r="CC8" s="888"/>
    </row>
    <row r="9" spans="1:81">
      <c r="A9" s="891">
        <v>6</v>
      </c>
      <c r="B9" s="867" t="s">
        <v>12</v>
      </c>
      <c r="C9" s="868" t="s">
        <v>748</v>
      </c>
      <c r="D9" s="868"/>
      <c r="E9" s="869">
        <f>$E$3</f>
        <v>10000</v>
      </c>
      <c r="G9" s="870">
        <f t="shared" si="0"/>
        <v>0</v>
      </c>
      <c r="H9" s="868">
        <f t="array" ref="H9:H13">TRANSPOSE('1a. Invoer - BESTAAND'!J5:N5)</f>
        <v>0</v>
      </c>
      <c r="I9" s="868">
        <f t="array" ref="I9:I13">TRANSPOSE('1a. Invoer - BESTAAND'!E5:I5)</f>
        <v>0</v>
      </c>
      <c r="J9" s="872">
        <f t="array" ref="J9:J13">TRANSPOSE('1a. Invoer - BESTAAND'!E34:I34
)</f>
        <v>0</v>
      </c>
      <c r="K9" s="873"/>
      <c r="L9" s="870">
        <f t="shared" si="1"/>
        <v>0</v>
      </c>
      <c r="M9" s="868">
        <v>0</v>
      </c>
      <c r="N9" s="868">
        <v>0</v>
      </c>
      <c r="O9" s="868">
        <v>0</v>
      </c>
      <c r="P9" s="868">
        <f t="array" ref="P9:P13">TRANSPOSE('1b. Invoer - NIEUW'!E7:I7)</f>
        <v>0</v>
      </c>
      <c r="Q9" s="874">
        <v>0</v>
      </c>
      <c r="S9" s="875">
        <f>(L9*E9*looptijd)</f>
        <v>0</v>
      </c>
      <c r="U9" s="876">
        <f>(Netto_cat_die_B*H9)+(Netto_cat_benz_B*I9)+(Netto_cat_CNG_B*J9)</f>
        <v>0</v>
      </c>
      <c r="V9" s="877">
        <f>IF($G9=0,0,U9/($E9*$G9*looptijd))</f>
        <v>0</v>
      </c>
      <c r="W9" s="878">
        <f>IF(BPM_belasting="ja",(BPM_die_B*H9)+(BPM_benz_B*I9)+(BPM_CNG_B*J9),0)</f>
        <v>0</v>
      </c>
      <c r="X9" s="877">
        <f>IF($G9=0,0,W9/($E9*looptijd*$G9))</f>
        <v>0</v>
      </c>
      <c r="Y9" s="879">
        <f>BTW*U9</f>
        <v>0</v>
      </c>
      <c r="Z9" s="879">
        <f>SUM(U9:Y9)</f>
        <v>0</v>
      </c>
      <c r="AA9" s="879">
        <f>IF(BTW_verrekening="ja",((U9+W9-AW9))/2*Rente_financiering,((U9+W9+Y9-AW9)/2)*Rente_financiering)</f>
        <v>0</v>
      </c>
      <c r="AB9" s="880">
        <f>IF(G9=0,0,AA9*looptijd/($E9*looptijd*$G9))</f>
        <v>0</v>
      </c>
      <c r="AD9" s="876">
        <f>(Netto_cat_die_B*M9)+(Netto_cat_benz_B*N9)+(Netto_cat_CNG_B*O9)+(Netto_cat_BEV_B*P9)+(Netto_cat_FCEV_B*Q9)</f>
        <v>0</v>
      </c>
      <c r="AE9" s="877">
        <f>IF($L9=0,0,AD9/($E9*$L9*looptijd))</f>
        <v>0</v>
      </c>
      <c r="AF9" s="878">
        <f>IF(BPM_belasting="ja",(BPM_benz_A*N9)+(BPM_CNG_A*O9)+(P9*BPM_BEV)+(Q9*BPM_FCEV),0)</f>
        <v>0</v>
      </c>
      <c r="AG9" s="878">
        <f>IF($L9=0,0,AF9/($E9*looptijd*$L9))</f>
        <v>0</v>
      </c>
      <c r="AH9" s="878">
        <f>BTW*AD9</f>
        <v>0</v>
      </c>
      <c r="AI9" s="878">
        <f>SUM(AD9:AH9)</f>
        <v>0</v>
      </c>
      <c r="AJ9" s="878">
        <f>IF('2. Invoer parameters'!$C$10="ja",MIA_BEV_B*P9,0)</f>
        <v>0</v>
      </c>
      <c r="AK9" s="882">
        <f>IF($L9=0,0,AJ9/($E9*looptijd*$L9))</f>
        <v>0</v>
      </c>
      <c r="AL9" s="881">
        <f>IF(BPM_belasting="nee",(((AD9-AJ9)-BK9)/2)*Rente_financiering,(((AD9-AJ9+AF9)-BL9)/2)*Rente_financiering)</f>
        <v>0</v>
      </c>
      <c r="AM9" s="880">
        <f>IF($L9=0,0,AL9*looptijd/($E9*looptijd*$L9))</f>
        <v>0</v>
      </c>
      <c r="AO9" s="876">
        <f>(H9*verz_die_B)+(I9*verz_benz_B)+(J9*verz_CNG_B)</f>
        <v>0</v>
      </c>
      <c r="AP9" s="877">
        <f>IF($G9=0,0,(AO9*12*looptijd)/($E9*looptijd*$G9))</f>
        <v>0</v>
      </c>
      <c r="AQ9" s="878">
        <f>(input_MRB_die_B*$H9)+(input_MRB_benz_B*$I9)+(input_MRB_CNG_B*J9)</f>
        <v>0</v>
      </c>
      <c r="AR9" s="877">
        <f>IF($G9=0,0,AQ9/($E9*looptijd*$G9))</f>
        <v>0</v>
      </c>
      <c r="AS9" s="878">
        <f>($E9*H9*(gem_verbr_die_B/100)*prijs_die)+($E9*I9*(gem_verbr_benz_B/100)*prijs_benz)+($E9*J9*(gem_verbr_CNG_B/100)*prijs_CNG)</f>
        <v>0</v>
      </c>
      <c r="AT9" s="877">
        <f>IF($G9=0,0,(AS9*looptijd)/(looptijd*$E9*$G9))</f>
        <v>0</v>
      </c>
      <c r="AU9" s="878">
        <f>($E9*H9*Onderh_die_B)+($E9*I9*Onderh_benz_B)+($E9*J9*Onderh_CNG_B)</f>
        <v>0</v>
      </c>
      <c r="AV9" s="877">
        <f>IF($G9=0,0,(AU9*looptijd)/(looptijd*$E9*$G9))</f>
        <v>0</v>
      </c>
      <c r="AW9" s="878">
        <f>Rest_perc*SUM(U9:W9)</f>
        <v>0</v>
      </c>
      <c r="AX9" s="881">
        <f>Rest_perc*SUM(U9:Y9)</f>
        <v>0</v>
      </c>
      <c r="AY9" s="878">
        <f>IF(BTW_verrekening="Ja",((U9+W9)-AW9)/(looptijd*12),((U9+W9+Y9)-AX9)/(looptijd*12))</f>
        <v>0</v>
      </c>
      <c r="AZ9" s="877">
        <f>IF($G9=0,0,(AY9*12*looptijd)/(looptijd*$E9*$G9))</f>
        <v>0</v>
      </c>
      <c r="BA9" s="883">
        <f>(_schadekosten_per_km*E9*G9)/12</f>
        <v>0</v>
      </c>
      <c r="BB9" s="884">
        <f>IF($G9=0,0,(BA9*12*looptijd)/($E9*$G9*looptijd))</f>
        <v>0</v>
      </c>
      <c r="BD9" s="876">
        <f>(M9*verz_die_B)+(N9*verz_benz_B)+(O9*verz_CNG_B)+(P9*verz_BEV_B)+(Q9*verz_FCEV_B)</f>
        <v>0</v>
      </c>
      <c r="BE9" s="877">
        <f>IF($L9=0,0,(BD9*12*looptijd)/($E9*looptijd*$L9))</f>
        <v>0</v>
      </c>
      <c r="BF9" s="878">
        <f>(input_MRB_benz_B*N9)+(input_MRB_die_B*O9)+(input_MRB_BEV_B*P9)+(input_MRB_FCEV_B*Q9)</f>
        <v>0</v>
      </c>
      <c r="BG9" s="877">
        <f>IF($L9=0,0,BF9/($E9*looptijd*$L9))</f>
        <v>0</v>
      </c>
      <c r="BH9" s="878">
        <f>($E9*M9*(gem_verbr_die_B/100)*prijs_die)+($E9*N9*(gem_verbr_benz_B/100)*prijs_benz)+($E9*O9*(gem_verbr_CNG_B/100)*prijs_CNG)+($E9*P9*(gem_verbr_BEV_B/100)*prijs_elek_berekening)+($E9*Q9*(gem_verbr_FCEV_B_Elek/100)*prijs_elek_berekening*(100%-_verh_H2_accu_B))+($E3*Q9*(gem_verbr_FCEV_B_H2/100)*prijs_H2*(_verh_H2_accu_B))</f>
        <v>0</v>
      </c>
      <c r="BI9" s="877">
        <f>IF($L9=0,0,(BH9*looptijd)/(looptijd*$E9*$L9))</f>
        <v>0</v>
      </c>
      <c r="BJ9" s="885"/>
      <c r="BK9" s="878">
        <f>Rest_perc_ZE*(AD9+AF9)</f>
        <v>0</v>
      </c>
      <c r="BL9" s="878">
        <f>Rest_perc_ZE*(AD9+AF9+AH9)</f>
        <v>0</v>
      </c>
      <c r="BM9" s="885"/>
      <c r="BN9" s="878">
        <f>($E9*M9*Onderh_die_B)+($E9*N9*Onderh_benz_B)+($E9*O9*Onderh_CNG_B)+($E9*P9*Onderh_BEV_B)+($E9*Q9*Onderh_FCEV_B)</f>
        <v>0</v>
      </c>
      <c r="BO9" s="877">
        <f>IF($L9=0,0,(BN9*looptijd)/(looptijd*$E9*$L9))</f>
        <v>0</v>
      </c>
      <c r="BP9" s="878"/>
      <c r="BQ9" s="878">
        <f>IF(BTW_verrekening="Ja",((AD9+AF9-AJ9)-BK9)/(looptijd*12),((AD9+AF9+AH9-AJ9)-BL9)/(looptijd*12))</f>
        <v>0</v>
      </c>
      <c r="BR9" s="877">
        <f>IF($G9=0,0,(BQ9*12*looptijd)/(looptijd*$E9*$G9))</f>
        <v>0</v>
      </c>
      <c r="BS9" s="885"/>
      <c r="BT9" s="883">
        <f>(_schadekosten_per_km*E9*L9)/12</f>
        <v>0</v>
      </c>
      <c r="BU9" s="884">
        <f>IF($L9=0,0,(BT9*12*looptijd)/($E9*$L9*looptijd))</f>
        <v>0</v>
      </c>
      <c r="BV9" s="881"/>
      <c r="BW9" s="886">
        <f>(Efac_die_TTW*(gem_verbr_die_B/100)*$E9*H9)+(Efac_benz_TTW*(gem_verbr_benz_B/100)*$E9*I9)+(Efac_CNG_berekening_TTW*(gem_verbr_CNG_B/100)*$E9*J9)</f>
        <v>0</v>
      </c>
      <c r="BX9" s="887">
        <f>(Efac_die_WTW*(gem_verbr_die_B/100)*$E9*H9)+(Efac_benz_WTW*(gem_verbr_benz_B/100)*$E9*I9)+(Efac_CNG_berekening_WTW*(gem_verbr_CNG_B/100)*$E9*J9)</f>
        <v>0</v>
      </c>
      <c r="BY9" s="888">
        <f>IF($G9=0,0,(BX9*looptijd)/($E9*$G9*looptijd))</f>
        <v>0</v>
      </c>
      <c r="BZ9" s="889"/>
      <c r="CA9" s="886">
        <f>(Efac_die_TTW*(gem_verbr_die_B/100)*$E9*M9)+(Efac_benz_TTW*(gem_verbr_benz_B/100)*$E9*N9)+(Efac_CNG_berekening_TTW*(gem_verbr_CNG_B/100)*$E9*O9)+(Efac_elek_berekening_TTW*(gem_verbr_BEV_A/100)*$E9*P9)+(Efac_elek_berekening_TTW*(gem_verbr_FCEV_B_Elek/100)*(100%-_verh_H2_accu_B)*Q9)+(Efac_H2_berekening_TTW*(gem_verbr_FCEV_B_H2/100)*(_verh_H2_accu_B)*Q9)</f>
        <v>0</v>
      </c>
      <c r="CB9" s="887">
        <f>(Efac_die_WTW*(gem_verbr_die_B/100)*$E9*M9)+(Efac_benz_WTW*(gem_verbr_benz_B/100)*$E9*N9)+(Efac_CNG_berekening_WTW*(gem_verbr_CNG_B/100)*$E9*O9)+(Efac_elek_berekening_WTW*(gem_verbr_BEV_A/100)*$E9*P9)+(Efac_elek_berekening_WTW*(gem_verbr_FCEV_B_Elek/100)*(100%-_verh_H2_accu_B)*Q9)+(Efac_H2_berekening_WTW*(gem_verbr_FCEV_B_H2/100)*(_verh_H2_accu_B)*Q9)</f>
        <v>0</v>
      </c>
      <c r="CC9" s="888">
        <f>IF($L9=0,0,(CB9*looptijd)/($L9*$E9*looptijd))</f>
        <v>0</v>
      </c>
    </row>
    <row r="10" spans="1:81">
      <c r="A10" s="891">
        <v>7</v>
      </c>
      <c r="B10" s="867" t="s">
        <v>12</v>
      </c>
      <c r="C10" s="868" t="s">
        <v>749</v>
      </c>
      <c r="D10" s="868"/>
      <c r="E10" s="869">
        <f>$E$4</f>
        <v>15000</v>
      </c>
      <c r="G10" s="870">
        <f t="shared" si="0"/>
        <v>0</v>
      </c>
      <c r="H10" s="868">
        <v>0</v>
      </c>
      <c r="I10" s="868">
        <v>0</v>
      </c>
      <c r="J10" s="872">
        <v>0</v>
      </c>
      <c r="K10" s="873"/>
      <c r="L10" s="870">
        <f t="shared" si="1"/>
        <v>0</v>
      </c>
      <c r="M10" s="868">
        <v>0</v>
      </c>
      <c r="N10" s="868">
        <v>0</v>
      </c>
      <c r="O10" s="868">
        <v>0</v>
      </c>
      <c r="P10" s="868">
        <v>0</v>
      </c>
      <c r="Q10" s="874">
        <v>0</v>
      </c>
      <c r="S10" s="875">
        <f>(L10*E10*looptijd)</f>
        <v>0</v>
      </c>
      <c r="U10" s="876">
        <f>(Netto_cat_die_B*H10)+(Netto_cat_benz_B*I10)+(Netto_cat_CNG_B*J10)</f>
        <v>0</v>
      </c>
      <c r="V10" s="877">
        <f>IF($G10=0,0,U10/($E10*$G10*looptijd))</f>
        <v>0</v>
      </c>
      <c r="W10" s="878">
        <f>IF(BPM_belasting="ja",(BPM_die_B*H10)+(BPM_benz_B*I10)+(BPM_CNG_B*J10),0)</f>
        <v>0</v>
      </c>
      <c r="X10" s="877">
        <f>IF($G10=0,0,W10/($E10*looptijd*$G10))</f>
        <v>0</v>
      </c>
      <c r="Y10" s="879">
        <f>BTW*U10</f>
        <v>0</v>
      </c>
      <c r="Z10" s="879">
        <f>SUM(U10:Y10)</f>
        <v>0</v>
      </c>
      <c r="AA10" s="879">
        <f>IF(BTW_verrekening="ja",((U10+W10-AW10))/2*Rente_financiering,((U10+W10+Y10-AW10)/2)*Rente_financiering)</f>
        <v>0</v>
      </c>
      <c r="AB10" s="880">
        <f>IF(G10=0,0,AA10*looptijd/($E10*looptijd*$G10))</f>
        <v>0</v>
      </c>
      <c r="AD10" s="876">
        <f>(Netto_cat_die_B*M10)+(Netto_cat_benz_B*N10)+(Netto_cat_CNG_B*O10)+(Netto_cat_BEV_B*P10)+(Netto_cat_FCEV_B*Q10)</f>
        <v>0</v>
      </c>
      <c r="AE10" s="877">
        <f>IF($L10=0,0,AD10/($E10*$L10*looptijd))</f>
        <v>0</v>
      </c>
      <c r="AF10" s="878">
        <f>IF(BPM_belasting="ja",(BPM_benz_A*N10)+(BPM_CNG_A*O10)+(P10*BPM_BEV)+(Q10*BPM_FCEV),0)</f>
        <v>0</v>
      </c>
      <c r="AG10" s="878">
        <f>IF($L10=0,0,AF10/($E10*looptijd*$L10))</f>
        <v>0</v>
      </c>
      <c r="AH10" s="878">
        <f>BTW*AD10</f>
        <v>0</v>
      </c>
      <c r="AI10" s="878">
        <f>SUM(AD10:AH10)</f>
        <v>0</v>
      </c>
      <c r="AJ10" s="878">
        <f>IF('2. Invoer parameters'!$C$10="ja",MIA_BEV_B*P10,0)</f>
        <v>0</v>
      </c>
      <c r="AK10" s="882">
        <f>IF($L10=0,0,AJ10/($E10*looptijd*$L10))</f>
        <v>0</v>
      </c>
      <c r="AL10" s="881">
        <f>IF(BPM_belasting="nee",(((AD10-AJ10)-BK10)/2)*Rente_financiering,(((AD10-AJ10+AF10)-BL10)/2)*Rente_financiering)</f>
        <v>0</v>
      </c>
      <c r="AM10" s="880">
        <f>IF($L10=0,0,AL10*looptijd/($E10*looptijd*$L10))</f>
        <v>0</v>
      </c>
      <c r="AO10" s="876">
        <f>(H10*verz_die_B)+(I10*verz_benz_B)+(J10*verz_CNG_B)</f>
        <v>0</v>
      </c>
      <c r="AP10" s="877">
        <f>IF($G10=0,0,(AO10*12*looptijd)/($E10*looptijd*$G10))</f>
        <v>0</v>
      </c>
      <c r="AQ10" s="878">
        <f>(input_MRB_die_B*$H10)+(input_MRB_benz_B*$I10)+(input_MRB_CNG_B*J10)</f>
        <v>0</v>
      </c>
      <c r="AR10" s="877">
        <f>IF($G10=0,0,AQ10/($E10*looptijd*$G10))</f>
        <v>0</v>
      </c>
      <c r="AS10" s="878">
        <f>($E10*H10*(gem_verbr_die_B/100)*prijs_die)+($E10*I10*(gem_verbr_benz_B/100)*prijs_benz)+($E10*J10*(gem_verbr_CNG_B/100)*prijs_CNG)</f>
        <v>0</v>
      </c>
      <c r="AT10" s="877">
        <f>IF($G10=0,0,(AS10*looptijd)/(looptijd*$E10*$G10))</f>
        <v>0</v>
      </c>
      <c r="AU10" s="878">
        <f>($E10*H10*Onderh_die_B)+($E10*I10*Onderh_benz_B)+($E10*J10*Onderh_CNG_B)</f>
        <v>0</v>
      </c>
      <c r="AV10" s="877">
        <f>IF($G10=0,0,(AU10*looptijd)/(looptijd*$E10*$G10))</f>
        <v>0</v>
      </c>
      <c r="AW10" s="878">
        <f>Rest_perc*SUM(U10:W10)</f>
        <v>0</v>
      </c>
      <c r="AX10" s="881">
        <f>Rest_perc*SUM(U10:Y10)</f>
        <v>0</v>
      </c>
      <c r="AY10" s="878">
        <f>IF(BTW_verrekening="Ja",((U10+W10)-AW10)/(looptijd*12),((U10+W10+Y10)-AX10)/(looptijd*12))</f>
        <v>0</v>
      </c>
      <c r="AZ10" s="877">
        <f>IF($G10=0,0,(AY10*12*looptijd)/(looptijd*$E10*$G10))</f>
        <v>0</v>
      </c>
      <c r="BA10" s="883">
        <f>(_schadekosten_per_km*E10*G10)/12</f>
        <v>0</v>
      </c>
      <c r="BB10" s="884">
        <f>IF($G10=0,0,(BA10*12*looptijd)/($E10*$G10*looptijd))</f>
        <v>0</v>
      </c>
      <c r="BD10" s="876">
        <f>(M10*verz_die_B)+(N10*verz_benz_B)+(O10*verz_CNG_B)+(P10*verz_BEV_B)+(Q10*verz_FCEV_B)</f>
        <v>0</v>
      </c>
      <c r="BE10" s="877">
        <f>IF($L10=0,0,(BD10*12*looptijd)/($E10*looptijd*$L10))</f>
        <v>0</v>
      </c>
      <c r="BF10" s="878">
        <f>(input_MRB_benz_B*N10)+(input_MRB_die_B*O10)+(input_MRB_BEV_B*P10)+(input_MRB_FCEV_B*Q10)</f>
        <v>0</v>
      </c>
      <c r="BG10" s="877">
        <f>IF($L10=0,0,BF10/($E10*looptijd*$L10))</f>
        <v>0</v>
      </c>
      <c r="BH10" s="878">
        <f>($E10*M10*(gem_verbr_die_B/100)*prijs_die)+($E10*N10*(gem_verbr_benz_B/100)*prijs_benz)+($E10*O10*(gem_verbr_CNG_B/100)*prijs_CNG)+($E10*P10*(gem_verbr_BEV_B/100)*prijs_elek_berekening)+($E10*Q10*(gem_verbr_FCEV_B_Elek/100)*prijs_elek_berekening*(100%-_verh_H2_accu_B))+($E4*Q10*(gem_verbr_FCEV_B_H2/100)*prijs_H2*(_verh_H2_accu_B))</f>
        <v>0</v>
      </c>
      <c r="BI10" s="877">
        <f>IF($L10=0,0,(BH10*looptijd)/(looptijd*$E10*$L10))</f>
        <v>0</v>
      </c>
      <c r="BJ10" s="885"/>
      <c r="BK10" s="878">
        <f>Rest_perc_ZE*(AD10+AF10)</f>
        <v>0</v>
      </c>
      <c r="BL10" s="878">
        <f>Rest_perc_ZE*(AD10+AF10+AH10)</f>
        <v>0</v>
      </c>
      <c r="BM10" s="885"/>
      <c r="BN10" s="878">
        <f>($E10*M10*Onderh_die_B)+($E10*N10*Onderh_benz_B)+($E10*O10*Onderh_CNG_B)+($E10*P10*Onderh_BEV_B)+($E10*Q10*Onderh_FCEV_B)</f>
        <v>0</v>
      </c>
      <c r="BO10" s="877">
        <f>IF($L10=0,0,(BN10*looptijd)/(looptijd*$E10*$L10))</f>
        <v>0</v>
      </c>
      <c r="BP10" s="878"/>
      <c r="BQ10" s="878">
        <f>IF(BTW_verrekening="Ja",((AD10+AF10-AJ10)-BK10)/(looptijd*12),((AD10+AF10+AH10-AJ10)-BL10)/(looptijd*12))</f>
        <v>0</v>
      </c>
      <c r="BR10" s="877">
        <f>IF($G10=0,0,(BQ10*12*looptijd)/(looptijd*$E10*$G10))</f>
        <v>0</v>
      </c>
      <c r="BS10" s="885"/>
      <c r="BT10" s="883">
        <f>(_schadekosten_per_km*E10*L10)/12</f>
        <v>0</v>
      </c>
      <c r="BU10" s="884">
        <f>IF($L10=0,0,(BT10*12*looptijd)/($E10*$L10*looptijd))</f>
        <v>0</v>
      </c>
      <c r="BV10" s="881"/>
      <c r="BW10" s="886">
        <f>(Efac_die_TTW*(gem_verbr_die_B/100)*$E10*H10)+(Efac_benz_TTW*(gem_verbr_benz_B/100)*$E10*I10)+(Efac_CNG_berekening_TTW*(gem_verbr_CNG_B/100)*$E10*J10)</f>
        <v>0</v>
      </c>
      <c r="BX10" s="887">
        <f>(Efac_die_WTW*(gem_verbr_die_B/100)*$E10*H10)+(Efac_benz_WTW*(gem_verbr_benz_B/100)*$E10*I10)+(Efac_CNG_berekening_WTW*(gem_verbr_CNG_B/100)*$E10*J10)</f>
        <v>0</v>
      </c>
      <c r="BY10" s="888">
        <f>IF($G10=0,0,(BX10*looptijd)/($E10*$G10*looptijd))</f>
        <v>0</v>
      </c>
      <c r="BZ10" s="889"/>
      <c r="CA10" s="886">
        <f>(Efac_die_TTW*(gem_verbr_die_B/100)*$E10*M10)+(Efac_benz_TTW*(gem_verbr_benz_B/100)*$E10*N10)+(Efac_CNG_berekening_TTW*(gem_verbr_CNG_B/100)*$E10*O10)+(Efac_elek_berekening_TTW*(gem_verbr_BEV_A/100)*$E10*P10)+(Efac_elek_berekening_TTW*(gem_verbr_FCEV_B_Elek/100)*(100%-_verh_H2_accu_B)*Q10)+(Efac_H2_berekening_TTW*(gem_verbr_FCEV_B_H2/100)*(_verh_H2_accu_B)*Q10)</f>
        <v>0</v>
      </c>
      <c r="CB10" s="887">
        <f>(Efac_die_WTW*(gem_verbr_die_B/100)*$E10*M10)+(Efac_benz_WTW*(gem_verbr_benz_B/100)*$E10*N10)+(Efac_CNG_berekening_WTW*(gem_verbr_CNG_B/100)*$E10*O10)+(Efac_elek_berekening_WTW*(gem_verbr_BEV_A/100)*$E10*P10)+(Efac_elek_berekening_WTW*(gem_verbr_FCEV_B_Elek/100)*(100%-_verh_H2_accu_B)*Q10)+(Efac_H2_berekening_WTW*(gem_verbr_FCEV_B_H2/100)*(_verh_H2_accu_B)*Q10)</f>
        <v>0</v>
      </c>
      <c r="CC10" s="888">
        <f>IF($L10=0,0,(CB10*looptijd)/($L10*$E10*looptijd))</f>
        <v>0</v>
      </c>
    </row>
    <row r="11" spans="1:81">
      <c r="A11" s="891">
        <v>8</v>
      </c>
      <c r="B11" s="867" t="s">
        <v>12</v>
      </c>
      <c r="C11" s="868" t="s">
        <v>750</v>
      </c>
      <c r="D11" s="868"/>
      <c r="E11" s="869">
        <f>$E$5</f>
        <v>25000</v>
      </c>
      <c r="G11" s="870">
        <f t="shared" si="0"/>
        <v>0</v>
      </c>
      <c r="H11" s="868">
        <v>0</v>
      </c>
      <c r="I11" s="868">
        <v>0</v>
      </c>
      <c r="J11" s="872">
        <v>0</v>
      </c>
      <c r="K11" s="873"/>
      <c r="L11" s="870">
        <f t="shared" si="1"/>
        <v>0</v>
      </c>
      <c r="M11" s="868">
        <v>0</v>
      </c>
      <c r="N11" s="868">
        <v>0</v>
      </c>
      <c r="O11" s="868">
        <v>0</v>
      </c>
      <c r="P11" s="868">
        <v>0</v>
      </c>
      <c r="Q11" s="874">
        <v>0</v>
      </c>
      <c r="S11" s="875">
        <f>(L11*E11*looptijd)</f>
        <v>0</v>
      </c>
      <c r="U11" s="876">
        <f>(Netto_cat_die_B*H11)+(Netto_cat_benz_B*I11)+(Netto_cat_CNG_B*J11)</f>
        <v>0</v>
      </c>
      <c r="V11" s="877">
        <f>IF($G11=0,0,U11/($E11*$G11*looptijd))</f>
        <v>0</v>
      </c>
      <c r="W11" s="878">
        <f>IF(BPM_belasting="ja",(BPM_die_B*H11)+(BPM_benz_B*I11)+(BPM_CNG_B*J11),0)</f>
        <v>0</v>
      </c>
      <c r="X11" s="877">
        <f>IF($G11=0,0,W11/($E11*looptijd*$G11))</f>
        <v>0</v>
      </c>
      <c r="Y11" s="879">
        <f>BTW*U11</f>
        <v>0</v>
      </c>
      <c r="Z11" s="879">
        <f>SUM(U11:Y11)</f>
        <v>0</v>
      </c>
      <c r="AA11" s="879">
        <f>IF(BTW_verrekening="ja",((U11+W11-AW11))/2*Rente_financiering,((U11+W11+Y11-AW11)/2)*Rente_financiering)</f>
        <v>0</v>
      </c>
      <c r="AB11" s="880">
        <f>IF(G11=0,0,AA11*looptijd/($E11*looptijd*$G11))</f>
        <v>0</v>
      </c>
      <c r="AD11" s="876">
        <f>(Netto_cat_die_B*M11)+(Netto_cat_benz_B*N11)+(Netto_cat_CNG_B*O11)+(Netto_cat_BEV_B*P11)+(Netto_cat_FCEV_B*Q11)</f>
        <v>0</v>
      </c>
      <c r="AE11" s="877">
        <f>IF($L11=0,0,AD11/($E11*$L11*looptijd))</f>
        <v>0</v>
      </c>
      <c r="AF11" s="878">
        <f>IF(BPM_belasting="ja",(BPM_benz_A*N11)+(BPM_CNG_A*O11)+(P11*BPM_BEV)+(Q11*BPM_FCEV),0)</f>
        <v>0</v>
      </c>
      <c r="AG11" s="878">
        <f>IF($L11=0,0,AF11/($E11*looptijd*$L11))</f>
        <v>0</v>
      </c>
      <c r="AH11" s="878">
        <f>BTW*AD11</f>
        <v>0</v>
      </c>
      <c r="AI11" s="878">
        <f>SUM(AD11:AH11)</f>
        <v>0</v>
      </c>
      <c r="AJ11" s="878">
        <f>IF('2. Invoer parameters'!$C$10="ja",MIA_BEV_B*P11,0)</f>
        <v>0</v>
      </c>
      <c r="AK11" s="882">
        <f>IF($L11=0,0,AJ11/($E11*looptijd*$L11))</f>
        <v>0</v>
      </c>
      <c r="AL11" s="881">
        <f>IF(BPM_belasting="nee",(((AD11-AJ11)-BK11)/2)*Rente_financiering,(((AD11-AJ11+AF11)-BL11)/2)*Rente_financiering)</f>
        <v>0</v>
      </c>
      <c r="AM11" s="880">
        <f>IF($L11=0,0,AL11*looptijd/($E11*looptijd*$L11))</f>
        <v>0</v>
      </c>
      <c r="AO11" s="876">
        <f>(H11*verz_die_B)+(I11*verz_benz_B)+(J11*verz_CNG_B)</f>
        <v>0</v>
      </c>
      <c r="AP11" s="877">
        <f>IF($G11=0,0,(AO11*12*looptijd)/($E11*looptijd*$G11))</f>
        <v>0</v>
      </c>
      <c r="AQ11" s="878">
        <f>(input_MRB_die_B*$H11)+(input_MRB_benz_B*$I11)+(input_MRB_CNG_B*J11)</f>
        <v>0</v>
      </c>
      <c r="AR11" s="877">
        <f>IF($G11=0,0,AQ11/($E11*looptijd*$G11))</f>
        <v>0</v>
      </c>
      <c r="AS11" s="878">
        <f>($E11*H11*(gem_verbr_die_B/100)*prijs_die)+($E11*I11*(gem_verbr_benz_B/100)*prijs_benz)+($E11*J11*(gem_verbr_CNG_B/100)*prijs_CNG)</f>
        <v>0</v>
      </c>
      <c r="AT11" s="877">
        <f>IF($G11=0,0,(AS11*looptijd)/(looptijd*$E11*$G11))</f>
        <v>0</v>
      </c>
      <c r="AU11" s="878">
        <f>($E11*H11*Onderh_die_B)+($E11*I11*Onderh_benz_B)+($E11*J11*Onderh_CNG_B)</f>
        <v>0</v>
      </c>
      <c r="AV11" s="877">
        <f>IF($G11=0,0,(AU11*looptijd)/(looptijd*$E11*$G11))</f>
        <v>0</v>
      </c>
      <c r="AW11" s="878">
        <f>Rest_perc*SUM(U11:W11)</f>
        <v>0</v>
      </c>
      <c r="AX11" s="881">
        <f>Rest_perc*SUM(U11:Y11)</f>
        <v>0</v>
      </c>
      <c r="AY11" s="878">
        <f>IF(BTW_verrekening="Ja",((U11+W11)-AW11)/(looptijd*12),((U11+W11+Y11)-AX11)/(looptijd*12))</f>
        <v>0</v>
      </c>
      <c r="AZ11" s="877">
        <f>IF($G11=0,0,(AY11*12*looptijd)/(looptijd*$E11*$G11))</f>
        <v>0</v>
      </c>
      <c r="BA11" s="883">
        <f>(_schadekosten_per_km*E11*G11)/12</f>
        <v>0</v>
      </c>
      <c r="BB11" s="884">
        <f>IF($G11=0,0,(BA11*12*looptijd)/($E11*$G11*looptijd))</f>
        <v>0</v>
      </c>
      <c r="BD11" s="876">
        <f>(M11*verz_die_B)+(N11*verz_benz_B)+(O11*verz_CNG_B)+(P11*verz_BEV_B)+(Q11*verz_FCEV_B)</f>
        <v>0</v>
      </c>
      <c r="BE11" s="877">
        <f>IF($L11=0,0,(BD11*12*looptijd)/($E11*looptijd*$L11))</f>
        <v>0</v>
      </c>
      <c r="BF11" s="878">
        <f>(input_MRB_benz_B*N11)+(input_MRB_die_B*O11)+(input_MRB_BEV_B*P11)+(input_MRB_FCEV_B*Q11)</f>
        <v>0</v>
      </c>
      <c r="BG11" s="877">
        <f>IF($L11=0,0,BF11/($E11*looptijd*$L11))</f>
        <v>0</v>
      </c>
      <c r="BH11" s="878">
        <f>($E11*M11*(gem_verbr_die_B/100)*prijs_die)+($E11*N11*(gem_verbr_benz_B/100)*prijs_benz)+($E11*O11*(gem_verbr_CNG_B/100)*prijs_CNG)+($E11*P11*(gem_verbr_BEV_B/100)*prijs_elek_berekening)+($E11*Q11*(gem_verbr_FCEV_B_Elek/100)*prijs_elek_berekening*(100%-_verh_H2_accu_B))+($E5*Q11*(gem_verbr_FCEV_B_H2/100)*prijs_H2*(_verh_H2_accu_B))</f>
        <v>0</v>
      </c>
      <c r="BI11" s="877">
        <f>IF($L11=0,0,(BH11*looptijd)/(looptijd*$E11*$L11))</f>
        <v>0</v>
      </c>
      <c r="BJ11" s="885"/>
      <c r="BK11" s="878">
        <f>Rest_perc_ZE*(AD11+AF11)</f>
        <v>0</v>
      </c>
      <c r="BL11" s="878">
        <f>Rest_perc_ZE*(AD11+AF11+AH11)</f>
        <v>0</v>
      </c>
      <c r="BM11" s="885"/>
      <c r="BN11" s="878">
        <f>($E11*M11*Onderh_die_B)+($E11*N11*Onderh_benz_B)+($E11*O11*Onderh_CNG_B)+($E11*P11*Onderh_BEV_B)+($E11*Q11*Onderh_FCEV_B)</f>
        <v>0</v>
      </c>
      <c r="BO11" s="877">
        <f>IF($L11=0,0,(BN11*looptijd)/(looptijd*$E11*$L11))</f>
        <v>0</v>
      </c>
      <c r="BP11" s="878"/>
      <c r="BQ11" s="878">
        <f>IF(BTW_verrekening="Ja",((AD11+AF11-AJ11)-BK11)/(looptijd*12),((AD11+AF11+AH11-AJ11)-BL11)/(looptijd*12))</f>
        <v>0</v>
      </c>
      <c r="BR11" s="877">
        <f>IF($G11=0,0,(BQ11*12*looptijd)/(looptijd*$E11*$G11))</f>
        <v>0</v>
      </c>
      <c r="BS11" s="885"/>
      <c r="BT11" s="883">
        <f>(_schadekosten_per_km*E11*L11)/12</f>
        <v>0</v>
      </c>
      <c r="BU11" s="884">
        <f>IF($L11=0,0,(BT11*12*looptijd)/($E11*$L11*looptijd))</f>
        <v>0</v>
      </c>
      <c r="BV11" s="881"/>
      <c r="BW11" s="886">
        <f>(Efac_die_TTW*(gem_verbr_die_B/100)*$E11*H11)+(Efac_benz_TTW*(gem_verbr_benz_B/100)*$E11*I11)+(Efac_CNG_berekening_TTW*(gem_verbr_CNG_B/100)*$E11*J11)</f>
        <v>0</v>
      </c>
      <c r="BX11" s="887">
        <f>(Efac_die_WTW*(gem_verbr_die_B/100)*$E11*H11)+(Efac_benz_WTW*(gem_verbr_benz_B/100)*$E11*I11)+(Efac_CNG_berekening_WTW*(gem_verbr_CNG_B/100)*$E11*J11)</f>
        <v>0</v>
      </c>
      <c r="BY11" s="888">
        <f>IF($G11=0,0,(BX11*looptijd)/($E11*$G11*looptijd))</f>
        <v>0</v>
      </c>
      <c r="BZ11" s="889"/>
      <c r="CA11" s="886">
        <f>(Efac_die_TTW*(gem_verbr_die_B/100)*$E11*M11)+(Efac_benz_TTW*(gem_verbr_benz_B/100)*$E11*N11)+(Efac_CNG_berekening_TTW*(gem_verbr_CNG_B/100)*$E11*O11)+(Efac_elek_berekening_TTW*(gem_verbr_BEV_A/100)*$E11*P11)+(Efac_elek_berekening_TTW*(gem_verbr_FCEV_B_Elek/100)*(100%-_verh_H2_accu_B)*Q11)+(Efac_H2_berekening_TTW*(gem_verbr_FCEV_B_H2/100)*(_verh_H2_accu_B)*Q11)</f>
        <v>0</v>
      </c>
      <c r="CB11" s="887">
        <f>(Efac_die_WTW*(gem_verbr_die_B/100)*$E11*M11)+(Efac_benz_WTW*(gem_verbr_benz_B/100)*$E11*N11)+(Efac_CNG_berekening_WTW*(gem_verbr_CNG_B/100)*$E11*O11)+(Efac_elek_berekening_WTW*(gem_verbr_BEV_A/100)*$E11*P11)+(Efac_elek_berekening_WTW*(gem_verbr_FCEV_B_Elek/100)*(100%-_verh_H2_accu_B)*Q11)+(Efac_H2_berekening_WTW*(gem_verbr_FCEV_B_H2/100)*(_verh_H2_accu_B)*Q11)</f>
        <v>0</v>
      </c>
      <c r="CC11" s="888">
        <f>IF($L11=0,0,(CB11*looptijd)/($L11*$E11*looptijd))</f>
        <v>0</v>
      </c>
    </row>
    <row r="12" spans="1:81">
      <c r="A12" s="891">
        <v>9</v>
      </c>
      <c r="B12" s="867" t="s">
        <v>12</v>
      </c>
      <c r="C12" s="868" t="s">
        <v>752</v>
      </c>
      <c r="D12" s="868"/>
      <c r="E12" s="872">
        <v>50000</v>
      </c>
      <c r="F12" s="873"/>
      <c r="G12" s="870">
        <f t="shared" si="0"/>
        <v>0</v>
      </c>
      <c r="H12" s="868">
        <v>0</v>
      </c>
      <c r="I12" s="868">
        <v>0</v>
      </c>
      <c r="J12" s="872">
        <v>0</v>
      </c>
      <c r="K12" s="873"/>
      <c r="L12" s="870">
        <f t="shared" si="1"/>
        <v>0</v>
      </c>
      <c r="M12" s="868">
        <v>0</v>
      </c>
      <c r="N12" s="868">
        <v>0</v>
      </c>
      <c r="O12" s="868">
        <v>0</v>
      </c>
      <c r="P12" s="868">
        <v>0</v>
      </c>
      <c r="Q12" s="874">
        <v>0</v>
      </c>
      <c r="S12" s="875">
        <f>(L12*E12*looptijd)</f>
        <v>0</v>
      </c>
      <c r="U12" s="876">
        <f>(Netto_cat_die_B*H12)+(Netto_cat_benz_B*I12)+(Netto_cat_CNG_B*J12)</f>
        <v>0</v>
      </c>
      <c r="V12" s="877">
        <f>IF($G12=0,0,U12/($E12*$G12*looptijd))</f>
        <v>0</v>
      </c>
      <c r="W12" s="878">
        <f>IF(BPM_belasting="ja",(BPM_die_B*H12)+(BPM_benz_B*I12)+(BPM_CNG_B*J12),0)</f>
        <v>0</v>
      </c>
      <c r="X12" s="877">
        <f>IF($G12=0,0,W12/($E12*looptijd*$G12))</f>
        <v>0</v>
      </c>
      <c r="Y12" s="879">
        <f>BTW*U12</f>
        <v>0</v>
      </c>
      <c r="Z12" s="879">
        <f>SUM(U12:Y12)</f>
        <v>0</v>
      </c>
      <c r="AA12" s="879">
        <f>IF(BTW_verrekening="ja",((U12+W12-AW12))/2*Rente_financiering,((U12+W12+Y12-AW12)/2)*Rente_financiering)</f>
        <v>0</v>
      </c>
      <c r="AB12" s="880">
        <f>IF(G12=0,0,AA12*looptijd/($E12*looptijd*$G12))</f>
        <v>0</v>
      </c>
      <c r="AD12" s="876">
        <f>(Netto_cat_die_B*M12)+(Netto_cat_benz_B*N12)+(Netto_cat_CNG_B*O12)+(Netto_cat_BEV_B*P12)+(Netto_cat_FCEV_B*Q12)</f>
        <v>0</v>
      </c>
      <c r="AE12" s="877">
        <f>IF($L12=0,0,AD12/($E12*$L12*looptijd))</f>
        <v>0</v>
      </c>
      <c r="AF12" s="878">
        <f>IF(BPM_belasting="ja",(BPM_benz_A*N12)+(BPM_CNG_A*O12)+(P12*BPM_BEV)+(Q12*BPM_FCEV),0)</f>
        <v>0</v>
      </c>
      <c r="AG12" s="878">
        <f>IF($L12=0,0,AF12/($E12*looptijd*$L12))</f>
        <v>0</v>
      </c>
      <c r="AH12" s="878">
        <f>BTW*AD12</f>
        <v>0</v>
      </c>
      <c r="AI12" s="878">
        <f>SUM(AD12:AH12)</f>
        <v>0</v>
      </c>
      <c r="AJ12" s="878">
        <f>IF('2. Invoer parameters'!$C$10="ja",MIA_BEV_B*P12,0)</f>
        <v>0</v>
      </c>
      <c r="AK12" s="882">
        <f>IF($L12=0,0,AJ12/($E12*looptijd*$L12))</f>
        <v>0</v>
      </c>
      <c r="AL12" s="881">
        <f>IF(BPM_belasting="nee",(((AD12-AJ12)-BK12)/2)*Rente_financiering,(((AD12-AJ12+AF12)-BL12)/2)*Rente_financiering)</f>
        <v>0</v>
      </c>
      <c r="AM12" s="880">
        <f>IF($L12=0,0,AL12*looptijd/($E12*looptijd*$L12))</f>
        <v>0</v>
      </c>
      <c r="AO12" s="876">
        <f>(H12*verz_die_B)+(I12*verz_benz_B)+(J12*verz_CNG_B)</f>
        <v>0</v>
      </c>
      <c r="AP12" s="877">
        <f>IF($G12=0,0,(AO12*12*looptijd)/($E12*looptijd*$G12))</f>
        <v>0</v>
      </c>
      <c r="AQ12" s="878">
        <f>(input_MRB_die_B*$H12)+(input_MRB_benz_B*$I12)+(input_MRB_CNG_B*J12)</f>
        <v>0</v>
      </c>
      <c r="AR12" s="877">
        <f>IF($G12=0,0,AQ12/($E12*looptijd*$G12))</f>
        <v>0</v>
      </c>
      <c r="AS12" s="878">
        <f>($E12*H12*(gem_verbr_die_B/100)*prijs_die)+($E12*I12*(gem_verbr_benz_B/100)*prijs_benz)+($E12*J12*(gem_verbr_CNG_B/100)*prijs_CNG)</f>
        <v>0</v>
      </c>
      <c r="AT12" s="877">
        <f>IF($G12=0,0,(AS12*looptijd)/(looptijd*$E12*$G12))</f>
        <v>0</v>
      </c>
      <c r="AU12" s="878">
        <f>($E12*H12*Onderh_die_B_hoog_km)+($E12*I12*Onderh_benz_B_hoog_km)+($E12*J12*Onderh_CNG_B_hoog_km)</f>
        <v>0</v>
      </c>
      <c r="AV12" s="877">
        <f>IF($G12=0,0,(AU12*looptijd)/(looptijd*$E12*$G12))</f>
        <v>0</v>
      </c>
      <c r="AW12" s="878">
        <f>Rest_perc*SUM(U12:W12)</f>
        <v>0</v>
      </c>
      <c r="AX12" s="881">
        <f>Rest_perc*SUM(U12:Y12)</f>
        <v>0</v>
      </c>
      <c r="AY12" s="878">
        <f>IF(BTW_verrekening="Ja",((U12+W12)-AW12)/(looptijd*12),((U12+W12+Y12)-AX12)/(looptijd*12))</f>
        <v>0</v>
      </c>
      <c r="AZ12" s="877">
        <f>IF($G12=0,0,(AY12*12*looptijd)/(looptijd*$E12*$G12))</f>
        <v>0</v>
      </c>
      <c r="BA12" s="883">
        <f>(_schadekosten_per_km*E12*G12)/12</f>
        <v>0</v>
      </c>
      <c r="BB12" s="884">
        <f>IF($G12=0,0,(BA12*12*looptijd)/($E12*$G12*looptijd))</f>
        <v>0</v>
      </c>
      <c r="BD12" s="876">
        <f>(M12*verz_die_B)+(N12*verz_benz_B)+(O12*verz_CNG_B)+(P12*verz_BEV_B)+(Q12*verz_FCEV_B)</f>
        <v>0</v>
      </c>
      <c r="BE12" s="877">
        <f>IF($L12=0,0,(BD12*12*looptijd)/($E12*looptijd*$L12))</f>
        <v>0</v>
      </c>
      <c r="BF12" s="878">
        <f>(input_MRB_benz_B*N12)+(input_MRB_die_B*O12)+(input_MRB_BEV_B*P12)+(input_MRB_FCEV_B*Q12)</f>
        <v>0</v>
      </c>
      <c r="BG12" s="877">
        <f>IF($L12=0,0,BF12/($E12*looptijd*$L12))</f>
        <v>0</v>
      </c>
      <c r="BH12" s="878">
        <f>($E12*M12*(gem_verbr_die_B/100)*prijs_die)+($E12*N12*(gem_verbr_benz_B/100)*prijs_benz)+($E12*O12*(gem_verbr_CNG_B/100)*prijs_CNG)+($E12*P12*(gem_verbr_BEV_B/100)*prijs_elek_berekening)+($E12*Q12*(gem_verbr_FCEV_B_Elek/100)*prijs_elek_berekening*(100%-_verh_H2_accu_B))+($E6*Q12*(gem_verbr_FCEV_B_H2/100)*prijs_H2*(_verh_H2_accu_B))</f>
        <v>0</v>
      </c>
      <c r="BI12" s="877">
        <f>IF($L12=0,0,(BH12*looptijd)/(looptijd*$E12*$L12))</f>
        <v>0</v>
      </c>
      <c r="BJ12" s="885"/>
      <c r="BK12" s="878">
        <f>Rest_perc_ZE*(AD12+AF12)</f>
        <v>0</v>
      </c>
      <c r="BL12" s="878">
        <f>Rest_perc_ZE*(AD12+AF12+AH12)</f>
        <v>0</v>
      </c>
      <c r="BM12" s="885"/>
      <c r="BN12" s="878">
        <f>($E12*M12*Onderh_die_B_hoog_km)+($E12*N12*Onderh_benz_B_hoog_km)+($E12*O12*Onderh_CNG_B_hoog_km)+($E12*P12*Onderh_BEV_B_hoog_km)+($E12*Q12*Onderh_FCEV_B_hoog_km)</f>
        <v>0</v>
      </c>
      <c r="BO12" s="877">
        <f>IF($L12=0,0,(BN12*looptijd)/(looptijd*$E12*$L12))</f>
        <v>0</v>
      </c>
      <c r="BP12" s="878"/>
      <c r="BQ12" s="878">
        <f>IF(BTW_verrekening="Ja",((AD12+AF12-AJ12)-BK12)/(looptijd*12),((AD12+AF12+AH12-AJ12)-BL12)/(looptijd*12))</f>
        <v>0</v>
      </c>
      <c r="BR12" s="877">
        <f>IF($G12=0,0,(BQ12*12*looptijd)/(looptijd*$E12*$G12))</f>
        <v>0</v>
      </c>
      <c r="BS12" s="885"/>
      <c r="BT12" s="883">
        <f>(_schadekosten_per_km*E12*L12)/12</f>
        <v>0</v>
      </c>
      <c r="BU12" s="884">
        <f>IF($L12=0,0,(BT12*12*looptijd)/($E12*$L12*looptijd))</f>
        <v>0</v>
      </c>
      <c r="BV12" s="881"/>
      <c r="BW12" s="886">
        <f>(Efac_die_TTW*(gem_verbr_die_B/100)*$E12*H12)+(Efac_benz_TTW*(gem_verbr_benz_B/100)*$E12*I12)+(Efac_CNG_berekening_TTW*(gem_verbr_CNG_B/100)*$E12*J12)</f>
        <v>0</v>
      </c>
      <c r="BX12" s="887">
        <f>(Efac_die_WTW*(gem_verbr_die_B/100)*$E12*H12)+(Efac_benz_WTW*(gem_verbr_benz_B/100)*$E12*I12)+(Efac_CNG_berekening_WTW*(gem_verbr_CNG_B/100)*$E12*J12)</f>
        <v>0</v>
      </c>
      <c r="BY12" s="888">
        <f>IF($G12=0,0,(BX12*looptijd)/($E12*$G12*looptijd))</f>
        <v>0</v>
      </c>
      <c r="BZ12" s="889"/>
      <c r="CA12" s="886">
        <f>(Efac_die_TTW*(gem_verbr_die_B/100)*$E12*M12)+(Efac_benz_TTW*(gem_verbr_benz_B/100)*$E12*N12)+(Efac_CNG_berekening_TTW*(gem_verbr_CNG_B/100)*$E12*O12)+(Efac_elek_berekening_TTW*(gem_verbr_BEV_A/100)*$E12*P12)+(Efac_elek_berekening_TTW*(gem_verbr_FCEV_B_Elek/100)*(100%-_verh_H2_accu_B)*Q12)+(Efac_H2_berekening_TTW*(gem_verbr_FCEV_B_H2/100)*(_verh_H2_accu_B)*Q12)</f>
        <v>0</v>
      </c>
      <c r="CB12" s="887">
        <f>(Efac_die_WTW*(gem_verbr_die_B/100)*$E12*M12)+(Efac_benz_WTW*(gem_verbr_benz_B/100)*$E12*N12)+(Efac_CNG_berekening_WTW*(gem_verbr_CNG_B/100)*$E12*O12)+(Efac_elek_berekening_WTW*(gem_verbr_BEV_A/100)*$E12*P12)+(Efac_elek_berekening_WTW*(gem_verbr_FCEV_B_Elek/100)*(100%-_verh_H2_accu_B)*Q12)+(Efac_H2_berekening_WTW*(gem_verbr_FCEV_B_H2/100)*(_verh_H2_accu_B)*Q12)</f>
        <v>0</v>
      </c>
      <c r="CC12" s="888">
        <f>IF($L12=0,0,(CB12*looptijd)/($L12*$E12*looptijd))</f>
        <v>0</v>
      </c>
    </row>
    <row r="13" spans="1:81">
      <c r="A13" s="891">
        <v>10</v>
      </c>
      <c r="B13" s="867" t="s">
        <v>12</v>
      </c>
      <c r="C13" s="868" t="s">
        <v>751</v>
      </c>
      <c r="D13" s="868"/>
      <c r="E13" s="872">
        <v>75000</v>
      </c>
      <c r="F13" s="873"/>
      <c r="G13" s="870">
        <f t="shared" si="0"/>
        <v>0</v>
      </c>
      <c r="H13" s="868">
        <v>0</v>
      </c>
      <c r="I13" s="868">
        <v>0</v>
      </c>
      <c r="J13" s="872">
        <v>0</v>
      </c>
      <c r="K13" s="873"/>
      <c r="L13" s="870">
        <f t="shared" si="1"/>
        <v>0</v>
      </c>
      <c r="M13" s="868">
        <v>0</v>
      </c>
      <c r="N13" s="868">
        <v>0</v>
      </c>
      <c r="O13" s="868">
        <v>0</v>
      </c>
      <c r="P13" s="868">
        <v>0</v>
      </c>
      <c r="Q13" s="874">
        <v>0</v>
      </c>
      <c r="S13" s="875">
        <f>(L13*E13*looptijd)</f>
        <v>0</v>
      </c>
      <c r="U13" s="876">
        <f>(Netto_cat_die_B*H13)+(Netto_cat_benz_B*I13)+(Netto_cat_CNG_B*J13)</f>
        <v>0</v>
      </c>
      <c r="V13" s="877">
        <f>IF($G13=0,0,U13/($E13*$G13*looptijd))</f>
        <v>0</v>
      </c>
      <c r="W13" s="878">
        <f>IF(BPM_belasting="ja",(BPM_die_B*H13)+(BPM_benz_B*I13)+(BPM_CNG_B*J13),0)</f>
        <v>0</v>
      </c>
      <c r="X13" s="877">
        <f>IF($G13=0,0,W13/($E13*looptijd*$G13))</f>
        <v>0</v>
      </c>
      <c r="Y13" s="879">
        <f>BTW*U13</f>
        <v>0</v>
      </c>
      <c r="Z13" s="879">
        <f>SUM(U13:Y13)</f>
        <v>0</v>
      </c>
      <c r="AA13" s="879">
        <f>IF(BTW_verrekening="ja",((U13+W13-AW13))/2*Rente_financiering,((U13+W13+Y13-AW13)/2)*Rente_financiering)</f>
        <v>0</v>
      </c>
      <c r="AB13" s="880">
        <f>IF(G13=0,0,AA13*looptijd/($E13*looptijd*$G13))</f>
        <v>0</v>
      </c>
      <c r="AD13" s="876">
        <f>(Netto_cat_die_B*M13)+(Netto_cat_benz_B*N13)+(Netto_cat_CNG_B*O13)+(Netto_cat_BEV_B*P13)+(Netto_cat_FCEV_B*Q13)</f>
        <v>0</v>
      </c>
      <c r="AE13" s="877">
        <f>IF($L13=0,0,AD13/($E13*$L13*looptijd))</f>
        <v>0</v>
      </c>
      <c r="AF13" s="878">
        <f>IF(BPM_belasting="ja",(BPM_benz_A*N13)+(BPM_CNG_A*O13)+(P13*BPM_BEV)+(Q13*BPM_FCEV),0)</f>
        <v>0</v>
      </c>
      <c r="AG13" s="878">
        <f>IF($L13=0,0,AF13/($E13*looptijd*$L13))</f>
        <v>0</v>
      </c>
      <c r="AH13" s="878">
        <f>BTW*AD13</f>
        <v>0</v>
      </c>
      <c r="AI13" s="878">
        <f>SUM(AD13:AH13)</f>
        <v>0</v>
      </c>
      <c r="AJ13" s="878">
        <f>IF('2. Invoer parameters'!$C$10="ja",MIA_BEV_B*P13,0)</f>
        <v>0</v>
      </c>
      <c r="AK13" s="882">
        <f>IF($L13=0,0,AJ13/($E13*looptijd*$L13))</f>
        <v>0</v>
      </c>
      <c r="AL13" s="881">
        <f>IF(BPM_belasting="nee",(((AD13-AJ13)-BK13)/2)*Rente_financiering,(((AD13-AJ13+AF13)-BL13)/2)*Rente_financiering)</f>
        <v>0</v>
      </c>
      <c r="AM13" s="880">
        <f>IF($L13=0,0,AL13*looptijd/($E13*looptijd*$L13))</f>
        <v>0</v>
      </c>
      <c r="AO13" s="876">
        <f>(H13*verz_die_B)+(I13*verz_benz_B)+(J13*verz_CNG_B)</f>
        <v>0</v>
      </c>
      <c r="AP13" s="877">
        <f>IF($G13=0,0,(AO13*12*looptijd)/($E13*looptijd*$G13))</f>
        <v>0</v>
      </c>
      <c r="AQ13" s="878">
        <f>(input_MRB_die_B*$H13)+(input_MRB_benz_B*$I13)+(input_MRB_CNG_B*J13)</f>
        <v>0</v>
      </c>
      <c r="AR13" s="877">
        <f>IF($G13=0,0,AQ13/($E13*looptijd*$G13))</f>
        <v>0</v>
      </c>
      <c r="AS13" s="878">
        <f>($E13*H13*(gem_verbr_die_B/100)*prijs_die)+($E13*I13*(gem_verbr_benz_B/100)*prijs_benz)+($E13*J13*(gem_verbr_CNG_B/100)*prijs_CNG)</f>
        <v>0</v>
      </c>
      <c r="AT13" s="877">
        <f>IF($G13=0,0,(AS13*looptijd)/(looptijd*$E13*$G13))</f>
        <v>0</v>
      </c>
      <c r="AU13" s="878">
        <f>($E13*H13*Onderh_die_B_hoog_km)+($E13*I13*Onderh_benz_B_hoog_km)+($E13*J13*Onderh_CNG_B_hoog_km)</f>
        <v>0</v>
      </c>
      <c r="AV13" s="877">
        <f>IF($G13=0,0,(AU13*looptijd)/(looptijd*$E13*$G13))</f>
        <v>0</v>
      </c>
      <c r="AW13" s="878">
        <f>Rest_perc*SUM(U13:W13)</f>
        <v>0</v>
      </c>
      <c r="AX13" s="881">
        <f>Rest_perc*SUM(U13:Y13)</f>
        <v>0</v>
      </c>
      <c r="AY13" s="878">
        <f>IF(BTW_verrekening="Ja",((U13+W13)-AW13)/(looptijd*12),((U13+W13+Y13)-AX13)/(looptijd*12))</f>
        <v>0</v>
      </c>
      <c r="AZ13" s="877">
        <f>IF($G13=0,0,(AY13*12*looptijd)/(looptijd*$E13*$G13))</f>
        <v>0</v>
      </c>
      <c r="BA13" s="883">
        <f>(_schadekosten_per_km*E13*G13)/12</f>
        <v>0</v>
      </c>
      <c r="BB13" s="884">
        <f>IF($G13=0,0,(BA13*12*looptijd)/($E13*$G13*looptijd))</f>
        <v>0</v>
      </c>
      <c r="BD13" s="876">
        <f>(M13*verz_die_B)+(N13*verz_benz_B)+(O13*verz_CNG_B)+(P13*verz_BEV_B)+(Q13*verz_FCEV_B)</f>
        <v>0</v>
      </c>
      <c r="BE13" s="877">
        <f>IF($L13=0,0,(BD13*12*looptijd)/($E13*looptijd*$L13))</f>
        <v>0</v>
      </c>
      <c r="BF13" s="878">
        <f>(input_MRB_benz_B*N13)+(input_MRB_die_B*O13)+(input_MRB_BEV_B*P13)+(input_MRB_FCEV_B*Q13)</f>
        <v>0</v>
      </c>
      <c r="BG13" s="877">
        <f>IF($L13=0,0,BF13/($E13*looptijd*$L13))</f>
        <v>0</v>
      </c>
      <c r="BH13" s="878">
        <f>($E13*M13*(gem_verbr_die_B/100)*prijs_die)+($E13*N13*(gem_verbr_benz_B/100)*prijs_benz)+($E13*O13*(gem_verbr_CNG_B/100)*prijs_CNG)+($E13*P13*(gem_verbr_BEV_B/100)*prijs_elek_berekening)+($E13*Q13*(gem_verbr_FCEV_B_Elek/100)*prijs_elek_berekening*(100%-_verh_H2_accu_B))+($E7*Q13*(gem_verbr_FCEV_B_H2/100)*prijs_H2*(_verh_H2_accu_B))</f>
        <v>0</v>
      </c>
      <c r="BI13" s="877">
        <f>IF($L13=0,0,(BH13*looptijd)/(looptijd*$E13*$L13))</f>
        <v>0</v>
      </c>
      <c r="BJ13" s="885"/>
      <c r="BK13" s="878">
        <f>Rest_perc_ZE*(AD13+AF13)</f>
        <v>0</v>
      </c>
      <c r="BL13" s="878">
        <f>Rest_perc_ZE*(AD13+AF13+AH13)</f>
        <v>0</v>
      </c>
      <c r="BM13" s="885"/>
      <c r="BN13" s="878">
        <f>($E13*M13*Onderh_die_B_hoog_km)+($E13*N13*Onderh_benz_B_hoog_km)+($E13*O13*Onderh_CNG_B_hoog_km)+($E13*P13*Onderh_BEV_B_hoog_km)+($E13*Q13*Onderh_FCEV_B_hoog_km)</f>
        <v>0</v>
      </c>
      <c r="BO13" s="877">
        <f>IF($L13=0,0,(BN13*looptijd)/(looptijd*$E13*$L13))</f>
        <v>0</v>
      </c>
      <c r="BP13" s="878"/>
      <c r="BQ13" s="878">
        <f>IF(BTW_verrekening="Ja",((AD13+AF13-AJ13)-BK13)/(looptijd*12),((AD13+AF13+AH13-AJ13)-BL13)/(looptijd*12))</f>
        <v>0</v>
      </c>
      <c r="BR13" s="877">
        <f>IF($G13=0,0,(BQ13*12*looptijd)/(looptijd*$E13*$G13))</f>
        <v>0</v>
      </c>
      <c r="BS13" s="885"/>
      <c r="BT13" s="883">
        <f>(_schadekosten_per_km*E13*L13)/12</f>
        <v>0</v>
      </c>
      <c r="BU13" s="884">
        <f>IF($L13=0,0,(BT13*12*looptijd)/($E13*$L13*looptijd))</f>
        <v>0</v>
      </c>
      <c r="BV13" s="881"/>
      <c r="BW13" s="886">
        <f>(Efac_die_TTW*(gem_verbr_die_B/100)*$E13*H13)+(Efac_benz_TTW*(gem_verbr_benz_B/100)*$E13*I13)+(Efac_CNG_berekening_TTW*(gem_verbr_CNG_B/100)*$E13*J13)</f>
        <v>0</v>
      </c>
      <c r="BX13" s="887">
        <f>(Efac_die_WTW*(gem_verbr_die_B/100)*$E13*H13)+(Efac_benz_WTW*(gem_verbr_benz_B/100)*$E13*I13)+(Efac_CNG_berekening_WTW*(gem_verbr_CNG_B/100)*$E13*J13)</f>
        <v>0</v>
      </c>
      <c r="BY13" s="888">
        <f>IF($G13=0,0,(BX13*looptijd)/($E13*$G13*looptijd))</f>
        <v>0</v>
      </c>
      <c r="BZ13" s="889"/>
      <c r="CA13" s="886">
        <f>(Efac_die_TTW*(gem_verbr_die_B/100)*$E13*M13)+(Efac_benz_TTW*(gem_verbr_benz_B/100)*$E13*N13)+(Efac_CNG_berekening_TTW*(gem_verbr_CNG_B/100)*$E13*O13)+(Efac_elek_berekening_TTW*(gem_verbr_BEV_A/100)*$E13*P13)+(Efac_elek_berekening_TTW*(gem_verbr_FCEV_B_Elek/100)*(100%-_verh_H2_accu_B)*Q13)+(Efac_H2_berekening_TTW*(gem_verbr_FCEV_B_H2/100)*(_verh_H2_accu_B)*Q13)</f>
        <v>0</v>
      </c>
      <c r="CB13" s="887">
        <f>(Efac_die_WTW*(gem_verbr_die_B/100)*$E13*M13)+(Efac_benz_WTW*(gem_verbr_benz_B/100)*$E13*N13)+(Efac_CNG_berekening_WTW*(gem_verbr_CNG_B/100)*$E13*O13)+(Efac_elek_berekening_WTW*(gem_verbr_BEV_A/100)*$E13*P13)+(Efac_elek_berekening_WTW*(gem_verbr_FCEV_B_Elek/100)*(100%-_verh_H2_accu_B)*Q13)+(Efac_H2_berekening_WTW*(gem_verbr_FCEV_B_H2/100)*(_verh_H2_accu_B)*Q13)</f>
        <v>0</v>
      </c>
      <c r="CC13" s="888">
        <f>IF($L13=0,0,(CB13*looptijd)/($L13*$E13*looptijd))</f>
        <v>0</v>
      </c>
    </row>
    <row r="14" spans="1:81">
      <c r="B14" s="867"/>
      <c r="C14" s="868"/>
      <c r="D14" s="868"/>
      <c r="E14" s="872"/>
      <c r="F14" s="873"/>
      <c r="G14" s="870"/>
      <c r="H14" s="868"/>
      <c r="I14" s="868"/>
      <c r="J14" s="872"/>
      <c r="K14" s="873"/>
      <c r="L14" s="870"/>
      <c r="M14" s="868"/>
      <c r="N14" s="868"/>
      <c r="O14" s="868"/>
      <c r="P14" s="868"/>
      <c r="Q14" s="872"/>
      <c r="S14" s="875"/>
      <c r="U14" s="867"/>
      <c r="V14" s="877"/>
      <c r="W14" s="889"/>
      <c r="X14" s="877"/>
      <c r="Y14" s="879"/>
      <c r="Z14" s="879"/>
      <c r="AA14" s="879"/>
      <c r="AB14" s="880"/>
      <c r="AD14" s="867"/>
      <c r="AE14" s="877"/>
      <c r="AF14" s="878"/>
      <c r="AG14" s="878"/>
      <c r="AH14" s="878"/>
      <c r="AI14" s="878"/>
      <c r="AJ14" s="878"/>
      <c r="AK14" s="882"/>
      <c r="AL14" s="881"/>
      <c r="AM14" s="880"/>
      <c r="AO14" s="867"/>
      <c r="AP14" s="877"/>
      <c r="AQ14" s="889"/>
      <c r="AR14" s="877"/>
      <c r="AS14" s="889"/>
      <c r="AT14" s="877"/>
      <c r="AU14" s="889"/>
      <c r="AV14" s="877"/>
      <c r="AW14" s="878"/>
      <c r="AX14" s="881"/>
      <c r="AY14" s="878"/>
      <c r="AZ14" s="877"/>
      <c r="BA14" s="883"/>
      <c r="BB14" s="884"/>
      <c r="BD14" s="876"/>
      <c r="BE14" s="877"/>
      <c r="BF14" s="889"/>
      <c r="BG14" s="877"/>
      <c r="BH14" s="889"/>
      <c r="BI14" s="877"/>
      <c r="BJ14" s="892"/>
      <c r="BK14" s="878"/>
      <c r="BL14" s="878"/>
      <c r="BM14" s="885"/>
      <c r="BN14" s="889"/>
      <c r="BO14" s="877"/>
      <c r="BP14" s="889"/>
      <c r="BQ14" s="878"/>
      <c r="BR14" s="877"/>
      <c r="BS14" s="885"/>
      <c r="BT14" s="883"/>
      <c r="BU14" s="884"/>
      <c r="BV14" s="881"/>
      <c r="BW14" s="867"/>
      <c r="BX14" s="889"/>
      <c r="BY14" s="888"/>
      <c r="BZ14" s="889"/>
      <c r="CA14" s="867"/>
      <c r="CB14" s="889"/>
      <c r="CC14" s="888"/>
    </row>
    <row r="15" spans="1:81">
      <c r="A15" s="891">
        <v>11</v>
      </c>
      <c r="B15" s="867" t="s">
        <v>15</v>
      </c>
      <c r="C15" s="868" t="s">
        <v>748</v>
      </c>
      <c r="D15" s="868"/>
      <c r="E15" s="869">
        <f>$E$3</f>
        <v>10000</v>
      </c>
      <c r="G15" s="870">
        <f t="shared" si="0"/>
        <v>0</v>
      </c>
      <c r="H15" s="868">
        <f t="array" ref="H15:H19">TRANSPOSE('1a. Invoer - BESTAAND'!J6:N6)</f>
        <v>0</v>
      </c>
      <c r="I15" s="868">
        <f t="array" ref="I15:I19">TRANSPOSE('1a. Invoer - BESTAAND'!E6:I6)</f>
        <v>0</v>
      </c>
      <c r="J15" s="872">
        <f t="array" ref="J15:J19">TRANSPOSE('1a. Invoer - BESTAAND'!E35:I35
)</f>
        <v>0</v>
      </c>
      <c r="K15" s="873"/>
      <c r="L15" s="870">
        <f t="shared" si="1"/>
        <v>0</v>
      </c>
      <c r="M15" s="868">
        <v>0</v>
      </c>
      <c r="N15" s="868">
        <v>0</v>
      </c>
      <c r="O15" s="868">
        <v>0</v>
      </c>
      <c r="P15" s="868">
        <f t="array" ref="P15:P19">TRANSPOSE('1b. Invoer - NIEUW'!E8:I8)</f>
        <v>0</v>
      </c>
      <c r="Q15" s="874">
        <v>0</v>
      </c>
      <c r="S15" s="875">
        <f>(L15*E15*looptijd)</f>
        <v>0</v>
      </c>
      <c r="U15" s="876">
        <f>(Netto_cat_die_C*H15)+(Netto_cat_benz_C*I15)+(Netto_cat_CNG_C*J15)</f>
        <v>0</v>
      </c>
      <c r="V15" s="877">
        <f>IF($G15=0,0,U15/($E15*$G15*looptijd))</f>
        <v>0</v>
      </c>
      <c r="W15" s="878">
        <f>IF(BPM_belasting="ja",(BPM_die_C*H15)+(BPM_benz_C*I15)+(BPM_CNG_C*J15),0)</f>
        <v>0</v>
      </c>
      <c r="X15" s="877">
        <f>IF($G15=0,0,W15/($E15*looptijd*$G15))</f>
        <v>0</v>
      </c>
      <c r="Y15" s="879">
        <f>BTW*U15</f>
        <v>0</v>
      </c>
      <c r="Z15" s="879">
        <f>SUM(U15:Y15)</f>
        <v>0</v>
      </c>
      <c r="AA15" s="879">
        <f>IF(BTW_verrekening="ja",((U15+W15-AW15))/2*Rente_financiering,((U15+W15+Y15-AW15)/2)*Rente_financiering)</f>
        <v>0</v>
      </c>
      <c r="AB15" s="880">
        <f>IF(G15=0,0,AA15*looptijd/($E15*looptijd*$G15))</f>
        <v>0</v>
      </c>
      <c r="AD15" s="876">
        <f>(Netto_cat_die_C*M15)+(Netto_cat_benz_C*N15)+(Netto_cat_CNG_C*O15)+(Netto_cat_BEV_C*P15)+(Netto_cat_FCEV_C*Q15)</f>
        <v>0</v>
      </c>
      <c r="AE15" s="877">
        <f>IF($L15=0,0,AD15/($E15*$L15*looptijd))</f>
        <v>0</v>
      </c>
      <c r="AF15" s="878">
        <f>IF(BPM_belasting="ja",(BPM_benz_A*N15)+(BPM_CNG_A*O15)+(P15*BPM_BEV)+(Q15*BPM_FCEV),0)</f>
        <v>0</v>
      </c>
      <c r="AG15" s="878">
        <f>IF($L15=0,0,AF15/($E15*looptijd*$L15))</f>
        <v>0</v>
      </c>
      <c r="AH15" s="878">
        <f>BTW*AD15</f>
        <v>0</v>
      </c>
      <c r="AI15" s="878">
        <f>SUM(AD15:AH15)</f>
        <v>0</v>
      </c>
      <c r="AJ15" s="878">
        <f>IF('2. Invoer parameters'!$C$10="ja",MIA_BEV_C*P15,0)</f>
        <v>0</v>
      </c>
      <c r="AK15" s="882">
        <f>IF($L15=0,0,AJ15/($E15*looptijd*$L15))</f>
        <v>0</v>
      </c>
      <c r="AL15" s="881">
        <f>IF(BPM_belasting="nee",(((AD15-AJ15)-BK15)/2)*Rente_financiering,(((AD15-AJ15+AF15)-BL15)/2)*Rente_financiering)</f>
        <v>0</v>
      </c>
      <c r="AM15" s="880">
        <f>IF($L15=0,0,AL15*looptijd/($E15*looptijd*$L15))</f>
        <v>0</v>
      </c>
      <c r="AO15" s="876">
        <f>(H15*verz_die_C)+(I15*verz_benz_C)+(J15*verz_CNG_C)</f>
        <v>0</v>
      </c>
      <c r="AP15" s="877">
        <f>IF($G15=0,0,(AO15*12*looptijd)/($E15*looptijd*$G15))</f>
        <v>0</v>
      </c>
      <c r="AQ15" s="878">
        <f>(input_MRB_die_C*$H15)+(input_MRB_benz_C*$I15)+(input_MRB_CNG_C*J15)</f>
        <v>0</v>
      </c>
      <c r="AR15" s="877">
        <f>IF($G15=0,0,AQ15/($E15*looptijd*$G15))</f>
        <v>0</v>
      </c>
      <c r="AS15" s="878">
        <f>($E15*H15*(gem_verbr_die_C/100)*prijs_die)+($E15*I15*(gem_verbr_benz_C/100)*prijs_benz)+($E15*J15*(gem_verbr_CNG_C/100)*prijs_CNG)</f>
        <v>0</v>
      </c>
      <c r="AT15" s="877">
        <f>IF($G15=0,0,(AS15*looptijd)/(looptijd*$E15*$G15))</f>
        <v>0</v>
      </c>
      <c r="AU15" s="878">
        <f>($E15*H15*Onderh_die_C)+($E15*I15*Onderh_benz_C)+($E15*J15*Onderh_CNG_C)</f>
        <v>0</v>
      </c>
      <c r="AV15" s="877">
        <f>IF($G15=0,0,(AU15*looptijd)/(looptijd*$E15*$G15))</f>
        <v>0</v>
      </c>
      <c r="AW15" s="878">
        <f>Rest_perc*SUM(U15:W15)</f>
        <v>0</v>
      </c>
      <c r="AX15" s="881">
        <f>Rest_perc*SUM(U15:Y15)</f>
        <v>0</v>
      </c>
      <c r="AY15" s="878">
        <f>IF(BTW_verrekening="Ja",((U15+W15)-AW15)/(looptijd*12),((U15+W15+Y15)-AX15)/(looptijd*12))</f>
        <v>0</v>
      </c>
      <c r="AZ15" s="877">
        <f>IF($G15=0,0,(AY15*12*looptijd)/(looptijd*$E15*$G15))</f>
        <v>0</v>
      </c>
      <c r="BA15" s="883">
        <f>(_schadekosten_per_km*E15*G15)/12</f>
        <v>0</v>
      </c>
      <c r="BB15" s="884">
        <f>IF($G15=0,0,(BA15*12*looptijd)/($E15*$G15*looptijd))</f>
        <v>0</v>
      </c>
      <c r="BD15" s="876">
        <f>(M15*verz_die_C)+(N15*verz_benz_C)+(O15*verz_CNG_C)+(P15*verz_BEV_C)+(Q15*verz_FCEV_A)</f>
        <v>0</v>
      </c>
      <c r="BE15" s="877">
        <f>IF($L15=0,0,(BD15*12*looptijd)/($E15*looptijd*$L15))</f>
        <v>0</v>
      </c>
      <c r="BF15" s="878">
        <f>(input_MRB_benz_C*N15)+(input_MRB_die_C*O15)+(input_MRB_BEV_C*P15)+(input_MRB_FCEV_C*Q15)</f>
        <v>0</v>
      </c>
      <c r="BG15" s="877">
        <f>IF($L15=0,0,BF15/($E15*looptijd*$L15))</f>
        <v>0</v>
      </c>
      <c r="BH15" s="878">
        <f>($E15*M15*(gem_verbr_die_C/100)*prijs_die)+($E15*N15*(gem_verbr_benz_C/100)*prijs_benz)+($E15*O15*(gem_verbr_CNG_C/100)*prijs_CNG)+($E15*P15*(gem_verbr_BEV_C/100)*prijs_elek_berekening)+($E15*Q15*(gem_verbr_FCEV_C_Elek/100)*prijs_elek_berekening*(100%-_verh_H2_accu_C))+($E15*Q15*(gem_verbr_FCEV_C_H2/100)*prijs_H2*(_verh_H2_accu_C))</f>
        <v>0</v>
      </c>
      <c r="BI15" s="877">
        <f>IF($L15=0,0,(BH15*looptijd)/(looptijd*$E15*$L15))</f>
        <v>0</v>
      </c>
      <c r="BJ15" s="885"/>
      <c r="BK15" s="878">
        <f>Rest_perc_ZE*(AD15+AF15)</f>
        <v>0</v>
      </c>
      <c r="BL15" s="878">
        <f>Rest_perc_ZE*(AD15+AF15+AH15)</f>
        <v>0</v>
      </c>
      <c r="BM15" s="885"/>
      <c r="BN15" s="878">
        <f>($E15*M15*Onderh_die_C)+($E15*N15*Onderh_benz_C)+($E15*O15*Onderh_CNG_C)+($E15*P15*Onderh_BEV_C)+($E15*Q15*Onderh_FCEV_C)</f>
        <v>0</v>
      </c>
      <c r="BO15" s="877">
        <f>IF($L15=0,0,(BN15*looptijd)/(looptijd*$E15*$L15))</f>
        <v>0</v>
      </c>
      <c r="BP15" s="878"/>
      <c r="BQ15" s="878">
        <f>IF(BTW_verrekening="Ja",((AD15+AF15-AJ15)-BK15)/(looptijd*12),((AD15+AF15+AH15-AJ15)-BL15)/(looptijd*12))</f>
        <v>0</v>
      </c>
      <c r="BR15" s="877">
        <f>IF($G15=0,0,(BQ15*12*looptijd)/(looptijd*$E15*$G15))</f>
        <v>0</v>
      </c>
      <c r="BS15" s="885"/>
      <c r="BT15" s="883">
        <f>(_schadekosten_per_km*E15*L15)/12</f>
        <v>0</v>
      </c>
      <c r="BU15" s="884">
        <f>IF($L15=0,0,(BT15*12*looptijd)/($E15*$L15*looptijd))</f>
        <v>0</v>
      </c>
      <c r="BV15" s="881"/>
      <c r="BW15" s="886">
        <f>(Efac_die_TTW*(gem_verbr_die_C/100)*$E15*H15)+(Efac_benz_TTW*(gem_verbr_benz_C/100)*$E15*I15)+(Efac_CNG_berekening_TTW*(gem_verbr_CNG_C/100)*$E15*J15)</f>
        <v>0</v>
      </c>
      <c r="BX15" s="887">
        <f>(Efac_die_WTW*(gem_verbr_die_C/100)*$E15*H15)+(Efac_benz_WTW*(gem_verbr_benz_C/100)*$E15*I15)+(Efac_CNG_berekening_WTW*(gem_verbr_CNG_C/100)*$E15*J15)</f>
        <v>0</v>
      </c>
      <c r="BY15" s="888">
        <f>IF($G15=0,0,(BX15*looptijd)/($E15*$G15*looptijd))</f>
        <v>0</v>
      </c>
      <c r="BZ15" s="889"/>
      <c r="CA15" s="886">
        <f>(Efac_die_TTW*(gem_verbr_die_C/100)*$E15*M15)+(Efac_benz_TTW*(verbr_benz_C/100)*$E15*N15)+(Efac_CNG_berekening_TTW*(verbr_CNG_C/100)*$E15*O15)+(Efac_elek_berekening_TTW*(gem_verbr_BEV_C/100)*$E15*P15)+(Efac_elek_berekening_TTW*(gem_verbr_FCEV_C_Elek/100)*(100%-_verh_H2_accu_C)*Q15)+(Efac_H2_berekening_TTW*(gem_verbr_FCEV_C_H2/100)*(_verh_H2_accu_C)*Q15)</f>
        <v>0</v>
      </c>
      <c r="CB15" s="887">
        <f>(Efac_die_WTW*(gem_verbr_die_C/100)*$E15*M15)+(Efac_benz_WTW*(verbr_benz_C/100)*$E15*N15)+(Efac_CNG_berekening_WTW*(verbr_CNG_C/100)*$E15*O15)+(Efac_elek_berekening_WTW*(gem_verbr_BEV_C/100)*$E15*P15)+(Efac_elek_berekening_TTW*(gem_verbr_FCEV_C_Elek/100)*(100%-_verh_H2_accu_C)*Q15)+(Efac_H2_berekening_WTW*(gem_verbr_FCEV_C_H2/100)*(_verh_H2_accu_C)*Q15)</f>
        <v>0</v>
      </c>
      <c r="CC15" s="888">
        <f>IF($L15=0,0,(CB15*looptijd)/($L15*$E15*looptijd))</f>
        <v>0</v>
      </c>
    </row>
    <row r="16" spans="1:81">
      <c r="A16" s="891">
        <v>12</v>
      </c>
      <c r="B16" s="867" t="s">
        <v>15</v>
      </c>
      <c r="C16" s="868" t="s">
        <v>749</v>
      </c>
      <c r="D16" s="868"/>
      <c r="E16" s="869">
        <f>$E$4</f>
        <v>15000</v>
      </c>
      <c r="G16" s="870">
        <f t="shared" si="0"/>
        <v>0</v>
      </c>
      <c r="H16" s="868">
        <v>0</v>
      </c>
      <c r="I16" s="868">
        <v>0</v>
      </c>
      <c r="J16" s="872">
        <v>0</v>
      </c>
      <c r="K16" s="873"/>
      <c r="L16" s="870">
        <f t="shared" si="1"/>
        <v>0</v>
      </c>
      <c r="M16" s="868">
        <v>0</v>
      </c>
      <c r="N16" s="868">
        <v>0</v>
      </c>
      <c r="O16" s="868">
        <v>0</v>
      </c>
      <c r="P16" s="868">
        <v>0</v>
      </c>
      <c r="Q16" s="874">
        <v>0</v>
      </c>
      <c r="S16" s="875">
        <f>(L16*E16*looptijd)</f>
        <v>0</v>
      </c>
      <c r="U16" s="876">
        <f>(Netto_cat_die_C*H16)+(Netto_cat_benz_C*I16)+(Netto_cat_CNG_C*J16)</f>
        <v>0</v>
      </c>
      <c r="V16" s="877">
        <f>IF($G16=0,0,U16/($E16*$G16*looptijd))</f>
        <v>0</v>
      </c>
      <c r="W16" s="878">
        <f>IF(BPM_belasting="ja",(BPM_die_C*H16)+(BPM_benz_C*I16)+(BPM_CNG_C*J16),0)</f>
        <v>0</v>
      </c>
      <c r="X16" s="877">
        <f>IF($G16=0,0,W16/($E16*looptijd*$G16))</f>
        <v>0</v>
      </c>
      <c r="Y16" s="879">
        <f>BTW*U16</f>
        <v>0</v>
      </c>
      <c r="Z16" s="879">
        <f>SUM(U16:Y16)</f>
        <v>0</v>
      </c>
      <c r="AA16" s="879">
        <f>IF(BTW_verrekening="ja",((U16+W16-AW16))/2*Rente_financiering,((U16+W16+Y16-AW16)/2)*Rente_financiering)</f>
        <v>0</v>
      </c>
      <c r="AB16" s="880">
        <f>IF(G16=0,0,AA16*looptijd/($E16*looptijd*$G16))</f>
        <v>0</v>
      </c>
      <c r="AD16" s="876">
        <f>(Netto_cat_die_C*M16)+(Netto_cat_benz_C*N16)+(Netto_cat_CNG_C*O16)+(Netto_cat_BEV_C*P16)+(Netto_cat_FCEV_C*Q16)</f>
        <v>0</v>
      </c>
      <c r="AE16" s="877">
        <f>IF($L16=0,0,AD16/($E16*$L16*looptijd))</f>
        <v>0</v>
      </c>
      <c r="AF16" s="878">
        <f>IF(BPM_belasting="ja",(BPM_benz_A*N16)+(BPM_CNG_A*O16)+(P16*BPM_BEV)+(Q16*BPM_FCEV),0)</f>
        <v>0</v>
      </c>
      <c r="AG16" s="878">
        <f>IF($L16=0,0,AF16/($E16*looptijd*$L16))</f>
        <v>0</v>
      </c>
      <c r="AH16" s="878">
        <f>BTW*AD16</f>
        <v>0</v>
      </c>
      <c r="AI16" s="878">
        <f>SUM(AD16:AH16)</f>
        <v>0</v>
      </c>
      <c r="AJ16" s="878">
        <f>IF('2. Invoer parameters'!$C$10="ja",MIA_BEV_C*P16,0)</f>
        <v>0</v>
      </c>
      <c r="AK16" s="882">
        <f>IF($L16=0,0,AJ16/($E16*looptijd*$L16))</f>
        <v>0</v>
      </c>
      <c r="AL16" s="881">
        <f>IF(BPM_belasting="nee",(((AD16-AJ16)-BK16)/2)*Rente_financiering,(((AD16-AJ16+AF16)-BL16)/2)*Rente_financiering)</f>
        <v>0</v>
      </c>
      <c r="AM16" s="880">
        <f>IF($L16=0,0,AL16*looptijd/($E16*looptijd*$L16))</f>
        <v>0</v>
      </c>
      <c r="AO16" s="876">
        <f>(H16*verz_die_C)+(I16*verz_benz_C)+(J16*verz_CNG_C)</f>
        <v>0</v>
      </c>
      <c r="AP16" s="877">
        <f>IF($G16=0,0,(AO16*12*looptijd)/($E16*looptijd*$G16))</f>
        <v>0</v>
      </c>
      <c r="AQ16" s="878">
        <f>(input_MRB_die_C*$H16)+(input_MRB_benz_C*$I16)+(input_MRB_CNG_C*J16)</f>
        <v>0</v>
      </c>
      <c r="AR16" s="877">
        <f>IF($G16=0,0,AQ16/($E16*looptijd*$G16))</f>
        <v>0</v>
      </c>
      <c r="AS16" s="878">
        <f>($E16*H16*(gem_verbr_die_C/100)*prijs_die)+($E16*I16*(gem_verbr_benz_C/100)*prijs_benz)+($E16*J16*(gem_verbr_CNG_C/100)*prijs_CNG)</f>
        <v>0</v>
      </c>
      <c r="AT16" s="877">
        <f>IF($G16=0,0,(AS16*looptijd)/(looptijd*$E16*$G16))</f>
        <v>0</v>
      </c>
      <c r="AU16" s="878">
        <f>($E16*H16*Onderh_die_C)+($E16*I16*Onderh_benz_C)+($E16*J16*Onderh_CNG_C)</f>
        <v>0</v>
      </c>
      <c r="AV16" s="877">
        <f>IF($G16=0,0,(AU16*looptijd)/(looptijd*$E16*$G16))</f>
        <v>0</v>
      </c>
      <c r="AW16" s="878">
        <f>Rest_perc*SUM(U16:W16)</f>
        <v>0</v>
      </c>
      <c r="AX16" s="881">
        <f>Rest_perc*SUM(U16:Y16)</f>
        <v>0</v>
      </c>
      <c r="AY16" s="878">
        <f>IF(BTW_verrekening="Ja",((U16+W16)-AW16)/(looptijd*12),((U16+W16+Y16)-AX16)/(looptijd*12))</f>
        <v>0</v>
      </c>
      <c r="AZ16" s="877">
        <f>IF($G16=0,0,(AY16*12*looptijd)/(looptijd*$E16*$G16))</f>
        <v>0</v>
      </c>
      <c r="BA16" s="883">
        <f>(_schadekosten_per_km*E16*G16)/12</f>
        <v>0</v>
      </c>
      <c r="BB16" s="884">
        <f>IF($G16=0,0,(BA16*12*looptijd)/($E16*$G16*looptijd))</f>
        <v>0</v>
      </c>
      <c r="BD16" s="876">
        <f>(M16*verz_die_C)+(N16*verz_benz_C)+(O16*verz_CNG_C)+(P16*verz_BEV_C)+(Q16*verz_FCEV_A)</f>
        <v>0</v>
      </c>
      <c r="BE16" s="877">
        <f>IF($L16=0,0,(BD16*12*looptijd)/($E16*looptijd*$L16))</f>
        <v>0</v>
      </c>
      <c r="BF16" s="878">
        <f>(input_MRB_benz_C*N16)+(input_MRB_die_C*O16)+(input_MRB_BEV_C*P16)+(input_MRB_FCEV_C*Q16)</f>
        <v>0</v>
      </c>
      <c r="BG16" s="877">
        <f>IF($L16=0,0,BF16/($E16*looptijd*$L16))</f>
        <v>0</v>
      </c>
      <c r="BH16" s="878">
        <f>($E16*M16*(gem_verbr_die_C/100)*prijs_die)+($E16*N16*(gem_verbr_benz_C/100)*prijs_benz)+($E16*O16*(gem_verbr_CNG_C/100)*prijs_CNG)+($E16*P16*(gem_verbr_BEV_C/100)*prijs_elek_berekening)+($E16*Q16*(gem_verbr_FCEV_C_Elek/100)*prijs_elek_berekening*(100%-_verh_H2_accu_C))+($E16*Q16*(gem_verbr_FCEV_C_H2/100)*prijs_H2*(_verh_H2_accu_C))</f>
        <v>0</v>
      </c>
      <c r="BI16" s="877">
        <f>IF($L16=0,0,(BH16*looptijd)/(looptijd*$E16*$L16))</f>
        <v>0</v>
      </c>
      <c r="BJ16" s="885"/>
      <c r="BK16" s="878">
        <f>Rest_perc_ZE*(AD16+AF16)</f>
        <v>0</v>
      </c>
      <c r="BL16" s="878">
        <f>Rest_perc_ZE*(AD16+AF16+AH16)</f>
        <v>0</v>
      </c>
      <c r="BM16" s="885"/>
      <c r="BN16" s="878">
        <f>($E16*M16*Onderh_die_C)+($E16*N16*Onderh_benz_C)+($E16*O16*Onderh_CNG_C)+($E16*P16*Onderh_BEV_C)+($E16*Q16*Onderh_FCEV_C)</f>
        <v>0</v>
      </c>
      <c r="BO16" s="877">
        <f>IF($L16=0,0,(BN16*looptijd)/(looptijd*$E16*$L16))</f>
        <v>0</v>
      </c>
      <c r="BP16" s="878"/>
      <c r="BQ16" s="878">
        <f>IF(BTW_verrekening="Ja",((AD16+AF16-AJ16)-BK16)/(looptijd*12),((AD16+AF16+AH16-AJ16)-BL16)/(looptijd*12))</f>
        <v>0</v>
      </c>
      <c r="BR16" s="877">
        <f>IF($G16=0,0,(BQ16*12*looptijd)/(looptijd*$E16*$G16))</f>
        <v>0</v>
      </c>
      <c r="BS16" s="885"/>
      <c r="BT16" s="883">
        <f>(_schadekosten_per_km*E16*L16)/12</f>
        <v>0</v>
      </c>
      <c r="BU16" s="884">
        <f>IF($L16=0,0,(BT16*12*looptijd)/($E16*$L16*looptijd))</f>
        <v>0</v>
      </c>
      <c r="BV16" s="881"/>
      <c r="BW16" s="886">
        <f>(Efac_die_TTW*(gem_verbr_die_C/100)*$E16*H16)+(Efac_benz_TTW*(gem_verbr_benz_C/100)*$E16*I16)+(Efac_CNG_berekening_TTW*(gem_verbr_CNG_C/100)*$E16*J16)</f>
        <v>0</v>
      </c>
      <c r="BX16" s="887">
        <f>(Efac_die_WTW*(gem_verbr_die_C/100)*$E16*H16)+(Efac_benz_WTW*(gem_verbr_benz_C/100)*$E16*I16)+(Efac_CNG_berekening_WTW*(gem_verbr_CNG_C/100)*$E16*J16)</f>
        <v>0</v>
      </c>
      <c r="BY16" s="888">
        <f>IF($G16=0,0,(BX16*looptijd)/($E16*$G16*looptijd))</f>
        <v>0</v>
      </c>
      <c r="BZ16" s="889"/>
      <c r="CA16" s="886">
        <f>(Efac_die_TTW*(gem_verbr_die_C/100)*$E16*M16)+(Efac_benz_TTW*(verbr_benz_C/100)*$E16*N16)+(Efac_CNG_berekening_TTW*(verbr_CNG_C/100)*$E16*O16)+(Efac_elek_berekening_TTW*(gem_verbr_BEV_C/100)*$E16*P16)+(Efac_elek_berekening_TTW*(gem_verbr_FCEV_C_Elek/100)*(100%-_verh_H2_accu_C)*Q16)+(Efac_H2_berekening_TTW*(gem_verbr_FCEV_C_H2/100)*(_verh_H2_accu_C)*Q16)</f>
        <v>0</v>
      </c>
      <c r="CB16" s="887">
        <f>(Efac_die_WTW*(gem_verbr_die_C/100)*$E16*M16)+(Efac_benz_WTW*(verbr_benz_C/100)*$E16*N16)+(Efac_CNG_berekening_WTW*(verbr_CNG_C/100)*$E16*O16)+(Efac_elek_berekening_WTW*(gem_verbr_BEV_C/100)*$E16*P16)+(Efac_elek_berekening_TTW*(gem_verbr_FCEV_C_Elek/100)*(100%-_verh_H2_accu_C)*Q16)+(Efac_H2_berekening_WTW*(gem_verbr_FCEV_C_H2/100)*(_verh_H2_accu_C)*Q16)</f>
        <v>0</v>
      </c>
      <c r="CC16" s="888">
        <f>IF($L16=0,0,(CB16*looptijd)/($L16*$E16*looptijd))</f>
        <v>0</v>
      </c>
    </row>
    <row r="17" spans="1:81">
      <c r="A17" s="891">
        <v>13</v>
      </c>
      <c r="B17" s="867" t="s">
        <v>15</v>
      </c>
      <c r="C17" s="868" t="s">
        <v>750</v>
      </c>
      <c r="D17" s="868"/>
      <c r="E17" s="869">
        <f>$E$5</f>
        <v>25000</v>
      </c>
      <c r="G17" s="870">
        <f t="shared" si="0"/>
        <v>0</v>
      </c>
      <c r="H17" s="868">
        <v>0</v>
      </c>
      <c r="I17" s="868">
        <v>0</v>
      </c>
      <c r="J17" s="872">
        <v>0</v>
      </c>
      <c r="K17" s="873"/>
      <c r="L17" s="870">
        <f t="shared" si="1"/>
        <v>0</v>
      </c>
      <c r="M17" s="868">
        <v>0</v>
      </c>
      <c r="N17" s="868">
        <v>0</v>
      </c>
      <c r="O17" s="868">
        <v>0</v>
      </c>
      <c r="P17" s="868">
        <v>0</v>
      </c>
      <c r="Q17" s="874">
        <v>0</v>
      </c>
      <c r="S17" s="875">
        <f>(L17*E17*looptijd)</f>
        <v>0</v>
      </c>
      <c r="U17" s="876">
        <f>(Netto_cat_die_C*H17)+(Netto_cat_benz_C*I17)+(Netto_cat_CNG_C*J17)</f>
        <v>0</v>
      </c>
      <c r="V17" s="877">
        <f>IF($G17=0,0,U17/($E17*$G17*looptijd))</f>
        <v>0</v>
      </c>
      <c r="W17" s="878">
        <f>IF(BPM_belasting="ja",(BPM_die_C*H17)+(BPM_benz_C*I17)+(BPM_CNG_C*J17),0)</f>
        <v>0</v>
      </c>
      <c r="X17" s="877">
        <f>IF($G17=0,0,W17/($E17*looptijd*$G17))</f>
        <v>0</v>
      </c>
      <c r="Y17" s="879">
        <f>BTW*U17</f>
        <v>0</v>
      </c>
      <c r="Z17" s="879">
        <f>SUM(U17:Y17)</f>
        <v>0</v>
      </c>
      <c r="AA17" s="879">
        <f>IF(BTW_verrekening="ja",((U17+W17-AW17))/2*Rente_financiering,((U17+W17+Y17-AW17)/2)*Rente_financiering)</f>
        <v>0</v>
      </c>
      <c r="AB17" s="880">
        <f>IF(G17=0,0,AA17*looptijd/($E17*looptijd*$G17))</f>
        <v>0</v>
      </c>
      <c r="AD17" s="876">
        <f>(Netto_cat_die_C*M17)+(Netto_cat_benz_C*N17)+(Netto_cat_CNG_C*O17)+(Netto_cat_BEV_C*P17)+(Netto_cat_FCEV_C*Q17)</f>
        <v>0</v>
      </c>
      <c r="AE17" s="877">
        <f>IF($L17=0,0,AD17/($E17*$L17*looptijd))</f>
        <v>0</v>
      </c>
      <c r="AF17" s="878">
        <f>IF(BPM_belasting="ja",(BPM_benz_A*N17)+(BPM_CNG_A*O17)+(P17*BPM_BEV)+(Q17*BPM_FCEV),0)</f>
        <v>0</v>
      </c>
      <c r="AG17" s="878">
        <f>IF($L17=0,0,AF17/($E17*looptijd*$L17))</f>
        <v>0</v>
      </c>
      <c r="AH17" s="878">
        <f>BTW*AD17</f>
        <v>0</v>
      </c>
      <c r="AI17" s="878">
        <f>SUM(AD17:AH17)</f>
        <v>0</v>
      </c>
      <c r="AJ17" s="878">
        <f>IF('2. Invoer parameters'!$C$10="ja",MIA_BEV_C*P17,0)</f>
        <v>0</v>
      </c>
      <c r="AK17" s="882">
        <f>IF($L17=0,0,AJ17/($E17*looptijd*$L17))</f>
        <v>0</v>
      </c>
      <c r="AL17" s="881">
        <f>IF(BPM_belasting="nee",(((AD17-AJ17)-BK17)/2)*Rente_financiering,(((AD17-AJ17+AF17)-BL17)/2)*Rente_financiering)</f>
        <v>0</v>
      </c>
      <c r="AM17" s="880">
        <f>IF($L17=0,0,AL17*looptijd/($E17*looptijd*$L17))</f>
        <v>0</v>
      </c>
      <c r="AO17" s="876">
        <f>(H17*verz_die_C)+(I17*verz_benz_C)+(J17*verz_CNG_C)</f>
        <v>0</v>
      </c>
      <c r="AP17" s="877">
        <f>IF($G17=0,0,(AO17*12*looptijd)/($E17*looptijd*$G17))</f>
        <v>0</v>
      </c>
      <c r="AQ17" s="878">
        <f>(input_MRB_die_C*$H17)+(input_MRB_benz_C*$I17)+(input_MRB_CNG_C*J17)</f>
        <v>0</v>
      </c>
      <c r="AR17" s="877">
        <f>IF($G17=0,0,AQ17/($E17*looptijd*$G17))</f>
        <v>0</v>
      </c>
      <c r="AS17" s="878">
        <f>($E17*H17*(gem_verbr_die_C/100)*prijs_die)+($E17*I17*(gem_verbr_benz_C/100)*prijs_benz)+($E17*J17*(gem_verbr_CNG_C/100)*prijs_CNG)</f>
        <v>0</v>
      </c>
      <c r="AT17" s="877">
        <f>IF($G17=0,0,(AS17*looptijd)/(looptijd*$E17*$G17))</f>
        <v>0</v>
      </c>
      <c r="AU17" s="878">
        <f>($E17*H17*Onderh_die_C)+($E17*I17*Onderh_benz_C)+($E17*J17*Onderh_CNG_C)</f>
        <v>0</v>
      </c>
      <c r="AV17" s="877">
        <f>IF($G17=0,0,(AU17*looptijd)/(looptijd*$E17*$G17))</f>
        <v>0</v>
      </c>
      <c r="AW17" s="878">
        <f>Rest_perc*SUM(U17:W17)</f>
        <v>0</v>
      </c>
      <c r="AX17" s="881">
        <f>Rest_perc*SUM(U17:Y17)</f>
        <v>0</v>
      </c>
      <c r="AY17" s="878">
        <f>IF(BTW_verrekening="Ja",((U17+W17)-AW17)/(looptijd*12),((U17+W17+Y17)-AX17)/(looptijd*12))</f>
        <v>0</v>
      </c>
      <c r="AZ17" s="877">
        <f>IF($G17=0,0,(AY17*12*looptijd)/(looptijd*$E17*$G17))</f>
        <v>0</v>
      </c>
      <c r="BA17" s="883">
        <f>(_schadekosten_per_km*E17*G17)/12</f>
        <v>0</v>
      </c>
      <c r="BB17" s="884">
        <f>IF($G17=0,0,(BA17*12*looptijd)/($E17*$G17*looptijd))</f>
        <v>0</v>
      </c>
      <c r="BD17" s="876">
        <f>(M17*verz_die_C)+(N17*verz_benz_C)+(O17*verz_CNG_C)+(P17*verz_BEV_C)+(Q17*verz_FCEV_A)</f>
        <v>0</v>
      </c>
      <c r="BE17" s="877">
        <f>IF($L17=0,0,(BD17*12*looptijd)/($E17*looptijd*$L17))</f>
        <v>0</v>
      </c>
      <c r="BF17" s="878">
        <f>(input_MRB_benz_C*N17)+(input_MRB_die_C*O17)+(input_MRB_BEV_C*P17)+(input_MRB_FCEV_C*Q17)</f>
        <v>0</v>
      </c>
      <c r="BG17" s="877">
        <f>IF($L17=0,0,BF17/($E17*looptijd*$L17))</f>
        <v>0</v>
      </c>
      <c r="BH17" s="878">
        <f>($E17*M17*(gem_verbr_die_C/100)*prijs_die)+($E17*N17*(gem_verbr_benz_C/100)*prijs_benz)+($E17*O17*(gem_verbr_CNG_C/100)*prijs_CNG)+($E17*P17*(gem_verbr_BEV_C/100)*prijs_elek_berekening)+($E17*Q17*(gem_verbr_FCEV_C_Elek/100)*prijs_elek_berekening*(100%-_verh_H2_accu_C))+($E17*Q17*(gem_verbr_FCEV_C_H2/100)*prijs_H2*(_verh_H2_accu_C))</f>
        <v>0</v>
      </c>
      <c r="BI17" s="877">
        <f>IF($L17=0,0,(BH17*looptijd)/(looptijd*$E17*$L17))</f>
        <v>0</v>
      </c>
      <c r="BJ17" s="885"/>
      <c r="BK17" s="878">
        <f>Rest_perc_ZE*(AD17+AF17)</f>
        <v>0</v>
      </c>
      <c r="BL17" s="878">
        <f>Rest_perc_ZE*(AD17+AF17+AH17)</f>
        <v>0</v>
      </c>
      <c r="BM17" s="885"/>
      <c r="BN17" s="878">
        <f>($E17*M17*Onderh_die_C)+($E17*N17*Onderh_benz_C)+($E17*O17*Onderh_CNG_C)+($E17*P17*Onderh_BEV_C)+($E17*Q17*Onderh_FCEV_C)</f>
        <v>0</v>
      </c>
      <c r="BO17" s="877">
        <f>IF($L17=0,0,(BN17*looptijd)/(looptijd*$E17*$L17))</f>
        <v>0</v>
      </c>
      <c r="BP17" s="878"/>
      <c r="BQ17" s="878">
        <f>IF(BTW_verrekening="Ja",((AD17+AF17-AJ17)-BK17)/(looptijd*12),((AD17+AF17+AH17-AJ17)-BL17)/(looptijd*12))</f>
        <v>0</v>
      </c>
      <c r="BR17" s="877">
        <f>IF($G17=0,0,(BQ17*12*looptijd)/(looptijd*$E17*$G17))</f>
        <v>0</v>
      </c>
      <c r="BS17" s="885"/>
      <c r="BT17" s="883">
        <f>(_schadekosten_per_km*E17*L17)/12</f>
        <v>0</v>
      </c>
      <c r="BU17" s="884">
        <f>IF($L17=0,0,(BT17*12*looptijd)/($E17*$L17*looptijd))</f>
        <v>0</v>
      </c>
      <c r="BV17" s="881"/>
      <c r="BW17" s="886">
        <f>(Efac_die_TTW*(gem_verbr_die_C/100)*$E17*H17)+(Efac_benz_TTW*(gem_verbr_benz_C/100)*$E17*I17)+(Efac_CNG_berekening_TTW*(gem_verbr_CNG_C/100)*$E17*J17)</f>
        <v>0</v>
      </c>
      <c r="BX17" s="887">
        <f>(Efac_die_WTW*(gem_verbr_die_C/100)*$E17*H17)+(Efac_benz_WTW*(gem_verbr_benz_C/100)*$E17*I17)+(Efac_CNG_berekening_WTW*(gem_verbr_CNG_C/100)*$E17*J17)</f>
        <v>0</v>
      </c>
      <c r="BY17" s="888">
        <f>IF($G17=0,0,(BX17*looptijd)/($E17*$G17*looptijd))</f>
        <v>0</v>
      </c>
      <c r="BZ17" s="889"/>
      <c r="CA17" s="886">
        <f>(Efac_die_TTW*(gem_verbr_die_C/100)*$E17*M17)+(Efac_benz_TTW*(verbr_benz_C/100)*$E17*N17)+(Efac_CNG_berekening_TTW*(verbr_CNG_C/100)*$E17*O17)+(Efac_elek_berekening_TTW*(gem_verbr_BEV_C/100)*$E17*P17)+(Efac_elek_berekening_TTW*(gem_verbr_FCEV_C_Elek/100)*(100%-_verh_H2_accu_C)*Q17)+(Efac_H2_berekening_TTW*(gem_verbr_FCEV_C_H2/100)*(_verh_H2_accu_C)*Q17)</f>
        <v>0</v>
      </c>
      <c r="CB17" s="887">
        <f>(Efac_die_WTW*(gem_verbr_die_C/100)*$E17*M17)+(Efac_benz_WTW*(verbr_benz_C/100)*$E17*N17)+(Efac_CNG_berekening_WTW*(verbr_CNG_C/100)*$E17*O17)+(Efac_elek_berekening_WTW*(gem_verbr_BEV_C/100)*$E17*P17)+(Efac_elek_berekening_TTW*(gem_verbr_FCEV_C_Elek/100)*(100%-_verh_H2_accu_C)*Q17)+(Efac_H2_berekening_WTW*(gem_verbr_FCEV_C_H2/100)*(_verh_H2_accu_C)*Q17)</f>
        <v>0</v>
      </c>
      <c r="CC17" s="888">
        <f>IF($L17=0,0,(CB17*looptijd)/($L17*$E17*looptijd))</f>
        <v>0</v>
      </c>
    </row>
    <row r="18" spans="1:81">
      <c r="A18" s="891">
        <v>14</v>
      </c>
      <c r="B18" s="867" t="s">
        <v>15</v>
      </c>
      <c r="C18" s="868" t="s">
        <v>752</v>
      </c>
      <c r="D18" s="868"/>
      <c r="E18" s="872">
        <v>50000</v>
      </c>
      <c r="F18" s="873"/>
      <c r="G18" s="870">
        <f t="shared" si="0"/>
        <v>0</v>
      </c>
      <c r="H18" s="868">
        <v>0</v>
      </c>
      <c r="I18" s="868">
        <v>0</v>
      </c>
      <c r="J18" s="872">
        <v>0</v>
      </c>
      <c r="K18" s="873"/>
      <c r="L18" s="870">
        <f t="shared" si="1"/>
        <v>0</v>
      </c>
      <c r="M18" s="868">
        <v>0</v>
      </c>
      <c r="N18" s="868">
        <v>0</v>
      </c>
      <c r="O18" s="868">
        <v>0</v>
      </c>
      <c r="P18" s="868">
        <v>0</v>
      </c>
      <c r="Q18" s="874">
        <v>0</v>
      </c>
      <c r="S18" s="875">
        <f>(L18*E18*looptijd)</f>
        <v>0</v>
      </c>
      <c r="U18" s="876">
        <f>(Netto_cat_die_C*H18)+(Netto_cat_benz_C*I18)+(Netto_cat_CNG_C*J18)</f>
        <v>0</v>
      </c>
      <c r="V18" s="877">
        <f>IF($G18=0,0,U18/($E18*$G18*looptijd))</f>
        <v>0</v>
      </c>
      <c r="W18" s="878">
        <f>IF(BPM_belasting="ja",(BPM_die_C*H18)+(BPM_benz_C*I18)+(BPM_CNG_C*J18),0)</f>
        <v>0</v>
      </c>
      <c r="X18" s="877">
        <f>IF($G18=0,0,W18/($E18*looptijd*$G18))</f>
        <v>0</v>
      </c>
      <c r="Y18" s="879">
        <f>BTW*U18</f>
        <v>0</v>
      </c>
      <c r="Z18" s="879">
        <f>SUM(U18:Y18)</f>
        <v>0</v>
      </c>
      <c r="AA18" s="879">
        <f>IF(BTW_verrekening="ja",((U18+W18-AW18))/2*Rente_financiering,((U18+W18+Y18-AW18)/2)*Rente_financiering)</f>
        <v>0</v>
      </c>
      <c r="AB18" s="880">
        <f>IF(G18=0,0,AA18*looptijd/($E18*looptijd*$G18))</f>
        <v>0</v>
      </c>
      <c r="AD18" s="876">
        <f>(Netto_cat_die_C*M18)+(Netto_cat_benz_C*N18)+(Netto_cat_CNG_C*O18)+(Netto_cat_BEV_C*P18)+(Netto_cat_FCEV_C*Q18)</f>
        <v>0</v>
      </c>
      <c r="AE18" s="877">
        <f>IF($L18=0,0,AD18/($E18*$L18*looptijd))</f>
        <v>0</v>
      </c>
      <c r="AF18" s="878">
        <f>IF(BPM_belasting="ja",(BPM_benz_A*N18)+(BPM_CNG_A*O18)+(P18*BPM_BEV)+(Q18*BPM_FCEV),0)</f>
        <v>0</v>
      </c>
      <c r="AG18" s="878">
        <f>IF($L18=0,0,AF18/($E18*looptijd*$L18))</f>
        <v>0</v>
      </c>
      <c r="AH18" s="878">
        <f>BTW*AD18</f>
        <v>0</v>
      </c>
      <c r="AI18" s="878">
        <f>SUM(AD18:AH18)</f>
        <v>0</v>
      </c>
      <c r="AJ18" s="878">
        <f>IF('2. Invoer parameters'!$C$10="ja",MIA_BEV_C*P18,0)</f>
        <v>0</v>
      </c>
      <c r="AK18" s="882">
        <f>IF($L18=0,0,AJ18/($E18*looptijd*$L18))</f>
        <v>0</v>
      </c>
      <c r="AL18" s="881">
        <f>IF(BPM_belasting="nee",(((AD18-AJ18)-BK18)/2)*Rente_financiering,(((AD18-AJ18+AF18)-BL18)/2)*Rente_financiering)</f>
        <v>0</v>
      </c>
      <c r="AM18" s="880">
        <f>IF($L18=0,0,AL18*looptijd/($E18*looptijd*$L18))</f>
        <v>0</v>
      </c>
      <c r="AO18" s="876">
        <f>(H18*verz_die_C)+(I18*verz_benz_C)+(J18*verz_CNG_C)</f>
        <v>0</v>
      </c>
      <c r="AP18" s="877">
        <f>IF($G18=0,0,(AO18*12*looptijd)/($E18*looptijd*$G18))</f>
        <v>0</v>
      </c>
      <c r="AQ18" s="878">
        <f>(input_MRB_die_C*$H18)+(input_MRB_benz_C*$I18)+(input_MRB_CNG_C*J18)</f>
        <v>0</v>
      </c>
      <c r="AR18" s="877">
        <f>IF($G18=0,0,AQ18/($E18*looptijd*$G18))</f>
        <v>0</v>
      </c>
      <c r="AS18" s="878">
        <f>($E18*H18*(gem_verbr_die_C/100)*prijs_die)+($E18*I18*(gem_verbr_benz_C/100)*prijs_benz)+($E18*J18*(gem_verbr_CNG_C/100)*prijs_CNG)</f>
        <v>0</v>
      </c>
      <c r="AT18" s="877">
        <f>IF($G18=0,0,(AS18*looptijd)/(looptijd*$E18*$G18))</f>
        <v>0</v>
      </c>
      <c r="AU18" s="878">
        <f>($E18*H18*Onderh_die_C_hoog_km)+($E18*I18*Onderh_benz_C_hoog_km)+($E18*J18*Onderh_CNG_C_hoog_km)</f>
        <v>0</v>
      </c>
      <c r="AV18" s="877">
        <f>IF($G18=0,0,(AU18*looptijd)/(looptijd*$E18*$G18))</f>
        <v>0</v>
      </c>
      <c r="AW18" s="878">
        <f>Rest_perc*SUM(U18:W18)</f>
        <v>0</v>
      </c>
      <c r="AX18" s="881">
        <f>Rest_perc*SUM(U18:Y18)</f>
        <v>0</v>
      </c>
      <c r="AY18" s="878">
        <f>IF(BTW_verrekening="Ja",((U18+W18)-AW18)/(looptijd*12),((U18+W18+Y18)-AX18)/(looptijd*12))</f>
        <v>0</v>
      </c>
      <c r="AZ18" s="877">
        <f>IF($G18=0,0,(AY18*12*looptijd)/(looptijd*$E18*$G18))</f>
        <v>0</v>
      </c>
      <c r="BA18" s="883">
        <f>(_schadekosten_per_km*E18*G18)/12</f>
        <v>0</v>
      </c>
      <c r="BB18" s="884">
        <f>IF($G18=0,0,(BA18*12*looptijd)/($E18*$G18*looptijd))</f>
        <v>0</v>
      </c>
      <c r="BD18" s="876">
        <f>(M18*verz_die_C)+(N18*verz_benz_C)+(O18*verz_CNG_C)+(P18*verz_BEV_C)+(Q18*verz_FCEV_A)</f>
        <v>0</v>
      </c>
      <c r="BE18" s="877">
        <f>IF($L18=0,0,(BD18*12*looptijd)/($E18*looptijd*$L18))</f>
        <v>0</v>
      </c>
      <c r="BF18" s="878">
        <f>(input_MRB_benz_C*N18)+(input_MRB_die_C*O18)+(input_MRB_BEV_C*P18)+(input_MRB_FCEV_C*Q18)</f>
        <v>0</v>
      </c>
      <c r="BG18" s="877">
        <f>IF($L18=0,0,BF18/($E18*looptijd*$L18))</f>
        <v>0</v>
      </c>
      <c r="BH18" s="878">
        <f>($E18*M18*(gem_verbr_die_C/100)*prijs_die)+($E18*N18*(gem_verbr_benz_C/100)*prijs_benz)+($E18*O18*(gem_verbr_CNG_C/100)*prijs_CNG)+($E18*P18*(gem_verbr_BEV_C/100)*prijs_elek_berekening)+($E18*Q18*(gem_verbr_FCEV_C_Elek/100)*prijs_elek_berekening*(100%-_verh_H2_accu_C))+($E18*Q18*(gem_verbr_FCEV_C_H2/100)*prijs_H2*(_verh_H2_accu_C))</f>
        <v>0</v>
      </c>
      <c r="BI18" s="877">
        <f>IF($L18=0,0,(BH18*looptijd)/(looptijd*$E18*$L18))</f>
        <v>0</v>
      </c>
      <c r="BJ18" s="885"/>
      <c r="BK18" s="878">
        <f>Rest_perc_ZE*(AD18+AF18)</f>
        <v>0</v>
      </c>
      <c r="BL18" s="878">
        <f>Rest_perc_ZE*(AD18+AF18+AH18)</f>
        <v>0</v>
      </c>
      <c r="BM18" s="885"/>
      <c r="BN18" s="878">
        <f>($E18*M18*Onderh_die_C_hoog_km)+($E18*N18*Onderh_benz_C_hoog_km)+($E18*O18*Onderh_CNG_C_hoog_km)+($E18*P18*Onderh_BEV_C_hoog_km)+($E18*Q18*Onderh_FCEV_C_hoog_km)</f>
        <v>0</v>
      </c>
      <c r="BO18" s="877">
        <f>IF($L18=0,0,(BN18*looptijd)/(looptijd*$E18*$L18))</f>
        <v>0</v>
      </c>
      <c r="BP18" s="878"/>
      <c r="BQ18" s="878">
        <f>IF(BTW_verrekening="Ja",((AD18+AF18-AJ18)-BK18)/(looptijd*12),((AD18+AF18+AH18-AJ18)-BL18)/(looptijd*12))</f>
        <v>0</v>
      </c>
      <c r="BR18" s="877">
        <f>IF($G18=0,0,(BQ18*12*looptijd)/(looptijd*$E18*$G18))</f>
        <v>0</v>
      </c>
      <c r="BS18" s="885"/>
      <c r="BT18" s="883">
        <f>(_schadekosten_per_km*E18*L18)/12</f>
        <v>0</v>
      </c>
      <c r="BU18" s="884">
        <f>IF($L18=0,0,(BT18*12*looptijd)/($E18*$L18*looptijd))</f>
        <v>0</v>
      </c>
      <c r="BV18" s="881"/>
      <c r="BW18" s="886">
        <f>(Efac_die_TTW*(gem_verbr_die_C/100)*$E18*H18)+(Efac_benz_TTW*(gem_verbr_benz_C/100)*$E18*I18)+(Efac_CNG_berekening_TTW*(gem_verbr_CNG_C/100)*$E18*J18)</f>
        <v>0</v>
      </c>
      <c r="BX18" s="887">
        <f>(Efac_die_WTW*(gem_verbr_die_C/100)*$E18*H18)+(Efac_benz_WTW*(gem_verbr_benz_C/100)*$E18*I18)+(Efac_CNG_berekening_WTW*(gem_verbr_CNG_C/100)*$E18*J18)</f>
        <v>0</v>
      </c>
      <c r="BY18" s="888">
        <f>IF($G18=0,0,(BX18*looptijd)/($E18*$G18*looptijd))</f>
        <v>0</v>
      </c>
      <c r="BZ18" s="889"/>
      <c r="CA18" s="886">
        <f>(Efac_die_TTW*(gem_verbr_die_C/100)*$E18*M18)+(Efac_benz_TTW*(verbr_benz_C/100)*$E18*N18)+(Efac_CNG_berekening_TTW*(verbr_CNG_C/100)*$E18*O18)+(Efac_elek_berekening_TTW*(gem_verbr_BEV_C/100)*$E18*P18)+(Efac_elek_berekening_TTW*(gem_verbr_FCEV_C_Elek/100)*(100%-_verh_H2_accu_C)*Q18)+(Efac_H2_berekening_TTW*(gem_verbr_FCEV_C_H2/100)*(_verh_H2_accu_C)*Q18)</f>
        <v>0</v>
      </c>
      <c r="CB18" s="887">
        <f>(Efac_die_WTW*(gem_verbr_die_C/100)*$E18*M18)+(Efac_benz_WTW*(verbr_benz_C/100)*$E18*N18)+(Efac_CNG_berekening_WTW*(verbr_CNG_C/100)*$E18*O18)+(Efac_elek_berekening_WTW*(gem_verbr_BEV_C/100)*$E18*P18)+(Efac_elek_berekening_TTW*(gem_verbr_FCEV_C_Elek/100)*(100%-_verh_H2_accu_C)*Q18)+(Efac_H2_berekening_WTW*(gem_verbr_FCEV_C_H2/100)*(_verh_H2_accu_C)*Q18)</f>
        <v>0</v>
      </c>
      <c r="CC18" s="888">
        <f>IF($L18=0,0,(CB18*looptijd)/($L18*$E18*looptijd))</f>
        <v>0</v>
      </c>
    </row>
    <row r="19" spans="1:81">
      <c r="A19" s="891">
        <v>15</v>
      </c>
      <c r="B19" s="867" t="s">
        <v>15</v>
      </c>
      <c r="C19" s="868" t="s">
        <v>1695</v>
      </c>
      <c r="D19" s="868"/>
      <c r="E19" s="872">
        <v>75000</v>
      </c>
      <c r="F19" s="873"/>
      <c r="G19" s="870">
        <f t="shared" si="0"/>
        <v>0</v>
      </c>
      <c r="H19" s="868">
        <v>0</v>
      </c>
      <c r="I19" s="868">
        <v>0</v>
      </c>
      <c r="J19" s="872">
        <v>0</v>
      </c>
      <c r="K19" s="873"/>
      <c r="L19" s="870">
        <f t="shared" si="1"/>
        <v>0</v>
      </c>
      <c r="M19" s="868">
        <v>0</v>
      </c>
      <c r="N19" s="868">
        <v>0</v>
      </c>
      <c r="O19" s="868">
        <v>0</v>
      </c>
      <c r="P19" s="868">
        <v>0</v>
      </c>
      <c r="Q19" s="874">
        <v>0</v>
      </c>
      <c r="S19" s="875">
        <f>(L19*E19*looptijd)</f>
        <v>0</v>
      </c>
      <c r="U19" s="876">
        <f>(Netto_cat_die_C*H19)+(Netto_cat_benz_C*I19)+(Netto_cat_CNG_C*J19)</f>
        <v>0</v>
      </c>
      <c r="V19" s="877">
        <f>IF($G19=0,0,U19/($E19*$G19*looptijd))</f>
        <v>0</v>
      </c>
      <c r="W19" s="878">
        <f>IF(BPM_belasting="ja",(BPM_die_C*H19)+(BPM_benz_C*I19)+(BPM_CNG_C*J19),0)</f>
        <v>0</v>
      </c>
      <c r="X19" s="877">
        <f>IF($G19=0,0,W19/($E19*looptijd*$G19))</f>
        <v>0</v>
      </c>
      <c r="Y19" s="879">
        <f>BTW*U19</f>
        <v>0</v>
      </c>
      <c r="Z19" s="879">
        <f>SUM(U19:Y19)</f>
        <v>0</v>
      </c>
      <c r="AA19" s="879">
        <f>IF(BTW_verrekening="ja",((U19+W19-AW19))/2*Rente_financiering,((U19+W19+Y19-AW19)/2)*Rente_financiering)</f>
        <v>0</v>
      </c>
      <c r="AB19" s="880">
        <f>IF(G19=0,0,AA19*looptijd/($E19*looptijd*$G19))</f>
        <v>0</v>
      </c>
      <c r="AD19" s="876">
        <f>(Netto_cat_die_C*M19)+(Netto_cat_benz_C*N19)+(Netto_cat_CNG_C*O19)+(Netto_cat_BEV_C*P19)+(Netto_cat_FCEV_C*Q19)</f>
        <v>0</v>
      </c>
      <c r="AE19" s="877">
        <f>IF($L19=0,0,AD19/($E19*$L19*looptijd))</f>
        <v>0</v>
      </c>
      <c r="AF19" s="878">
        <f>IF(BPM_belasting="ja",(BPM_benz_A*N19)+(BPM_CNG_A*O19)+(P19*BPM_BEV)+(Q19*BPM_FCEV),0)</f>
        <v>0</v>
      </c>
      <c r="AG19" s="878">
        <f>IF($L19=0,0,AF19/($E19*looptijd*$L19))</f>
        <v>0</v>
      </c>
      <c r="AH19" s="878">
        <f>BTW*AD19</f>
        <v>0</v>
      </c>
      <c r="AI19" s="878">
        <f>SUM(AD19:AH19)</f>
        <v>0</v>
      </c>
      <c r="AJ19" s="878">
        <f>IF('2. Invoer parameters'!$C$10="ja",MIA_BEV_C*P19,0)</f>
        <v>0</v>
      </c>
      <c r="AK19" s="882">
        <f>IF($L19=0,0,AJ19/($E19*looptijd*$L19))</f>
        <v>0</v>
      </c>
      <c r="AL19" s="881">
        <f>IF(BPM_belasting="nee",(((AD19-AJ19)-BK19)/2)*Rente_financiering,(((AD19-AJ19+AF19)-BL19)/2)*Rente_financiering)</f>
        <v>0</v>
      </c>
      <c r="AM19" s="880">
        <f>IF($L19=0,0,AL19*looptijd/($E19*looptijd*$L19))</f>
        <v>0</v>
      </c>
      <c r="AO19" s="876">
        <f>(H19*verz_die_C)+(I19*verz_benz_C)+(J19*verz_CNG_C)</f>
        <v>0</v>
      </c>
      <c r="AP19" s="877">
        <f>IF($G19=0,0,(AO19*12*looptijd)/($E19*looptijd*$G19))</f>
        <v>0</v>
      </c>
      <c r="AQ19" s="878">
        <f>(input_MRB_die_C*$H19)+(input_MRB_benz_C*$I19)+(input_MRB_CNG_C*J19)</f>
        <v>0</v>
      </c>
      <c r="AR19" s="877">
        <f>IF($G19=0,0,AQ19/($E19*looptijd*$G19))</f>
        <v>0</v>
      </c>
      <c r="AS19" s="878">
        <f>($E19*H19*(gem_verbr_die_C/100)*prijs_die)+($E19*I19*(gem_verbr_benz_C/100)*prijs_benz)+($E19*J19*(gem_verbr_CNG_C/100)*prijs_CNG)</f>
        <v>0</v>
      </c>
      <c r="AT19" s="877">
        <f>IF($G19=0,0,(AS19*looptijd)/(looptijd*$E19*$G19))</f>
        <v>0</v>
      </c>
      <c r="AU19" s="878">
        <f>($E19*H19*Onderh_die_C_hoog_km)+($E19*I19*Onderh_benz_C_hoog_km)+($E19*J19*Onderh_CNG_C_hoog_km)</f>
        <v>0</v>
      </c>
      <c r="AV19" s="877">
        <f>IF($G19=0,0,(AU19*looptijd)/(looptijd*$E19*$G19))</f>
        <v>0</v>
      </c>
      <c r="AW19" s="878">
        <f>Rest_perc*SUM(U19:W19)</f>
        <v>0</v>
      </c>
      <c r="AX19" s="881">
        <f>Rest_perc*SUM(U19:Y19)</f>
        <v>0</v>
      </c>
      <c r="AY19" s="878">
        <f>IF(BTW_verrekening="Ja",((U19+W19)-AW19)/(looptijd*12),((U19+W19+Y19)-AX19)/(looptijd*12))</f>
        <v>0</v>
      </c>
      <c r="AZ19" s="877">
        <f>IF($G19=0,0,(AY19*12*looptijd)/(looptijd*$E19*$G19))</f>
        <v>0</v>
      </c>
      <c r="BA19" s="883">
        <f>(_schadekosten_per_km*E19*G19)/12</f>
        <v>0</v>
      </c>
      <c r="BB19" s="884">
        <f>IF($G19=0,0,(BA19*12*looptijd)/($E19*$G19*looptijd))</f>
        <v>0</v>
      </c>
      <c r="BD19" s="876">
        <f>(M19*verz_die_C)+(N19*verz_benz_C)+(O19*verz_CNG_C)+(P19*verz_BEV_C)+(Q19*verz_FCEV_A)</f>
        <v>0</v>
      </c>
      <c r="BE19" s="877">
        <f>IF($L19=0,0,(BD19*12*looptijd)/($E19*looptijd*$L19))</f>
        <v>0</v>
      </c>
      <c r="BF19" s="878">
        <f>(input_MRB_benz_C*N19)+(input_MRB_die_C*O19)+(input_MRB_BEV_C*P19)+(input_MRB_FCEV_C*Q19)</f>
        <v>0</v>
      </c>
      <c r="BG19" s="877">
        <f>IF($L19=0,0,BF19/($E19*looptijd*$L19))</f>
        <v>0</v>
      </c>
      <c r="BH19" s="878">
        <f>($E19*M19*(gem_verbr_die_C/100)*prijs_die)+($E19*N19*(gem_verbr_benz_C/100)*prijs_benz)+($E19*O19*(gem_verbr_CNG_C/100)*prijs_CNG)+($E19*P19*(gem_verbr_BEV_C/100)*prijs_elek_berekening)+($E19*Q19*(gem_verbr_FCEV_C_Elek/100)*prijs_elek_berekening*(100%-_verh_H2_accu_C))+($E19*Q19*(gem_verbr_FCEV_C_H2/100)*prijs_H2*(_verh_H2_accu_C))</f>
        <v>0</v>
      </c>
      <c r="BI19" s="877">
        <f>IF($L19=0,0,(BH19*looptijd)/(looptijd*$E19*$L19))</f>
        <v>0</v>
      </c>
      <c r="BJ19" s="885"/>
      <c r="BK19" s="878">
        <f>Rest_perc_ZE*(AD19+AF19)</f>
        <v>0</v>
      </c>
      <c r="BL19" s="878">
        <f>Rest_perc_ZE*(AD19+AF19+AH19)</f>
        <v>0</v>
      </c>
      <c r="BM19" s="885"/>
      <c r="BN19" s="878">
        <f>($E19*M19*Onderh_die_C_hoog_km)+($E19*N19*Onderh_benz_C_hoog_km)+($E19*O19*Onderh_CNG_C_hoog_km)+($E19*P19*Onderh_BEV_C_hoog_km)+($E19*Q19*Onderh_FCEV_C_hoog_km)</f>
        <v>0</v>
      </c>
      <c r="BO19" s="877">
        <f>IF($L19=0,0,(BN19*looptijd)/(looptijd*$E19*$L19))</f>
        <v>0</v>
      </c>
      <c r="BP19" s="878"/>
      <c r="BQ19" s="878">
        <f>IF(BTW_verrekening="Ja",((AD19+AF19-AJ19)-BK19)/(looptijd*12),((AD19+AF19+AH19-AJ19)-BL19)/(looptijd*12))</f>
        <v>0</v>
      </c>
      <c r="BR19" s="877">
        <f>IF($G19=0,0,(BQ19*12*looptijd)/(looptijd*$E19*$G19))</f>
        <v>0</v>
      </c>
      <c r="BS19" s="885"/>
      <c r="BT19" s="883">
        <f>(_schadekosten_per_km*E19*L19)/12</f>
        <v>0</v>
      </c>
      <c r="BU19" s="884">
        <f>IF($L19=0,0,(BT19*12*looptijd)/($E19*$L19*looptijd))</f>
        <v>0</v>
      </c>
      <c r="BV19" s="881"/>
      <c r="BW19" s="886">
        <f>(Efac_die_TTW*(gem_verbr_die_C/100)*$E19*H19)+(Efac_benz_TTW*(gem_verbr_benz_C/100)*$E19*I19)+(Efac_CNG_berekening_TTW*(gem_verbr_CNG_C/100)*$E19*J19)</f>
        <v>0</v>
      </c>
      <c r="BX19" s="887">
        <f>(Efac_die_WTW*(gem_verbr_die_C/100)*$E19*H19)+(Efac_benz_WTW*(gem_verbr_benz_C/100)*$E19*I19)+(Efac_CNG_berekening_WTW*(gem_verbr_CNG_C/100)*$E19*J19)</f>
        <v>0</v>
      </c>
      <c r="BY19" s="888">
        <f>IF($G19=0,0,(BX19*looptijd)/($E19*$G19*looptijd))</f>
        <v>0</v>
      </c>
      <c r="BZ19" s="889"/>
      <c r="CA19" s="886">
        <f>(Efac_die_TTW*(gem_verbr_die_C/100)*$E19*M19)+(Efac_benz_TTW*(verbr_benz_C/100)*$E19*N19)+(Efac_CNG_berekening_TTW*(verbr_CNG_C/100)*$E19*O19)+(Efac_elek_berekening_TTW*(gem_verbr_BEV_C/100)*$E19*P19)+(Efac_elek_berekening_TTW*(gem_verbr_FCEV_C_Elek/100)*(100%-_verh_H2_accu_C)*Q19)+(Efac_H2_berekening_TTW*(gem_verbr_FCEV_C_H2/100)*(_verh_H2_accu_C)*Q19)</f>
        <v>0</v>
      </c>
      <c r="CB19" s="887">
        <f>(Efac_die_WTW*(gem_verbr_die_C/100)*$E19*M19)+(Efac_benz_WTW*(verbr_benz_C/100)*$E19*N19)+(Efac_CNG_berekening_WTW*(verbr_CNG_C/100)*$E19*O19)+(Efac_elek_berekening_WTW*(gem_verbr_BEV_C/100)*$E19*P19)+(Efac_elek_berekening_TTW*(gem_verbr_FCEV_C_Elek/100)*(100%-_verh_H2_accu_C)*Q19)+(Efac_H2_berekening_WTW*(gem_verbr_FCEV_C_H2/100)*(_verh_H2_accu_C)*Q19)</f>
        <v>0</v>
      </c>
      <c r="CC19" s="888">
        <f>IF($L19=0,0,(CB19*looptijd)/($L19*$E19*looptijd))</f>
        <v>0</v>
      </c>
    </row>
    <row r="20" spans="1:81" ht="16" customHeight="1">
      <c r="A20" s="891"/>
      <c r="B20" s="867"/>
      <c r="C20" s="868"/>
      <c r="D20" s="868"/>
      <c r="E20" s="872"/>
      <c r="F20" s="873"/>
      <c r="G20" s="870"/>
      <c r="H20" s="868"/>
      <c r="I20" s="868"/>
      <c r="J20" s="872"/>
      <c r="K20" s="873"/>
      <c r="L20" s="870"/>
      <c r="M20" s="868"/>
      <c r="N20" s="868"/>
      <c r="O20" s="868"/>
      <c r="P20" s="868"/>
      <c r="Q20" s="872"/>
      <c r="S20" s="875"/>
      <c r="U20" s="867"/>
      <c r="V20" s="877"/>
      <c r="W20" s="889"/>
      <c r="X20" s="877"/>
      <c r="Y20" s="879"/>
      <c r="Z20" s="879"/>
      <c r="AA20" s="879"/>
      <c r="AB20" s="880"/>
      <c r="AD20" s="867"/>
      <c r="AE20" s="877"/>
      <c r="AF20" s="878"/>
      <c r="AG20" s="878"/>
      <c r="AH20" s="878"/>
      <c r="AI20" s="878"/>
      <c r="AJ20" s="878"/>
      <c r="AK20" s="882"/>
      <c r="AL20" s="881"/>
      <c r="AM20" s="880"/>
      <c r="AO20" s="867"/>
      <c r="AP20" s="877"/>
      <c r="AQ20" s="889"/>
      <c r="AR20" s="877"/>
      <c r="AS20" s="889"/>
      <c r="AT20" s="877"/>
      <c r="AU20" s="889"/>
      <c r="AV20" s="877"/>
      <c r="AW20" s="878"/>
      <c r="AX20" s="881"/>
      <c r="AY20" s="878"/>
      <c r="AZ20" s="877"/>
      <c r="BA20" s="883"/>
      <c r="BB20" s="884"/>
      <c r="BD20" s="876"/>
      <c r="BE20" s="877"/>
      <c r="BF20" s="889"/>
      <c r="BG20" s="877"/>
      <c r="BH20" s="889"/>
      <c r="BI20" s="877"/>
      <c r="BJ20" s="892"/>
      <c r="BK20" s="878"/>
      <c r="BL20" s="878"/>
      <c r="BM20" s="885"/>
      <c r="BN20" s="889"/>
      <c r="BO20" s="877"/>
      <c r="BP20" s="889"/>
      <c r="BQ20" s="878"/>
      <c r="BR20" s="877"/>
      <c r="BS20" s="885"/>
      <c r="BT20" s="883"/>
      <c r="BU20" s="884"/>
      <c r="BV20" s="881"/>
      <c r="BW20" s="867"/>
      <c r="BX20" s="887"/>
      <c r="BY20" s="888"/>
      <c r="BZ20" s="889"/>
      <c r="CA20" s="867"/>
      <c r="CB20" s="889"/>
      <c r="CC20" s="888"/>
    </row>
    <row r="21" spans="1:81" ht="16" customHeight="1">
      <c r="A21" s="891">
        <v>16</v>
      </c>
      <c r="B21" s="867" t="s">
        <v>18</v>
      </c>
      <c r="C21" s="868" t="s">
        <v>748</v>
      </c>
      <c r="D21" s="868"/>
      <c r="E21" s="869">
        <f>$E$3</f>
        <v>10000</v>
      </c>
      <c r="G21" s="870">
        <f t="shared" si="0"/>
        <v>0</v>
      </c>
      <c r="H21" s="868">
        <f t="array" ref="H21:H25">TRANSPOSE('1a. Invoer - BESTAAND'!J7:N7)</f>
        <v>0</v>
      </c>
      <c r="I21" s="868">
        <f t="array" ref="I21:I25">TRANSPOSE('1a. Invoer - BESTAAND'!E7:I7)</f>
        <v>0</v>
      </c>
      <c r="J21" s="872">
        <f t="array" ref="J21:J25">TRANSPOSE('1a. Invoer - BESTAAND'!E36:I36
)</f>
        <v>0</v>
      </c>
      <c r="K21" s="873"/>
      <c r="L21" s="870">
        <f t="shared" si="1"/>
        <v>0</v>
      </c>
      <c r="M21" s="868">
        <v>0</v>
      </c>
      <c r="N21" s="868">
        <v>0</v>
      </c>
      <c r="O21" s="868">
        <v>0</v>
      </c>
      <c r="P21" s="868">
        <f t="array" ref="P21:P25">TRANSPOSE('1b. Invoer - NIEUW'!E9:I9)</f>
        <v>0</v>
      </c>
      <c r="Q21" s="872">
        <f t="array" ref="Q21:Q25">TRANSPOSE('1b. Invoer - NIEUW'!J9:N9)</f>
        <v>0</v>
      </c>
      <c r="S21" s="875">
        <f>(L21*E21*looptijd)</f>
        <v>0</v>
      </c>
      <c r="U21" s="876">
        <f>(Netto_cat_die_D*H21)+(Netto_cat_benz_D*I21)+(Netto_cat_CNG_D*J21)</f>
        <v>0</v>
      </c>
      <c r="V21" s="877">
        <f>IF($G21=0,0,U21/($E21*$G21*looptijd))</f>
        <v>0</v>
      </c>
      <c r="W21" s="878">
        <f>IF(BPM_belasting="ja",(BPM_die_D*H21)+(BPM_benz_D*I21)+(BPM_CNG_D*J21),0)</f>
        <v>0</v>
      </c>
      <c r="X21" s="877">
        <f>IF($G21=0,0,W21/($E21*looptijd*$G21))</f>
        <v>0</v>
      </c>
      <c r="Y21" s="879">
        <f>BTW*U21</f>
        <v>0</v>
      </c>
      <c r="Z21" s="879">
        <f>SUM(U21:Y21)</f>
        <v>0</v>
      </c>
      <c r="AA21" s="879">
        <f>IF(BTW_verrekening="ja",((U21+W21-AW21))/2*Rente_financiering,((U21+W21+Y21-AW21)/2)*Rente_financiering)</f>
        <v>0</v>
      </c>
      <c r="AB21" s="880">
        <f>IF(G21=0,0,AA21*looptijd/($E21*looptijd*$G21))</f>
        <v>0</v>
      </c>
      <c r="AD21" s="876">
        <f>(Netto_cat_die_D*M21)+(Netto_cat_benz_D*N21)++(Netto_cat_CNG_A*O21)+(Netto_cat_BEV_D*P21)+(Netto_cat_FCEV_D*Q21)</f>
        <v>0</v>
      </c>
      <c r="AE21" s="877">
        <f>IF($L21=0,0,AD21/($E21*$L21*looptijd))</f>
        <v>0</v>
      </c>
      <c r="AF21" s="878">
        <f>IF(BPM_belasting="ja",(BPM_benz_A*N21)+(BPM_CNG_A*O21)+(P21*BPM_BEV)+(Q21*BPM_FCEV),0)</f>
        <v>0</v>
      </c>
      <c r="AG21" s="878">
        <f>IF($L21=0,0,AF21/($E21*looptijd*$L21))</f>
        <v>0</v>
      </c>
      <c r="AH21" s="878">
        <f>BTW*AD21</f>
        <v>0</v>
      </c>
      <c r="AI21" s="878">
        <f>SUM(AD21:AH21)</f>
        <v>0</v>
      </c>
      <c r="AJ21" s="878">
        <f>IF('2. Invoer parameters'!$C$10="ja",MIA_BEV_D*P21,0)</f>
        <v>0</v>
      </c>
      <c r="AK21" s="882">
        <f>IF($L21=0,0,AJ21/($E21*looptijd*$L21))</f>
        <v>0</v>
      </c>
      <c r="AL21" s="881">
        <f>IF(BPM_belasting="nee",(((AD21-AJ21)-BK21)/2)*Rente_financiering,(((AD21-AJ21+AF21)-BL21)/2)*Rente_financiering)</f>
        <v>0</v>
      </c>
      <c r="AM21" s="880">
        <f>IF($L21=0,0,AL21*looptijd/($E21*looptijd*$L21))</f>
        <v>0</v>
      </c>
      <c r="AO21" s="876">
        <f>(H21*verz_die_D)+(I21*verz_benz_D)+(J21*verz_CNG_D)</f>
        <v>0</v>
      </c>
      <c r="AP21" s="877">
        <f>IF($G21=0,0,(AO21*12*looptijd)/($E21*looptijd*$G21))</f>
        <v>0</v>
      </c>
      <c r="AQ21" s="878">
        <f>(input_MRB_die_D*$H21)+(input_MRB_benz_D*$I21)+(input_MRB_CNG_D*J21)</f>
        <v>0</v>
      </c>
      <c r="AR21" s="877">
        <f>IF($G21=0,0,AQ21/($E21*looptijd*$G21))</f>
        <v>0</v>
      </c>
      <c r="AS21" s="878">
        <f>($E21*H21*(gem_verbr_die_D/100)*prijs_die)+($E21*I21*(gem_verbr_benz_D/100)*prijs_benz)+($E21*J21*(gem_verbr_CNG_D/100)*prijs_CNG)</f>
        <v>0</v>
      </c>
      <c r="AT21" s="877">
        <f>IF($G21=0,0,(AS21*looptijd)/(looptijd*$E21*$G21))</f>
        <v>0</v>
      </c>
      <c r="AU21" s="878">
        <f>($E21*H21*Onderh_die_D)+($E21*I21*Onderh_benz_D)+($E21*J21*Onderh_CNG_D)</f>
        <v>0</v>
      </c>
      <c r="AV21" s="877">
        <f>IF($G21=0,0,(AU21*looptijd)/(looptijd*$E21*$G21))</f>
        <v>0</v>
      </c>
      <c r="AW21" s="878">
        <f>Rest_perc*SUM(U21:W21)</f>
        <v>0</v>
      </c>
      <c r="AX21" s="881">
        <f>Rest_perc*SUM(U21:Y21)</f>
        <v>0</v>
      </c>
      <c r="AY21" s="878">
        <f>IF(BTW_verrekening="Ja",((U21+W21)-AW21)/(looptijd*12),((U21+W21+Y21)-AX21)/(looptijd*12))</f>
        <v>0</v>
      </c>
      <c r="AZ21" s="877">
        <f>IF($G21=0,0,(AY21*12*looptijd)/(looptijd*$E21*$G21))</f>
        <v>0</v>
      </c>
      <c r="BA21" s="883">
        <f>(_schadekosten_per_km*E21*G21)/12</f>
        <v>0</v>
      </c>
      <c r="BB21" s="884">
        <f>IF($G21=0,0,(BA21*12*looptijd)/($E21*$G21*looptijd))</f>
        <v>0</v>
      </c>
      <c r="BD21" s="876">
        <f>(M21*verz_die_D)+(N21*verz_benz_D)+(O21*verz_CNG_D)+(P21*verz_BEV_D)+(Q21*verz_FCEV_D)</f>
        <v>0</v>
      </c>
      <c r="BE21" s="877">
        <f>IF($L21=0,0,(BD21*12*looptijd)/($E21*looptijd*$L21))</f>
        <v>0</v>
      </c>
      <c r="BF21" s="878">
        <f>(MRB_die_D*M21)+(MRB_benz_D*N21)++(input_MRB_CNG_D*O21)+(input_MRB_BEV_D*P21)+(input_MRB_FCEV_C*Q21)</f>
        <v>0</v>
      </c>
      <c r="BG21" s="877">
        <f>IF($L21=0,0,BF21/($E21*looptijd*$L21))</f>
        <v>0</v>
      </c>
      <c r="BH21" s="878">
        <f>($E21*M21*(gem_verbr_die_D/100)*prijs_die)+($E21*N21*(gem_verbr_benz_D/100)*prijs_benz)+($E21*O21*(gem_verbr_CNG_D/100)*prijs_CNG)+($E21*P21*(gem_verbr_BEV_D/100)*prijs_elek_berekening)+($E21*Q21*(gem_verbr_FCEV_D_Elek/100)*prijs_elek_berekening*(100%-_verh_H2_accu_D))+($E21*Q21*(gem_verbr_FCEV_D_H2/100)*prijs_H2*(_verh_H2_accu_D))</f>
        <v>0</v>
      </c>
      <c r="BI21" s="877">
        <f>IF($L21=0,0,(BH21*looptijd)/(looptijd*$E21*$L21))</f>
        <v>0</v>
      </c>
      <c r="BJ21" s="885"/>
      <c r="BK21" s="878">
        <f>Rest_perc_ZE*(AD21+AF21)</f>
        <v>0</v>
      </c>
      <c r="BL21" s="878">
        <f>Rest_perc_ZE*(AD21+AF21+AH21)</f>
        <v>0</v>
      </c>
      <c r="BM21" s="885"/>
      <c r="BN21" s="878">
        <f>($E21*M21*Onderh_die_D)+($E21*N21*Onderh_benz_D)+($E21*O21*Onderh_CNG_D)+($E21*P21*Onderh_BEV_D)+($E21*Q21*Onderh_FCEV_D)</f>
        <v>0</v>
      </c>
      <c r="BO21" s="877">
        <f>IF($L21=0,0,(BN21*looptijd)/(looptijd*$E21*$L21))</f>
        <v>0</v>
      </c>
      <c r="BP21" s="878"/>
      <c r="BQ21" s="878">
        <f>IF(BTW_verrekening="Ja",((AD21+AF21-AJ21)-BK21)/(looptijd*12),((AD21+AF21+AH21-AJ21)-BL21)/(looptijd*12))</f>
        <v>0</v>
      </c>
      <c r="BR21" s="877">
        <f>IF($G21=0,0,(BQ21*12*looptijd)/(looptijd*$E21*$G21))</f>
        <v>0</v>
      </c>
      <c r="BS21" s="885"/>
      <c r="BT21" s="883">
        <f>(_schadekosten_per_km*E21*L21)/12</f>
        <v>0</v>
      </c>
      <c r="BU21" s="884">
        <f>IF($L21=0,0,(BT21*12*looptijd)/($E21*$L21*looptijd))</f>
        <v>0</v>
      </c>
      <c r="BV21" s="881"/>
      <c r="BW21" s="886">
        <f>(Efac_die_TTW*(gem_verbr_die_D/100)*$E21*H21)+(Efac_benz_TTW*(gem_verbr_benz_D/100)*$E21*I21)+(Efac_CNG_berekening_TTW*(gem_verbr_CNG_D/100)*$E21*J21)</f>
        <v>0</v>
      </c>
      <c r="BX21" s="887">
        <f>(Efac_die_WTW*(gem_verbr_die_D/100)*$E21*H21)+(Efac_benz_WTW*(gem_verbr_benz_D/100)*$E21*I21)+(Efac_CNG_berekening_WTW*(gem_verbr_CNG_D/100)*$E21*J21)</f>
        <v>0</v>
      </c>
      <c r="BY21" s="888">
        <f>IF($G21=0,0,(BX21*looptijd)/($E21*$G21*looptijd))</f>
        <v>0</v>
      </c>
      <c r="BZ21" s="889"/>
      <c r="CA21" s="886">
        <f>(Efac_die_TTW*(gem_verbr_die_D/100)*$E21*M21)+(Efac_benz_TTW*(gem_verbr_benz_D/100)*$E21*N21)+(Efac_CNG_berekening_TTW*(gem_verbr_CNG_D/100)*$E21*O21)+(Efac_elek_berekening_TTW*(gem_verbr_BEV_D/100)*$E21*P21)+(Efac_elek_berekening_TTW*(gem_verbr_FCEV_D_Elek/100)*(100%-_verh_H2_accu_D)*Q21)+(Efac_H2_berekening_TTW*(gem_verbr_FCEV_D_H2/100)*(_verh_H2_accu_D)*Q21)</f>
        <v>0</v>
      </c>
      <c r="CB21" s="887">
        <f>(Efac_die_WTW*(gem_verbr_die_D/100)*$E21*M21)+(Efac_benz_WTW*(gem_verbr_benz_D/100)*$E21*N21)+(Efac_CNG_berekening_WTW*(gem_verbr_CNG_D/100)*$E21*O21)+(Efac_elek_berekening_WTW*(gem_verbr_BEV_D/100)*$E21*P21)+(Efac_elek_berekening_WTW*(gem_verbr_FCEV_D_Elek/100)*(100%-_verh_H2_accu_D)*Q21)+(Efac_H2_berekening_WTW*(gem_verbr_FCEV_D_H2/100)*(_verh_H2_accu_D)*Q21)</f>
        <v>0</v>
      </c>
      <c r="CC21" s="888">
        <f>IF($L21=0,0,(CB21*looptijd)/($L21*$E21*looptijd))</f>
        <v>0</v>
      </c>
    </row>
    <row r="22" spans="1:81" ht="16" customHeight="1">
      <c r="A22" s="891">
        <v>17</v>
      </c>
      <c r="B22" s="867" t="s">
        <v>18</v>
      </c>
      <c r="C22" s="868" t="s">
        <v>749</v>
      </c>
      <c r="D22" s="868"/>
      <c r="E22" s="869">
        <f>$E$4</f>
        <v>15000</v>
      </c>
      <c r="G22" s="870">
        <f t="shared" si="0"/>
        <v>0</v>
      </c>
      <c r="H22" s="868">
        <v>0</v>
      </c>
      <c r="I22" s="868">
        <v>0</v>
      </c>
      <c r="J22" s="872">
        <v>0</v>
      </c>
      <c r="K22" s="873"/>
      <c r="L22" s="870">
        <f t="shared" si="1"/>
        <v>0</v>
      </c>
      <c r="M22" s="868">
        <v>0</v>
      </c>
      <c r="N22" s="868">
        <v>0</v>
      </c>
      <c r="O22" s="868">
        <v>0</v>
      </c>
      <c r="P22" s="868">
        <v>0</v>
      </c>
      <c r="Q22" s="872">
        <v>0</v>
      </c>
      <c r="S22" s="875">
        <f>(L22*E22*looptijd)</f>
        <v>0</v>
      </c>
      <c r="U22" s="876">
        <f>(Netto_cat_die_D*H22)+(Netto_cat_benz_D*I22)+(Netto_cat_CNG_D*J22)</f>
        <v>0</v>
      </c>
      <c r="V22" s="877">
        <f>IF($G22=0,0,U22/($E22*$G22*looptijd))</f>
        <v>0</v>
      </c>
      <c r="W22" s="878">
        <f>IF(BPM_belasting="ja",(BPM_die_D*H22)+(BPM_benz_D*I22)+(BPM_CNG_D*J22),0)</f>
        <v>0</v>
      </c>
      <c r="X22" s="877">
        <f>IF($G22=0,0,W22/($E22*looptijd*$G22))</f>
        <v>0</v>
      </c>
      <c r="Y22" s="879">
        <f>BTW*U22</f>
        <v>0</v>
      </c>
      <c r="Z22" s="879">
        <f>SUM(U22:Y22)</f>
        <v>0</v>
      </c>
      <c r="AA22" s="879">
        <f>IF(BTW_verrekening="ja",((U22+W22-AW22))/2*Rente_financiering,((U22+W22+Y22-AW22)/2)*Rente_financiering)</f>
        <v>0</v>
      </c>
      <c r="AB22" s="880">
        <f>IF(G22=0,0,AA22*looptijd/($E22*looptijd*$G22))</f>
        <v>0</v>
      </c>
      <c r="AD22" s="876">
        <f>(Netto_cat_die_D*M22)+(Netto_cat_benz_D*N22)++(Netto_cat_CNG_A*O22)+(Netto_cat_BEV_D*P22)+(Netto_cat_FCEV_D*Q22)</f>
        <v>0</v>
      </c>
      <c r="AE22" s="877">
        <f>IF($L22=0,0,AD22/($E22*$L22*looptijd))</f>
        <v>0</v>
      </c>
      <c r="AF22" s="878">
        <f>IF(BPM_belasting="ja",(BPM_benz_A*N22)+(BPM_CNG_A*O22)+(P22*BPM_BEV)+(Q22*BPM_FCEV),0)</f>
        <v>0</v>
      </c>
      <c r="AG22" s="878">
        <f>IF($L22=0,0,AF22/($E22*looptijd*$L22))</f>
        <v>0</v>
      </c>
      <c r="AH22" s="878">
        <f>BTW*AD22</f>
        <v>0</v>
      </c>
      <c r="AI22" s="878">
        <f>SUM(AD22:AH22)</f>
        <v>0</v>
      </c>
      <c r="AJ22" s="878">
        <f>IF('2. Invoer parameters'!$C$10="ja",MIA_BEV_D*P22,0)</f>
        <v>0</v>
      </c>
      <c r="AK22" s="882">
        <f>IF($L22=0,0,AJ22/($E22*looptijd*$L22))</f>
        <v>0</v>
      </c>
      <c r="AL22" s="881">
        <f>IF(BPM_belasting="nee",(((AD22-AJ22)-BK22)/2)*Rente_financiering,(((AD22-AJ22+AF22)-BL22)/2)*Rente_financiering)</f>
        <v>0</v>
      </c>
      <c r="AM22" s="880">
        <f>IF($L22=0,0,AL22*looptijd/($E22*looptijd*$L22))</f>
        <v>0</v>
      </c>
      <c r="AO22" s="876">
        <f>(H22*verz_die_D)+(I22*verz_benz_D)+(J22*verz_CNG_D)</f>
        <v>0</v>
      </c>
      <c r="AP22" s="877">
        <f>IF($G22=0,0,(AO22*12*looptijd)/($E22*looptijd*$G22))</f>
        <v>0</v>
      </c>
      <c r="AQ22" s="878">
        <f>(input_MRB_die_D*$H22)+(input_MRB_benz_D*$I22)+(input_MRB_CNG_D*J22)</f>
        <v>0</v>
      </c>
      <c r="AR22" s="877">
        <f>IF($G22=0,0,AQ22/($E22*looptijd*$G22))</f>
        <v>0</v>
      </c>
      <c r="AS22" s="878">
        <f>($E22*H22*(gem_verbr_die_D/100)*prijs_die)+($E22*I22*(gem_verbr_benz_D/100)*prijs_benz)+($E22*J22*(gem_verbr_CNG_D/100)*prijs_CNG)</f>
        <v>0</v>
      </c>
      <c r="AT22" s="877">
        <f>IF($G22=0,0,(AS22*looptijd)/(looptijd*$E22*$G22))</f>
        <v>0</v>
      </c>
      <c r="AU22" s="878">
        <f>($E22*H22*Onderh_die_D)+($E22*I22*Onderh_benz_D)+($E22*J22*Onderh_CNG_D)</f>
        <v>0</v>
      </c>
      <c r="AV22" s="877">
        <f>IF($G22=0,0,(AU22*looptijd)/(looptijd*$E22*$G22))</f>
        <v>0</v>
      </c>
      <c r="AW22" s="878">
        <f>Rest_perc*SUM(U22:W22)</f>
        <v>0</v>
      </c>
      <c r="AX22" s="881">
        <f>Rest_perc*SUM(U22:Y22)</f>
        <v>0</v>
      </c>
      <c r="AY22" s="878">
        <f>IF(BTW_verrekening="Ja",((U22+W22)-AW22)/(looptijd*12),((U22+W22+Y22)-AX22)/(looptijd*12))</f>
        <v>0</v>
      </c>
      <c r="AZ22" s="877">
        <f>IF($G22=0,0,(AY22*12*looptijd)/(looptijd*$E22*$G22))</f>
        <v>0</v>
      </c>
      <c r="BA22" s="883">
        <f>(_schadekosten_per_km*E22*G22)/12</f>
        <v>0</v>
      </c>
      <c r="BB22" s="884">
        <f>IF($G22=0,0,(BA22*12*looptijd)/($E22*$G22*looptijd))</f>
        <v>0</v>
      </c>
      <c r="BD22" s="876">
        <f>(M22*verz_die_D)+(N22*verz_benz_D)+(O22*verz_CNG_D)+(P22*verz_BEV_D)+(Q22*verz_FCEV_D)</f>
        <v>0</v>
      </c>
      <c r="BE22" s="877">
        <f>IF($L22=0,0,(BD22*12*looptijd)/($E22*looptijd*$L22))</f>
        <v>0</v>
      </c>
      <c r="BF22" s="878">
        <f>(MRB_die_D*M22)+(MRB_benz_D*N22)++(input_MRB_CNG_D*O22)+(input_MRB_BEV_D*P22)+(input_MRB_FCEV_C*Q22)</f>
        <v>0</v>
      </c>
      <c r="BG22" s="877">
        <f>IF($L22=0,0,BF22/($E22*looptijd*$L22))</f>
        <v>0</v>
      </c>
      <c r="BH22" s="878">
        <f>($E22*M22*(gem_verbr_die_D/100)*prijs_die)+($E22*N22*(gem_verbr_benz_D/100)*prijs_benz)+($E22*O22*(gem_verbr_CNG_D/100)*prijs_CNG)+($E22*P22*(gem_verbr_BEV_D/100)*prijs_elek_berekening)+($E22*Q22*(gem_verbr_FCEV_D_Elek/100)*prijs_elek_berekening*(100%-_verh_H2_accu_D))+($E22*Q22*(gem_verbr_FCEV_D_H2/100)*prijs_H2*(_verh_H2_accu_D))</f>
        <v>0</v>
      </c>
      <c r="BI22" s="877">
        <f>IF($L22=0,0,(BH22*looptijd)/(looptijd*$E22*$L22))</f>
        <v>0</v>
      </c>
      <c r="BJ22" s="885"/>
      <c r="BK22" s="878">
        <f>Rest_perc_ZE*(AD22+AF22)</f>
        <v>0</v>
      </c>
      <c r="BL22" s="878">
        <f>Rest_perc_ZE*(AD22+AF22+AH22)</f>
        <v>0</v>
      </c>
      <c r="BM22" s="885"/>
      <c r="BN22" s="878">
        <f>($E22*M22*Onderh_die_D)+($E22*N22*Onderh_benz_D)+($E22*O22*Onderh_CNG_D)+($E22*P22*Onderh_BEV_D)+($E22*Q22*Onderh_FCEV_D)</f>
        <v>0</v>
      </c>
      <c r="BO22" s="877">
        <f>IF($L22=0,0,(BN22*looptijd)/(looptijd*$E22*$L22))</f>
        <v>0</v>
      </c>
      <c r="BP22" s="878"/>
      <c r="BQ22" s="878">
        <f>IF(BTW_verrekening="Ja",((AD22+AF22-AJ22)-BK22)/(looptijd*12),((AD22+AF22+AH22-AJ22)-BL22)/(looptijd*12))</f>
        <v>0</v>
      </c>
      <c r="BR22" s="877">
        <f>IF($G22=0,0,(BQ22*12*looptijd)/(looptijd*$E22*$G22))</f>
        <v>0</v>
      </c>
      <c r="BS22" s="885"/>
      <c r="BT22" s="883">
        <f>(_schadekosten_per_km*E22*L22)/12</f>
        <v>0</v>
      </c>
      <c r="BU22" s="884">
        <f>IF($L22=0,0,(BT22*12*looptijd)/($E22*$L22*looptijd))</f>
        <v>0</v>
      </c>
      <c r="BV22" s="881"/>
      <c r="BW22" s="886">
        <f>(Efac_die_TTW*(gem_verbr_die_D/100)*$E22*H22)+(Efac_benz_TTW*(gem_verbr_benz_D/100)*$E22*I22)+(Efac_CNG_berekening_TTW*(gem_verbr_CNG_D/100)*$E22*J22)</f>
        <v>0</v>
      </c>
      <c r="BX22" s="887">
        <f>(Efac_die_WTW*(gem_verbr_die_D/100)*$E22*H22)+(Efac_benz_WTW*(gem_verbr_benz_D/100)*$E22*I22)+(Efac_CNG_berekening_WTW*(gem_verbr_CNG_D/100)*$E22*J22)</f>
        <v>0</v>
      </c>
      <c r="BY22" s="888">
        <f>IF($G22=0,0,(BX22*looptijd)/($E22*$G22*looptijd))</f>
        <v>0</v>
      </c>
      <c r="BZ22" s="889"/>
      <c r="CA22" s="886">
        <f>(Efac_die_TTW*(gem_verbr_die_D/100)*$E22*M22)+(Efac_benz_TTW*(gem_verbr_benz_D/100)*$E22*N22)+(Efac_CNG_berekening_TTW*(gem_verbr_CNG_D/100)*$E22*O22)+(Efac_elek_berekening_TTW*(gem_verbr_BEV_D/100)*$E22*P22)+(Efac_elek_berekening_TTW*(gem_verbr_FCEV_D_Elek/100)*(100%-_verh_H2_accu_D)*Q22)+(Efac_H2_berekening_TTW*(gem_verbr_FCEV_D_H2/100)*(_verh_H2_accu_D)*Q22)</f>
        <v>0</v>
      </c>
      <c r="CB22" s="887">
        <f>(Efac_die_WTW*(gem_verbr_die_D/100)*$E22*M22)+(Efac_benz_WTW*(gem_verbr_benz_D/100)*$E22*N22)+(Efac_CNG_berekening_WTW*(gem_verbr_CNG_D/100)*$E22*O22)+(Efac_elek_berekening_WTW*(gem_verbr_BEV_D/100)*$E22*P22)+(Efac_elek_berekening_WTW*(gem_verbr_FCEV_D_Elek/100)*(100%-_verh_H2_accu_D)*Q22)+(Efac_H2_berekening_WTW*(gem_verbr_FCEV_D_H2/100)*(_verh_H2_accu_D)*Q22)</f>
        <v>0</v>
      </c>
      <c r="CC22" s="888">
        <f>IF($L22=0,0,(CB22*looptijd)/($L22*$E22*looptijd))</f>
        <v>0</v>
      </c>
    </row>
    <row r="23" spans="1:81" ht="16" customHeight="1">
      <c r="A23" s="891">
        <v>18</v>
      </c>
      <c r="B23" s="867" t="s">
        <v>18</v>
      </c>
      <c r="C23" s="868" t="s">
        <v>750</v>
      </c>
      <c r="D23" s="868"/>
      <c r="E23" s="869">
        <f>$E$5</f>
        <v>25000</v>
      </c>
      <c r="G23" s="870">
        <f t="shared" si="0"/>
        <v>0</v>
      </c>
      <c r="H23" s="868">
        <v>0</v>
      </c>
      <c r="I23" s="868">
        <v>0</v>
      </c>
      <c r="J23" s="872">
        <v>0</v>
      </c>
      <c r="K23" s="873"/>
      <c r="L23" s="870">
        <f t="shared" si="1"/>
        <v>0</v>
      </c>
      <c r="M23" s="868">
        <v>0</v>
      </c>
      <c r="N23" s="868">
        <v>0</v>
      </c>
      <c r="O23" s="868">
        <v>0</v>
      </c>
      <c r="P23" s="868">
        <v>0</v>
      </c>
      <c r="Q23" s="872">
        <v>0</v>
      </c>
      <c r="S23" s="875">
        <f>(L23*E23*looptijd)</f>
        <v>0</v>
      </c>
      <c r="U23" s="876">
        <f>(Netto_cat_die_D*H23)+(Netto_cat_benz_D*I23)+(Netto_cat_CNG_D*J23)</f>
        <v>0</v>
      </c>
      <c r="V23" s="877">
        <f>IF($G23=0,0,U23/($E23*$G23*looptijd))</f>
        <v>0</v>
      </c>
      <c r="W23" s="878">
        <f>IF(BPM_belasting="ja",(BPM_die_D*H23)+(BPM_benz_D*I23)+(BPM_CNG_D*J23),0)</f>
        <v>0</v>
      </c>
      <c r="X23" s="877">
        <f>IF($G23=0,0,W23/($E23*looptijd*$G23))</f>
        <v>0</v>
      </c>
      <c r="Y23" s="879">
        <f>BTW*U23</f>
        <v>0</v>
      </c>
      <c r="Z23" s="879">
        <f>SUM(U23:Y23)</f>
        <v>0</v>
      </c>
      <c r="AA23" s="879">
        <f>IF(BTW_verrekening="ja",((U23+W23-AW23))/2*Rente_financiering,((U23+W23+Y23-AW23)/2)*Rente_financiering)</f>
        <v>0</v>
      </c>
      <c r="AB23" s="880">
        <f>IF(G23=0,0,AA23*looptijd/($E23*looptijd*$G23))</f>
        <v>0</v>
      </c>
      <c r="AD23" s="876">
        <f>(Netto_cat_die_D*M23)+(Netto_cat_benz_D*N23)++(Netto_cat_CNG_A*O23)+(Netto_cat_BEV_D*P23)+(Netto_cat_FCEV_D*Q23)</f>
        <v>0</v>
      </c>
      <c r="AE23" s="877">
        <f>IF($L23=0,0,AD23/($E23*$L23*looptijd))</f>
        <v>0</v>
      </c>
      <c r="AF23" s="878">
        <f>IF(BPM_belasting="ja",(BPM_benz_A*N23)+(BPM_CNG_A*O23)+(P23*BPM_BEV)+(Q23*BPM_FCEV),0)</f>
        <v>0</v>
      </c>
      <c r="AG23" s="878">
        <f>IF($L23=0,0,AF23/($E23*looptijd*$L23))</f>
        <v>0</v>
      </c>
      <c r="AH23" s="878">
        <f>BTW*AD23</f>
        <v>0</v>
      </c>
      <c r="AI23" s="878">
        <f>SUM(AD23:AH23)</f>
        <v>0</v>
      </c>
      <c r="AJ23" s="878">
        <f>IF('2. Invoer parameters'!$C$10="ja",MIA_BEV_D*P23,0)</f>
        <v>0</v>
      </c>
      <c r="AK23" s="882">
        <f>IF($L23=0,0,AJ23/($E23*looptijd*$L23))</f>
        <v>0</v>
      </c>
      <c r="AL23" s="881">
        <f>IF(BPM_belasting="nee",(((AD23-AJ23)-BK23)/2)*Rente_financiering,(((AD23-AJ23+AF23)-BL23)/2)*Rente_financiering)</f>
        <v>0</v>
      </c>
      <c r="AM23" s="880">
        <f>IF($L23=0,0,AL23*looptijd/($E23*looptijd*$L23))</f>
        <v>0</v>
      </c>
      <c r="AO23" s="876">
        <f>(H23*verz_die_D)+(I23*verz_benz_D)+(J23*verz_CNG_D)</f>
        <v>0</v>
      </c>
      <c r="AP23" s="877">
        <f>IF($G23=0,0,(AO23*12*looptijd)/($E23*looptijd*$G23))</f>
        <v>0</v>
      </c>
      <c r="AQ23" s="878">
        <f>(input_MRB_die_D*$H23)+(input_MRB_benz_D*$I23)+(input_MRB_CNG_D*J23)</f>
        <v>0</v>
      </c>
      <c r="AR23" s="877">
        <f>IF($G23=0,0,AQ23/($E23*looptijd*$G23))</f>
        <v>0</v>
      </c>
      <c r="AS23" s="878">
        <f>($E23*H23*(gem_verbr_die_D/100)*prijs_die)+($E23*I23*(gem_verbr_benz_D/100)*prijs_benz)+($E23*J23*(gem_verbr_CNG_D/100)*prijs_CNG)</f>
        <v>0</v>
      </c>
      <c r="AT23" s="877">
        <f>IF($G23=0,0,(AS23*looptijd)/(looptijd*$E23*$G23))</f>
        <v>0</v>
      </c>
      <c r="AU23" s="878">
        <f>($E23*H23*Onderh_die_D)+($E23*I23*Onderh_benz_D)+($E23*J23*Onderh_CNG_D)</f>
        <v>0</v>
      </c>
      <c r="AV23" s="877">
        <f>IF($G23=0,0,(AU23*looptijd)/(looptijd*$E23*$G23))</f>
        <v>0</v>
      </c>
      <c r="AW23" s="878">
        <f>Rest_perc*SUM(U23:W23)</f>
        <v>0</v>
      </c>
      <c r="AX23" s="881">
        <f>Rest_perc*SUM(U23:Y23)</f>
        <v>0</v>
      </c>
      <c r="AY23" s="878">
        <f>IF(BTW_verrekening="Ja",((U23+W23)-AW23)/(looptijd*12),((U23+W23+Y23)-AX23)/(looptijd*12))</f>
        <v>0</v>
      </c>
      <c r="AZ23" s="877">
        <f>IF($G23=0,0,(AY23*12*looptijd)/(looptijd*$E23*$G23))</f>
        <v>0</v>
      </c>
      <c r="BA23" s="883">
        <f>(_schadekosten_per_km*E23*G23)/12</f>
        <v>0</v>
      </c>
      <c r="BB23" s="884">
        <f>IF($G23=0,0,(BA23*12*looptijd)/($E23*$G23*looptijd))</f>
        <v>0</v>
      </c>
      <c r="BD23" s="876">
        <f>(M23*verz_die_D)+(N23*verz_benz_D)+(O23*verz_CNG_D)+(P23*verz_BEV_D)+(Q23*verz_FCEV_D)</f>
        <v>0</v>
      </c>
      <c r="BE23" s="877">
        <f>IF($L23=0,0,(BD23*12*looptijd)/($E23*looptijd*$L23))</f>
        <v>0</v>
      </c>
      <c r="BF23" s="878">
        <f>(MRB_die_D*M23)+(MRB_benz_D*N23)++(input_MRB_CNG_D*O23)+(input_MRB_BEV_D*P23)+(input_MRB_FCEV_C*Q23)</f>
        <v>0</v>
      </c>
      <c r="BG23" s="877">
        <f>IF($L23=0,0,BF23/($E23*looptijd*$L23))</f>
        <v>0</v>
      </c>
      <c r="BH23" s="878">
        <f>($E23*M23*(gem_verbr_die_D/100)*prijs_die)+($E23*N23*(gem_verbr_benz_D/100)*prijs_benz)+($E23*O23*(gem_verbr_CNG_D/100)*prijs_CNG)+($E23*P23*(gem_verbr_BEV_D/100)*prijs_elek_berekening)+($E23*Q23*(gem_verbr_FCEV_D_Elek/100)*prijs_elek_berekening*(100%-_verh_H2_accu_D))+($E23*Q23*(gem_verbr_FCEV_D_H2/100)*prijs_H2*(_verh_H2_accu_D))</f>
        <v>0</v>
      </c>
      <c r="BI23" s="877">
        <f>IF($L23=0,0,(BH23*looptijd)/(looptijd*$E23*$L23))</f>
        <v>0</v>
      </c>
      <c r="BJ23" s="885"/>
      <c r="BK23" s="878">
        <f>Rest_perc_ZE*(AD23+AF23)</f>
        <v>0</v>
      </c>
      <c r="BL23" s="878">
        <f>Rest_perc_ZE*(AD23+AF23+AH23)</f>
        <v>0</v>
      </c>
      <c r="BM23" s="885"/>
      <c r="BN23" s="878">
        <f>($E23*M23*Onderh_die_D)+($E23*N23*Onderh_benz_D)+($E23*O23*Onderh_CNG_D)+($E23*P23*Onderh_BEV_D)+($E23*Q23*Onderh_FCEV_D)</f>
        <v>0</v>
      </c>
      <c r="BO23" s="877">
        <f>IF($L23=0,0,(BN23*looptijd)/(looptijd*$E23*$L23))</f>
        <v>0</v>
      </c>
      <c r="BP23" s="878"/>
      <c r="BQ23" s="878">
        <f>IF(BTW_verrekening="Ja",((AD23+AF23-AJ23)-BK23)/(looptijd*12),((AD23+AF23+AH23-AJ23)-BL23)/(looptijd*12))</f>
        <v>0</v>
      </c>
      <c r="BR23" s="877">
        <f>IF($G23=0,0,(BQ23*12*looptijd)/(looptijd*$E23*$G23))</f>
        <v>0</v>
      </c>
      <c r="BS23" s="885"/>
      <c r="BT23" s="883">
        <f>(_schadekosten_per_km*E23*L23)/12</f>
        <v>0</v>
      </c>
      <c r="BU23" s="884">
        <f>IF($L23=0,0,(BT23*12*looptijd)/($E23*$L23*looptijd))</f>
        <v>0</v>
      </c>
      <c r="BV23" s="881"/>
      <c r="BW23" s="886">
        <f>(Efac_die_TTW*(gem_verbr_die_D/100)*$E23*H23)+(Efac_benz_TTW*(gem_verbr_benz_D/100)*$E23*I23)+(Efac_CNG_berekening_TTW*(gem_verbr_CNG_D/100)*$E23*J23)</f>
        <v>0</v>
      </c>
      <c r="BX23" s="887">
        <f>(Efac_die_WTW*(gem_verbr_die_D/100)*$E23*H23)+(Efac_benz_WTW*(gem_verbr_benz_D/100)*$E23*I23)+(Efac_CNG_berekening_WTW*(gem_verbr_CNG_D/100)*$E23*J23)</f>
        <v>0</v>
      </c>
      <c r="BY23" s="888">
        <f>IF($G23=0,0,(BX23*looptijd)/($E23*$G23*looptijd))</f>
        <v>0</v>
      </c>
      <c r="BZ23" s="889"/>
      <c r="CA23" s="886">
        <f>(Efac_die_TTW*(gem_verbr_die_D/100)*$E23*M23)+(Efac_benz_TTW*(gem_verbr_benz_D/100)*$E23*N23)+(Efac_CNG_berekening_TTW*(gem_verbr_CNG_D/100)*$E23*O23)+(Efac_elek_berekening_TTW*(gem_verbr_BEV_D/100)*$E23*P23)+(Efac_elek_berekening_TTW*(gem_verbr_FCEV_D_Elek/100)*(100%-_verh_H2_accu_D)*Q23)+(Efac_H2_berekening_TTW*(gem_verbr_FCEV_D_H2/100)*(_verh_H2_accu_D)*Q23)</f>
        <v>0</v>
      </c>
      <c r="CB23" s="887">
        <f>(Efac_die_WTW*(gem_verbr_die_D/100)*$E23*M23)+(Efac_benz_WTW*(gem_verbr_benz_D/100)*$E23*N23)+(Efac_CNG_berekening_WTW*(gem_verbr_CNG_D/100)*$E23*O23)+(Efac_elek_berekening_WTW*(gem_verbr_BEV_D/100)*$E23*P23)+(Efac_elek_berekening_WTW*(gem_verbr_FCEV_D_Elek/100)*(100%-_verh_H2_accu_D)*Q23)+(Efac_H2_berekening_WTW*(gem_verbr_FCEV_D_H2/100)*(_verh_H2_accu_D)*Q23)</f>
        <v>0</v>
      </c>
      <c r="CC23" s="888">
        <f>IF($L23=0,0,(CB23*looptijd)/($L23*$E23*looptijd))</f>
        <v>0</v>
      </c>
    </row>
    <row r="24" spans="1:81" ht="16" customHeight="1">
      <c r="A24" s="891">
        <v>19</v>
      </c>
      <c r="B24" s="867" t="s">
        <v>18</v>
      </c>
      <c r="C24" s="868" t="s">
        <v>752</v>
      </c>
      <c r="D24" s="868"/>
      <c r="E24" s="872">
        <v>50000</v>
      </c>
      <c r="F24" s="873"/>
      <c r="G24" s="870">
        <f t="shared" si="0"/>
        <v>0</v>
      </c>
      <c r="H24" s="868">
        <v>0</v>
      </c>
      <c r="I24" s="868">
        <v>0</v>
      </c>
      <c r="J24" s="872">
        <v>0</v>
      </c>
      <c r="K24" s="873"/>
      <c r="L24" s="870">
        <f t="shared" si="1"/>
        <v>0</v>
      </c>
      <c r="M24" s="868">
        <v>0</v>
      </c>
      <c r="N24" s="868">
        <v>0</v>
      </c>
      <c r="O24" s="868">
        <v>0</v>
      </c>
      <c r="P24" s="868">
        <v>0</v>
      </c>
      <c r="Q24" s="872">
        <v>0</v>
      </c>
      <c r="S24" s="875">
        <f>(L24*E24*looptijd)</f>
        <v>0</v>
      </c>
      <c r="U24" s="876">
        <f>(Netto_cat_die_D*H24)+(Netto_cat_benz_D*I24)+(Netto_cat_CNG_D*J24)</f>
        <v>0</v>
      </c>
      <c r="V24" s="877">
        <f>IF($G24=0,0,U24/($E24*$G24*looptijd))</f>
        <v>0</v>
      </c>
      <c r="W24" s="878">
        <f>IF(BPM_belasting="ja",(BPM_die_D*H24)+(BPM_benz_D*I24)+(BPM_CNG_D*J24),0)</f>
        <v>0</v>
      </c>
      <c r="X24" s="877">
        <f>IF($G24=0,0,W24/($E24*looptijd*$G24))</f>
        <v>0</v>
      </c>
      <c r="Y24" s="879">
        <f>BTW*U24</f>
        <v>0</v>
      </c>
      <c r="Z24" s="879">
        <f>SUM(U24:Y24)</f>
        <v>0</v>
      </c>
      <c r="AA24" s="879">
        <f>IF(BTW_verrekening="ja",((U24+W24-AW24))/2*Rente_financiering,((U24+W24+Y24-AW24)/2)*Rente_financiering)</f>
        <v>0</v>
      </c>
      <c r="AB24" s="880">
        <f>IF(G24=0,0,AA24*looptijd/($E24*looptijd*$G24))</f>
        <v>0</v>
      </c>
      <c r="AD24" s="876">
        <f>(Netto_cat_die_D*M24)+(Netto_cat_benz_D*N24)++(Netto_cat_CNG_A*O24)+(Netto_cat_BEV_D*P24)+(Netto_cat_FCEV_D*Q24)</f>
        <v>0</v>
      </c>
      <c r="AE24" s="877">
        <f>IF($L24=0,0,AD24/($E24*$L24*looptijd))</f>
        <v>0</v>
      </c>
      <c r="AF24" s="878">
        <f>IF(BPM_belasting="ja",(BPM_benz_A*N24)+(BPM_CNG_A*O24)+(P24*BPM_BEV)+(Q24*BPM_FCEV),0)</f>
        <v>0</v>
      </c>
      <c r="AG24" s="878">
        <f>IF($L24=0,0,AF24/($E24*looptijd*$L24))</f>
        <v>0</v>
      </c>
      <c r="AH24" s="878">
        <f>BTW*AD24</f>
        <v>0</v>
      </c>
      <c r="AI24" s="878">
        <f>SUM(AD24:AH24)</f>
        <v>0</v>
      </c>
      <c r="AJ24" s="878">
        <f>IF('2. Invoer parameters'!$C$10="ja",MIA_BEV_D*P24,0)</f>
        <v>0</v>
      </c>
      <c r="AK24" s="882">
        <f>IF($L24=0,0,AJ24/($E24*looptijd*$L24))</f>
        <v>0</v>
      </c>
      <c r="AL24" s="881">
        <f>IF(BPM_belasting="nee",(((AD24-AJ24)-BK24)/2)*Rente_financiering,(((AD24-AJ24+AF24)-BL24)/2)*Rente_financiering)</f>
        <v>0</v>
      </c>
      <c r="AM24" s="880">
        <f>IF($L24=0,0,AL24*looptijd/($E24*looptijd*$L24))</f>
        <v>0</v>
      </c>
      <c r="AO24" s="876">
        <f>(H24*verz_die_D)+(I24*verz_benz_D)+(J24*verz_CNG_D)</f>
        <v>0</v>
      </c>
      <c r="AP24" s="877">
        <f>IF($G24=0,0,(AO24*12*looptijd)/($E24*looptijd*$G24))</f>
        <v>0</v>
      </c>
      <c r="AQ24" s="878">
        <f>(input_MRB_die_D*$H24)+(input_MRB_benz_D*$I24)+(input_MRB_CNG_D*J24)</f>
        <v>0</v>
      </c>
      <c r="AR24" s="877">
        <f>IF($G24=0,0,AQ24/($E24*looptijd*$G24))</f>
        <v>0</v>
      </c>
      <c r="AS24" s="878">
        <f>($E24*H24*(gem_verbr_die_D/100)*prijs_die)+($E24*I24*(gem_verbr_benz_D/100)*prijs_benz)+($E24*J24*(gem_verbr_CNG_D/100)*prijs_CNG)</f>
        <v>0</v>
      </c>
      <c r="AT24" s="877">
        <f>IF($G24=0,0,(AS24*looptijd)/(looptijd*$E24*$G24))</f>
        <v>0</v>
      </c>
      <c r="AU24" s="878">
        <f>($E24*H24*Onderh_die_D_hoog_km)+($E24*I24*Onderh_benz_D_hoog_km)+($E24*J24*Onderh_CNG_D_hoog_km)</f>
        <v>0</v>
      </c>
      <c r="AV24" s="877">
        <f>IF($G24=0,0,(AU24*looptijd)/(looptijd*$E24*$G24))</f>
        <v>0</v>
      </c>
      <c r="AW24" s="878">
        <f>Rest_perc*SUM(U24:W24)</f>
        <v>0</v>
      </c>
      <c r="AX24" s="881">
        <f>Rest_perc*SUM(U24:Y24)</f>
        <v>0</v>
      </c>
      <c r="AY24" s="878">
        <f>IF(BTW_verrekening="Ja",((U24+W24)-AW24)/(looptijd*12),((U24+W24+Y24)-AX24)/(looptijd*12))</f>
        <v>0</v>
      </c>
      <c r="AZ24" s="877">
        <f>IF($G24=0,0,(AY24*12*looptijd)/(looptijd*$E24*$G24))</f>
        <v>0</v>
      </c>
      <c r="BA24" s="883">
        <f>(_schadekosten_per_km*E24*G24)/12</f>
        <v>0</v>
      </c>
      <c r="BB24" s="884">
        <f>IF($G24=0,0,(BA24*12*looptijd)/($E24*$G24*looptijd))</f>
        <v>0</v>
      </c>
      <c r="BD24" s="876">
        <f>(M24*verz_die_D)+(N24*verz_benz_D)+(O24*verz_CNG_D)+(P24*verz_BEV_D)+(Q24*verz_FCEV_D)</f>
        <v>0</v>
      </c>
      <c r="BE24" s="877">
        <f>IF($L24=0,0,(BD24*12*looptijd)/($E24*looptijd*$L24))</f>
        <v>0</v>
      </c>
      <c r="BF24" s="878">
        <f>(MRB_die_D*M24)+(MRB_benz_D*N24)++(input_MRB_CNG_D*O24)+(input_MRB_BEV_D*P24)+(input_MRB_FCEV_C*Q24)</f>
        <v>0</v>
      </c>
      <c r="BG24" s="877">
        <f>IF($L24=0,0,BF24/($E24*looptijd*$L24))</f>
        <v>0</v>
      </c>
      <c r="BH24" s="878">
        <f>($E24*M24*(gem_verbr_die_D/100)*prijs_die)+($E24*N24*(gem_verbr_benz_D/100)*prijs_benz)+($E24*O24*(gem_verbr_CNG_D/100)*prijs_CNG)+($E24*P24*(gem_verbr_BEV_D/100)*prijs_elek_berekening)+($E24*Q24*(gem_verbr_FCEV_D_Elek/100)*prijs_elek_berekening*(100%-_verh_H2_accu_D))+($E24*Q24*(gem_verbr_FCEV_D_H2/100)*prijs_H2*(_verh_H2_accu_D))</f>
        <v>0</v>
      </c>
      <c r="BI24" s="877">
        <f>IF($L24=0,0,(BH24*looptijd)/(looptijd*$E24*$L24))</f>
        <v>0</v>
      </c>
      <c r="BJ24" s="885"/>
      <c r="BK24" s="878">
        <f>Rest_perc_ZE*(AD24+AF24)</f>
        <v>0</v>
      </c>
      <c r="BL24" s="878">
        <f>Rest_perc_ZE*(AD24+AF24+AH24)</f>
        <v>0</v>
      </c>
      <c r="BM24" s="885"/>
      <c r="BN24" s="878">
        <f>($E24*M24*Onderh_die_D_hoog_km)+($E24*N24*Onderh_benz_D_hoog_km)+($E24*O24*Onderh_CNG_D_hoog_km)+($E24*P24*Onderh_BEV_D_hoog_km)+($E24*Q24*Onderh_FCEV_D_hoog_km)</f>
        <v>0</v>
      </c>
      <c r="BO24" s="877">
        <f>IF($L24=0,0,(BN24*looptijd)/(looptijd*$E24*$L24))</f>
        <v>0</v>
      </c>
      <c r="BP24" s="878"/>
      <c r="BQ24" s="878">
        <f>IF(BTW_verrekening="Ja",((AD24+AF24-AJ24)-BK24)/(looptijd*12),((AD24+AF24+AH24-AJ24)-BL24)/(looptijd*12))</f>
        <v>0</v>
      </c>
      <c r="BR24" s="877">
        <f>IF($G24=0,0,(BQ24*12*looptijd)/(looptijd*$E24*$G24))</f>
        <v>0</v>
      </c>
      <c r="BS24" s="885"/>
      <c r="BT24" s="883">
        <f>(_schadekosten_per_km*E24*L24)/12</f>
        <v>0</v>
      </c>
      <c r="BU24" s="884">
        <f>IF($L24=0,0,(BT24*12*looptijd)/($E24*$L24*looptijd))</f>
        <v>0</v>
      </c>
      <c r="BV24" s="881"/>
      <c r="BW24" s="886">
        <f>(Efac_die_TTW*(gem_verbr_die_D/100)*$E24*H24)+(Efac_benz_TTW*(gem_verbr_benz_D/100)*$E24*I24)+(Efac_CNG_berekening_TTW*(gem_verbr_CNG_D/100)*$E24*J24)</f>
        <v>0</v>
      </c>
      <c r="BX24" s="887">
        <f>(Efac_die_WTW*(gem_verbr_die_D/100)*$E24*H24)+(Efac_benz_WTW*(gem_verbr_benz_D/100)*$E24*I24)+(Efac_CNG_berekening_WTW*(gem_verbr_CNG_D/100)*$E24*J24)</f>
        <v>0</v>
      </c>
      <c r="BY24" s="888">
        <f>IF($G24=0,0,(BX24*looptijd)/($E24*$G24*looptijd))</f>
        <v>0</v>
      </c>
      <c r="BZ24" s="889"/>
      <c r="CA24" s="886">
        <f>(Efac_die_TTW*(gem_verbr_die_D/100)*$E24*M24)+(Efac_benz_TTW*(gem_verbr_benz_D/100)*$E24*N24)+(Efac_CNG_berekening_TTW*(gem_verbr_CNG_D/100)*$E24*O24)+(Efac_elek_berekening_TTW*(gem_verbr_BEV_D/100)*$E24*P24)+(Efac_elek_berekening_TTW*(gem_verbr_FCEV_D_Elek/100)*(100%-_verh_H2_accu_D)*Q24)+(Efac_H2_berekening_TTW*(gem_verbr_FCEV_D_H2/100)*(_verh_H2_accu_D)*Q24)</f>
        <v>0</v>
      </c>
      <c r="CB24" s="887">
        <f>(Efac_die_WTW*(gem_verbr_die_D/100)*$E24*M24)+(Efac_benz_WTW*(gem_verbr_benz_D/100)*$E24*N24)+(Efac_CNG_berekening_WTW*(gem_verbr_CNG_D/100)*$E24*O24)+(Efac_elek_berekening_WTW*(gem_verbr_BEV_D/100)*$E24*P24)+(Efac_elek_berekening_WTW*(gem_verbr_FCEV_D_Elek/100)*(100%-_verh_H2_accu_D)*Q24)+(Efac_H2_berekening_WTW*(gem_verbr_FCEV_D_H2/100)*(_verh_H2_accu_D)*Q24)</f>
        <v>0</v>
      </c>
      <c r="CC24" s="888">
        <f>IF($L24=0,0,(CB24*looptijd)/($L24*$E24*looptijd))</f>
        <v>0</v>
      </c>
    </row>
    <row r="25" spans="1:81" ht="16" customHeight="1">
      <c r="A25" s="891">
        <v>20</v>
      </c>
      <c r="B25" s="867" t="s">
        <v>18</v>
      </c>
      <c r="C25" s="868" t="s">
        <v>1695</v>
      </c>
      <c r="D25" s="868"/>
      <c r="E25" s="872">
        <v>75000</v>
      </c>
      <c r="F25" s="873"/>
      <c r="G25" s="870">
        <f t="shared" si="0"/>
        <v>0</v>
      </c>
      <c r="H25" s="868">
        <v>0</v>
      </c>
      <c r="I25" s="868">
        <v>0</v>
      </c>
      <c r="J25" s="872">
        <v>0</v>
      </c>
      <c r="K25" s="873"/>
      <c r="L25" s="870">
        <f t="shared" si="1"/>
        <v>0</v>
      </c>
      <c r="M25" s="868">
        <v>0</v>
      </c>
      <c r="N25" s="868">
        <v>0</v>
      </c>
      <c r="O25" s="868">
        <v>0</v>
      </c>
      <c r="P25" s="868">
        <v>0</v>
      </c>
      <c r="Q25" s="872">
        <v>0</v>
      </c>
      <c r="S25" s="875">
        <f>(L25*E25*looptijd)</f>
        <v>0</v>
      </c>
      <c r="U25" s="876">
        <f>(Netto_cat_die_D*H25)+(Netto_cat_benz_D*I25)+(Netto_cat_CNG_D*J25)</f>
        <v>0</v>
      </c>
      <c r="V25" s="877">
        <f>IF($G25=0,0,U25/($E25*$G25*looptijd))</f>
        <v>0</v>
      </c>
      <c r="W25" s="878">
        <f>IF(BPM_belasting="ja",(BPM_die_D*H25)+(BPM_benz_D*I25)+(BPM_CNG_D*J25),0)</f>
        <v>0</v>
      </c>
      <c r="X25" s="877">
        <f>IF($G25=0,0,W25/($E25*looptijd*$G25))</f>
        <v>0</v>
      </c>
      <c r="Y25" s="879">
        <f>BTW*U25</f>
        <v>0</v>
      </c>
      <c r="Z25" s="879">
        <f>SUM(U25:Y25)</f>
        <v>0</v>
      </c>
      <c r="AA25" s="879">
        <f>IF(BTW_verrekening="ja",((U25+W25-AW25))/2*Rente_financiering,((U25+W25+Y25-AW25)/2)*Rente_financiering)</f>
        <v>0</v>
      </c>
      <c r="AB25" s="880">
        <f>IF(G25=0,0,AA25*looptijd/($E25*looptijd*$G25))</f>
        <v>0</v>
      </c>
      <c r="AD25" s="876">
        <f>(Netto_cat_die_D*M25)+(Netto_cat_benz_D*N25)++(Netto_cat_CNG_A*O25)+(Netto_cat_BEV_D*P25)+(Netto_cat_FCEV_D*Q25)</f>
        <v>0</v>
      </c>
      <c r="AE25" s="877">
        <f>IF($L25=0,0,AD25/($E25*$L25*looptijd))</f>
        <v>0</v>
      </c>
      <c r="AF25" s="878">
        <f>IF(BPM_belasting="ja",(BPM_benz_A*N25)+(BPM_CNG_A*O25)+(P25*BPM_BEV)+(Q25*BPM_FCEV),0)</f>
        <v>0</v>
      </c>
      <c r="AG25" s="878">
        <f>IF($L25=0,0,AF25/($E25*looptijd*$L25))</f>
        <v>0</v>
      </c>
      <c r="AH25" s="878">
        <f>BTW*AD25</f>
        <v>0</v>
      </c>
      <c r="AI25" s="878">
        <f>SUM(AD25:AH25)</f>
        <v>0</v>
      </c>
      <c r="AJ25" s="878">
        <f>IF('2. Invoer parameters'!$C$10="ja",MIA_BEV_D*P25,0)</f>
        <v>0</v>
      </c>
      <c r="AK25" s="882">
        <f>IF($L25=0,0,AJ25/($E25*looptijd*$L25))</f>
        <v>0</v>
      </c>
      <c r="AL25" s="881">
        <f>IF(BPM_belasting="nee",(((AD25-AJ25)-BK25)/2)*Rente_financiering,(((AD25-AJ25+AF25)-BL25)/2)*Rente_financiering)</f>
        <v>0</v>
      </c>
      <c r="AM25" s="880">
        <f>IF($L25=0,0,AL25*looptijd/($E25*looptijd*$L25))</f>
        <v>0</v>
      </c>
      <c r="AO25" s="876">
        <f>(H25*verz_die_D)+(I25*verz_benz_D)+(J25*verz_CNG_D)</f>
        <v>0</v>
      </c>
      <c r="AP25" s="877">
        <f>IF($G25=0,0,(AO25*12*looptijd)/($E25*looptijd*$G25))</f>
        <v>0</v>
      </c>
      <c r="AQ25" s="878">
        <f>(input_MRB_die_D*$H25)+(input_MRB_benz_D*$I25)+(input_MRB_CNG_D*J25)</f>
        <v>0</v>
      </c>
      <c r="AR25" s="877">
        <f>IF($G25=0,0,AQ25/($E25*looptijd*$G25))</f>
        <v>0</v>
      </c>
      <c r="AS25" s="878">
        <f>($E25*H25*(gem_verbr_die_D/100)*prijs_die)+($E25*I25*(gem_verbr_benz_D/100)*prijs_benz)+($E25*J25*(gem_verbr_CNG_D/100)*prijs_CNG)</f>
        <v>0</v>
      </c>
      <c r="AT25" s="877">
        <f>IF($G25=0,0,(AS25*looptijd)/(looptijd*$E25*$G25))</f>
        <v>0</v>
      </c>
      <c r="AU25" s="878">
        <f>($E25*H25*Onderh_die_D_hoog_km)+($E25*I25*Onderh_benz_D_hoog_km)+($E25*J25*Onderh_CNG_D_hoog_km)</f>
        <v>0</v>
      </c>
      <c r="AV25" s="877">
        <f>IF($G25=0,0,(AU25*looptijd)/(looptijd*$E25*$G25))</f>
        <v>0</v>
      </c>
      <c r="AW25" s="878">
        <f>Rest_perc*SUM(U25:W25)</f>
        <v>0</v>
      </c>
      <c r="AX25" s="881">
        <f>Rest_perc*SUM(U25:Y25)</f>
        <v>0</v>
      </c>
      <c r="AY25" s="878">
        <f>IF(BTW_verrekening="Ja",((U25+W25)-AW25)/(looptijd*12),((U25+W25+Y25)-AX25)/(looptijd*12))</f>
        <v>0</v>
      </c>
      <c r="AZ25" s="877">
        <f>IF($G25=0,0,(AY25*12*looptijd)/(looptijd*$E25*$G25))</f>
        <v>0</v>
      </c>
      <c r="BA25" s="883">
        <f>(_schadekosten_per_km*E25*G25)/12</f>
        <v>0</v>
      </c>
      <c r="BB25" s="884">
        <f>IF($G25=0,0,(BA25*12*looptijd)/($E25*$G25*looptijd))</f>
        <v>0</v>
      </c>
      <c r="BD25" s="876">
        <f>(M25*verz_die_D)+(N25*verz_benz_D)+(O25*verz_CNG_D)+(P25*verz_BEV_D)+(Q25*verz_FCEV_D)</f>
        <v>0</v>
      </c>
      <c r="BE25" s="877">
        <f>IF($L25=0,0,(BD25*12*looptijd)/($E25*looptijd*$L25))</f>
        <v>0</v>
      </c>
      <c r="BF25" s="878">
        <f>(MRB_die_D*M25)+(MRB_benz_D*N25)++(input_MRB_CNG_D*O25)+(input_MRB_BEV_D*P25)+(input_MRB_FCEV_C*Q25)</f>
        <v>0</v>
      </c>
      <c r="BG25" s="877">
        <f>IF($L25=0,0,BF25/($E25*looptijd*$L25))</f>
        <v>0</v>
      </c>
      <c r="BH25" s="878">
        <f>($E25*M25*(gem_verbr_die_D/100)*prijs_die)+($E25*N25*(gem_verbr_benz_D/100)*prijs_benz)+($E25*O25*(gem_verbr_CNG_D/100)*prijs_CNG)+($E25*P25*(gem_verbr_BEV_D/100)*prijs_elek_berekening)+($E25*Q25*(gem_verbr_FCEV_D_Elek/100)*prijs_elek_berekening*(100%-_verh_H2_accu_D))+($E25*Q25*(gem_verbr_FCEV_D_H2/100)*prijs_H2*(_verh_H2_accu_D))</f>
        <v>0</v>
      </c>
      <c r="BI25" s="877">
        <f>IF($L25=0,0,(BH25*looptijd)/(looptijd*$E25*$L25))</f>
        <v>0</v>
      </c>
      <c r="BJ25" s="885"/>
      <c r="BK25" s="878">
        <f>Rest_perc_ZE*(AD25+AF25)</f>
        <v>0</v>
      </c>
      <c r="BL25" s="878">
        <f>Rest_perc_ZE*(AD25+AF25+AH25)</f>
        <v>0</v>
      </c>
      <c r="BM25" s="885"/>
      <c r="BN25" s="878">
        <f>($E25*M25*Onderh_die_D_hoog_km)+($E25*N25*Onderh_benz_D_hoog_km)+($E25*O25*Onderh_CNG_D_hoog_km)+($E25*P25*Onderh_BEV_D_hoog_km)+($E25*Q25*Onderh_FCEV_D_hoog_km)</f>
        <v>0</v>
      </c>
      <c r="BO25" s="877">
        <f>IF($L25=0,0,(BN25*looptijd)/(looptijd*$E25*$L25))</f>
        <v>0</v>
      </c>
      <c r="BP25" s="878"/>
      <c r="BQ25" s="878">
        <f>IF(BTW_verrekening="Ja",((AD25+AF25-AJ25)-BK25)/(looptijd*12),((AD25+AF25+AH25-AJ25)-BL25)/(looptijd*12))</f>
        <v>0</v>
      </c>
      <c r="BR25" s="877">
        <f>IF($G25=0,0,(BQ25*12*looptijd)/(looptijd*$E25*$G25))</f>
        <v>0</v>
      </c>
      <c r="BS25" s="885"/>
      <c r="BT25" s="883">
        <f>(_schadekosten_per_km*E25*L25)/12</f>
        <v>0</v>
      </c>
      <c r="BU25" s="884">
        <f>IF($L25=0,0,(BT25*12*looptijd)/($E25*$L25*looptijd))</f>
        <v>0</v>
      </c>
      <c r="BV25" s="881"/>
      <c r="BW25" s="886">
        <f>(Efac_die_TTW*(gem_verbr_die_D/100)*$E25*H25)+(Efac_benz_TTW*(gem_verbr_benz_D/100)*$E25*I25)+(Efac_CNG_berekening_TTW*(gem_verbr_CNG_D/100)*$E25*J25)</f>
        <v>0</v>
      </c>
      <c r="BX25" s="887">
        <f>(Efac_die_WTW*(gem_verbr_die_D/100)*$E25*H25)+(Efac_benz_WTW*(gem_verbr_benz_D/100)*$E25*I25)+(Efac_CNG_berekening_WTW*(gem_verbr_CNG_D/100)*$E25*J25)</f>
        <v>0</v>
      </c>
      <c r="BY25" s="888">
        <f>IF($G25=0,0,(BX25*looptijd)/($E25*$G25*looptijd))</f>
        <v>0</v>
      </c>
      <c r="BZ25" s="889"/>
      <c r="CA25" s="886">
        <f>(Efac_die_TTW*(gem_verbr_die_D/100)*$E25*M25)+(Efac_benz_TTW*(gem_verbr_benz_D/100)*$E25*N25)+(Efac_CNG_berekening_TTW*(gem_verbr_CNG_D/100)*$E25*O25)+(Efac_elek_berekening_TTW*(gem_verbr_BEV_D/100)*$E25*P25)+(Efac_elek_berekening_TTW*(gem_verbr_FCEV_D_Elek/100)*(100%-_verh_H2_accu_D)*Q25)+(Efac_H2_berekening_TTW*(gem_verbr_FCEV_D_H2/100)*(_verh_H2_accu_D)*Q25)</f>
        <v>0</v>
      </c>
      <c r="CB25" s="887">
        <f>(Efac_die_WTW*(gem_verbr_die_D/100)*$E25*M25)+(Efac_benz_WTW*(gem_verbr_benz_D/100)*$E25*N25)+(Efac_CNG_berekening_WTW*(gem_verbr_CNG_D/100)*$E25*O25)+(Efac_elek_berekening_WTW*(gem_verbr_BEV_D/100)*$E25*P25)+(Efac_elek_berekening_WTW*(gem_verbr_FCEV_D_Elek/100)*(100%-_verh_H2_accu_D)*Q25)+(Efac_H2_berekening_WTW*(gem_verbr_FCEV_D_H2/100)*(_verh_H2_accu_D)*Q25)</f>
        <v>0</v>
      </c>
      <c r="CC25" s="888">
        <f>IF($L25=0,0,(CB25*looptijd)/($L25*$E25*looptijd))</f>
        <v>0</v>
      </c>
    </row>
    <row r="26" spans="1:81" ht="16" customHeight="1">
      <c r="A26" s="891"/>
      <c r="B26" s="867"/>
      <c r="C26" s="868"/>
      <c r="D26" s="868"/>
      <c r="E26" s="872"/>
      <c r="F26" s="873"/>
      <c r="G26" s="870"/>
      <c r="H26" s="868"/>
      <c r="I26" s="868"/>
      <c r="J26" s="872"/>
      <c r="K26" s="873"/>
      <c r="L26" s="870"/>
      <c r="M26" s="868"/>
      <c r="N26" s="868"/>
      <c r="O26" s="868"/>
      <c r="P26" s="868"/>
      <c r="Q26" s="872"/>
      <c r="S26" s="875"/>
      <c r="U26" s="867"/>
      <c r="V26" s="877"/>
      <c r="W26" s="889"/>
      <c r="X26" s="877"/>
      <c r="Y26" s="879"/>
      <c r="Z26" s="879"/>
      <c r="AA26" s="879"/>
      <c r="AB26" s="880"/>
      <c r="AD26" s="867"/>
      <c r="AE26" s="877"/>
      <c r="AF26" s="878"/>
      <c r="AG26" s="878"/>
      <c r="AH26" s="878"/>
      <c r="AI26" s="878"/>
      <c r="AJ26" s="878"/>
      <c r="AK26" s="882"/>
      <c r="AL26" s="881"/>
      <c r="AM26" s="880"/>
      <c r="AO26" s="867"/>
      <c r="AP26" s="877"/>
      <c r="AQ26" s="889"/>
      <c r="AR26" s="877"/>
      <c r="AS26" s="889"/>
      <c r="AT26" s="877"/>
      <c r="AU26" s="889"/>
      <c r="AV26" s="877"/>
      <c r="AW26" s="878"/>
      <c r="AX26" s="881"/>
      <c r="AY26" s="878"/>
      <c r="AZ26" s="877"/>
      <c r="BA26" s="883"/>
      <c r="BB26" s="884"/>
      <c r="BD26" s="876"/>
      <c r="BE26" s="877"/>
      <c r="BF26" s="889"/>
      <c r="BG26" s="877"/>
      <c r="BH26" s="889"/>
      <c r="BI26" s="877"/>
      <c r="BJ26" s="892"/>
      <c r="BK26" s="878"/>
      <c r="BL26" s="878"/>
      <c r="BM26" s="885"/>
      <c r="BN26" s="889"/>
      <c r="BO26" s="877"/>
      <c r="BP26" s="889"/>
      <c r="BQ26" s="878"/>
      <c r="BR26" s="877"/>
      <c r="BS26" s="885"/>
      <c r="BT26" s="883"/>
      <c r="BU26" s="884"/>
      <c r="BV26" s="881"/>
      <c r="BW26" s="867"/>
      <c r="BX26" s="889"/>
      <c r="BY26" s="888"/>
      <c r="BZ26" s="889"/>
      <c r="CA26" s="867"/>
      <c r="CB26" s="889"/>
      <c r="CC26" s="888"/>
    </row>
    <row r="27" spans="1:81" ht="16" customHeight="1">
      <c r="A27" s="891">
        <v>21</v>
      </c>
      <c r="B27" s="867" t="s">
        <v>21</v>
      </c>
      <c r="C27" s="868" t="s">
        <v>748</v>
      </c>
      <c r="D27" s="868"/>
      <c r="E27" s="869">
        <f>$E$3</f>
        <v>10000</v>
      </c>
      <c r="G27" s="870">
        <f t="shared" si="0"/>
        <v>0</v>
      </c>
      <c r="H27" s="868">
        <f t="array" ref="H27:H31">TRANSPOSE('1a. Invoer - BESTAAND'!J8:N8)</f>
        <v>0</v>
      </c>
      <c r="I27" s="868">
        <f t="array" ref="I27:I31">TRANSPOSE('1a. Invoer - BESTAAND'!E8:I8)</f>
        <v>0</v>
      </c>
      <c r="J27" s="872">
        <f t="array" ref="J27:J31">TRANSPOSE('1a. Invoer - BESTAAND'!E37:I37
)</f>
        <v>0</v>
      </c>
      <c r="K27" s="873"/>
      <c r="L27" s="870">
        <f t="shared" si="1"/>
        <v>0</v>
      </c>
      <c r="M27" s="868">
        <v>0</v>
      </c>
      <c r="N27" s="868">
        <v>0</v>
      </c>
      <c r="O27" s="868">
        <v>0</v>
      </c>
      <c r="P27" s="868">
        <f t="array" ref="P27:P31">TRANSPOSE('1b. Invoer - NIEUW'!E10:I10)</f>
        <v>0</v>
      </c>
      <c r="Q27" s="872">
        <f t="array" ref="Q27:Q31">TRANSPOSE('1b. Invoer - NIEUW'!J10:N10)</f>
        <v>0</v>
      </c>
      <c r="S27" s="875">
        <f>(L27*E27*looptijd)</f>
        <v>0</v>
      </c>
      <c r="U27" s="876">
        <f>(Netto_cat_die_E*H27)+(Netto_cat_benz_E*I27)+(Netto_cat_die_E*J27)</f>
        <v>0</v>
      </c>
      <c r="V27" s="877">
        <f>IF($G27=0,0,U27/($E27*$G27*looptijd))</f>
        <v>0</v>
      </c>
      <c r="W27" s="878">
        <f>IF(BPM_belasting="ja",(BPM_die_E*H27)+(BPM_benz_E*I27)+(BPM_CNG_E*J27),0)</f>
        <v>0</v>
      </c>
      <c r="X27" s="877">
        <f>IF($G27=0,0,W27/($E27*looptijd*$G27))</f>
        <v>0</v>
      </c>
      <c r="Y27" s="879">
        <f>BTW*U27</f>
        <v>0</v>
      </c>
      <c r="Z27" s="879">
        <f>SUM(U27:Y27)</f>
        <v>0</v>
      </c>
      <c r="AA27" s="879">
        <f>IF(BTW_verrekening="ja",((U27+W27-AW27))/2*Rente_financiering,((U27+W27+Y27-AW27)/2)*Rente_financiering)</f>
        <v>0</v>
      </c>
      <c r="AB27" s="880">
        <f>IF(G27=0,0,AA27*looptijd/($E27*looptijd*$G27))</f>
        <v>0</v>
      </c>
      <c r="AD27" s="876">
        <f>(Netto_cat_die_E*M27)+(Netto_cat_benz_E*N27)+(Netto_cat_CNG_E*O27)+(Netto_cat_BEV_E*P27)+(Netto_cat_FCEV_E*Q27)</f>
        <v>0</v>
      </c>
      <c r="AE27" s="877">
        <f>IF($L27=0,0,AD27/($E27*$L27*looptijd))</f>
        <v>0</v>
      </c>
      <c r="AF27" s="878">
        <f>IF(BPM_belasting="ja",(BPM_benz_A*N27)+(BPM_CNG_A*O27)+(P27*BPM_BEV)+(Q27*BPM_FCEV),0)</f>
        <v>0</v>
      </c>
      <c r="AG27" s="878">
        <f>IF($L27=0,0,AF27/($E27*looptijd*$L27))</f>
        <v>0</v>
      </c>
      <c r="AH27" s="878">
        <f>BTW*AD27</f>
        <v>0</v>
      </c>
      <c r="AI27" s="878">
        <f>SUM(AD27:AH27)</f>
        <v>0</v>
      </c>
      <c r="AJ27" s="878">
        <f>IF('2. Invoer parameters'!$C$10="ja",MIA_BEV_E*P27,0)</f>
        <v>0</v>
      </c>
      <c r="AK27" s="882">
        <f>IF($L27=0,0,AJ27/($E27*looptijd*$L27))</f>
        <v>0</v>
      </c>
      <c r="AL27" s="881">
        <f>IF(BPM_belasting="nee",(((AD27-AJ27)-BK27)/2)*Rente_financiering,(((AD27-AJ27+AF27)-BL27)/2)*Rente_financiering)</f>
        <v>0</v>
      </c>
      <c r="AM27" s="880">
        <f>IF($L27=0,0,AL27*looptijd/($E27*looptijd*$L27))</f>
        <v>0</v>
      </c>
      <c r="AO27" s="876">
        <f>(H27*verz_die_E)+(I27*verz_benz_E)+(J27*verz_CNG_E)</f>
        <v>0</v>
      </c>
      <c r="AP27" s="877">
        <f>IF($G27=0,0,(AO27*12*looptijd)/($E27*looptijd*$G27))</f>
        <v>0</v>
      </c>
      <c r="AQ27" s="878">
        <f>(input_MRB_die_E*$H27)+(input_MRB_benz_E*$I27)+(input_MRB_CNG_E*J27)</f>
        <v>0</v>
      </c>
      <c r="AR27" s="877">
        <f>IF($G27=0,0,AQ27/($E27*looptijd*$G27))</f>
        <v>0</v>
      </c>
      <c r="AS27" s="878">
        <f>($E27*H27*(gem_verbr_die_E/100)*prijs_die)+($E27*I27*(gem_verbr_benz_E/100)*prijs_benz)+($E27*J27*(gem_verbr_CNG_E/100)*prijs_CNG)</f>
        <v>0</v>
      </c>
      <c r="AT27" s="877">
        <f>IF($G27=0,0,(AS27*looptijd)/(looptijd*$E27*$G27))</f>
        <v>0</v>
      </c>
      <c r="AU27" s="878">
        <f>($E27*H27*Onderh_die_E)+($E27*I27*Onderh_benz_E)+($E27*J27*Onderh_CNG_E)</f>
        <v>0</v>
      </c>
      <c r="AV27" s="877">
        <f>IF($G27=0,0,(AU27*looptijd)/(looptijd*$E27*$G27))</f>
        <v>0</v>
      </c>
      <c r="AW27" s="878">
        <f>Rest_perc*SUM(U27:W27)</f>
        <v>0</v>
      </c>
      <c r="AX27" s="881">
        <f>Rest_perc*SUM(U27:Y27)</f>
        <v>0</v>
      </c>
      <c r="AY27" s="878">
        <f>IF(BTW_verrekening="Ja",((U27+W27)-AW27)/(looptijd*12),((U27+W27+Y27)-AX27)/(looptijd*12))</f>
        <v>0</v>
      </c>
      <c r="AZ27" s="877">
        <f>IF($G27=0,0,(AY27*12*looptijd)/(looptijd*$E27*$G27))</f>
        <v>0</v>
      </c>
      <c r="BA27" s="883">
        <f>(_schadekosten_per_km*E27*G27)/12</f>
        <v>0</v>
      </c>
      <c r="BB27" s="884">
        <f>IF($G27=0,0,(BA27*12*looptijd)/($E27*$G27*looptijd))</f>
        <v>0</v>
      </c>
      <c r="BD27" s="876">
        <f>(M27*verz_die_E)+(N27*verz_benz_E)+(O27*verz_CNG_E)+(P27*verz_BEV_E)+(Q27*verz_FCEV_E)</f>
        <v>0</v>
      </c>
      <c r="BE27" s="877">
        <f>IF($L27=0,0,(BD27*12*looptijd)/($E27*looptijd*$L27))</f>
        <v>0</v>
      </c>
      <c r="BF27" s="878">
        <f>(MRB_die_E*M27)+(MRB_benz_E*N27)+(input_MRB_CNG_E*O27)+(input_MRB_BEV_E*P27)++(input_MRB_FCEV_E*Q27)</f>
        <v>0</v>
      </c>
      <c r="BG27" s="877">
        <f>IF($L27=0,0,BF27/($E27*looptijd*$L27))</f>
        <v>0</v>
      </c>
      <c r="BH27" s="878">
        <f>($E27*M27*(gem_verbr_die_E/100)*prijs_die)+($E27*N27*(gem_verbr_benz_E/100)*prijs_benz)+($E27*O27*(gem_verbr_CNG_E/100)*prijs_CNG)+($E27*P27*(gem_verbr_BEV_E/100)*prijs_elek_berekening)+($E27*Q27*(gem_verbr_FCEV_E_Elek/100)*prijs_elek_berekening*(100%-_verh_H2_accu_E))+($E27*Q27*(gem_verbr_FCEV_E_H2/100)*prijs_H2*(_verh_H2_accu_E))</f>
        <v>0</v>
      </c>
      <c r="BI27" s="877">
        <f>IF($L27=0,0,(BH27*looptijd)/(looptijd*$E27*$L27))</f>
        <v>0</v>
      </c>
      <c r="BJ27" s="885"/>
      <c r="BK27" s="878">
        <f>Rest_perc_ZE*(AD27+AF27)</f>
        <v>0</v>
      </c>
      <c r="BL27" s="878">
        <f>Rest_perc_ZE*(AD27+AF27+AH27)</f>
        <v>0</v>
      </c>
      <c r="BM27" s="885"/>
      <c r="BN27" s="878">
        <f>($E27*M27*Onderh_die_E)+($E27*N27*Onderh_benz_E)+($E27*O27*Onderh_CNG_E)+($E27*P27*Onderh_BEV_E)+($E27*Q27*Onderh_FCEV_E)</f>
        <v>0</v>
      </c>
      <c r="BO27" s="877">
        <f>IF($L27=0,0,(BN27*looptijd)/(looptijd*$E27*$L27))</f>
        <v>0</v>
      </c>
      <c r="BP27" s="878"/>
      <c r="BQ27" s="878">
        <f t="shared" ref="BQ27:BQ37" si="2">IF(BTW_verrekening="Ja",((AD27+AF27-AJ27)-BK27)/(looptijd*12),((AD27+AF27+AH27-AJ27)-BL27)/(looptijd*12))</f>
        <v>0</v>
      </c>
      <c r="BR27" s="877">
        <f>IF($G27=0,0,(BQ27*12*looptijd)/(looptijd*$E27*$G27))</f>
        <v>0</v>
      </c>
      <c r="BS27" s="885"/>
      <c r="BT27" s="883">
        <f>(_schadekosten_per_km*E27*L27)/12</f>
        <v>0</v>
      </c>
      <c r="BU27" s="884">
        <f>IF($L27=0,0,(BT27*12*looptijd)/($E27*$L27*looptijd))</f>
        <v>0</v>
      </c>
      <c r="BV27" s="881"/>
      <c r="BW27" s="886">
        <f>(Efac_die_TTW*(gem_verbr_die_E/100)*$E27*H27)+(Efac_benz_TTW*(gem_verbr_benz_E/100)*$E27*I27)+(Efac_CNG_berekening_TTW*(gem_verbr_CNG_E/100)*$E27*J27)</f>
        <v>0</v>
      </c>
      <c r="BX27" s="887">
        <f>(Efac_die_WTW*(gem_verbr_die_E/100)*$E27*H27)+(Efac_benz_WTW*(gem_verbr_benz_E/100)*$E27*I27)+(Efac_CNG_berekening_WTW*(gem_verbr_CNG_E/100)*$E27*J27)</f>
        <v>0</v>
      </c>
      <c r="BY27" s="888">
        <f>IF($G27=0,0,(BX27*looptijd)/($E27*$G27*looptijd))</f>
        <v>0</v>
      </c>
      <c r="BZ27" s="889"/>
      <c r="CA27" s="886">
        <f>(Efac_die_TTW*(gem_verbr_die_E/100)*$E27*M27)+(Efac_benz_TTW*(gem_verbr_benz_E/100)*$E27*N27)+(Efac_CNG_berekening_TTW*(gem_verbr_CNG_E/100)*$E27*O27)+(Efac_elek_berekening_TTW*(gem_verbr_BEV_E/100)*$E27*P27)+(Efac_elek_berekening_TTW*(gem_verbr_FCEV_E_Elek/100)*(100%-_verh_H2_accu_E)*Q27)+(Efac_H2_berekening_TTW*(gem_verbr_FCEV_E_H2/100)*(_verh_H2_accu_E)*Q27)</f>
        <v>0</v>
      </c>
      <c r="CB27" s="887">
        <f>(Efac_die_WTW*(gem_verbr_die_E/100)*$E27*M27)+(Efac_benz_WTW*(gem_verbr_benz_E/100)*$E27*N27)+(Efac_CNG_berekening_WTW*(gem_verbr_CNG_E/100)*$E27*O27)+(Efac_elek_berekening_WTW*(gem_verbr_BEV_E/100)*$E27*P27)+(Efac_elek_berekening_WTW*(gem_verbr_FCEV_E_Elek/100)*(100%-_verh_H2_accu_E)*Q27)+(Efac_H2_berekening_WTW*(gem_verbr_FCEV_E_H2/100)*(_verh_H2_accu_E)*Q27)</f>
        <v>0</v>
      </c>
      <c r="CC27" s="888">
        <f>IF($L27=0,0,(CB27*looptijd)/($L27*$E27*looptijd))</f>
        <v>0</v>
      </c>
    </row>
    <row r="28" spans="1:81" ht="16" customHeight="1">
      <c r="A28" s="891">
        <v>22</v>
      </c>
      <c r="B28" s="867" t="s">
        <v>21</v>
      </c>
      <c r="C28" s="868" t="s">
        <v>749</v>
      </c>
      <c r="D28" s="868"/>
      <c r="E28" s="869">
        <f>$E$4</f>
        <v>15000</v>
      </c>
      <c r="G28" s="870">
        <f t="shared" si="0"/>
        <v>0</v>
      </c>
      <c r="H28" s="868">
        <v>0</v>
      </c>
      <c r="I28" s="868">
        <v>0</v>
      </c>
      <c r="J28" s="872">
        <v>0</v>
      </c>
      <c r="K28" s="873"/>
      <c r="L28" s="870">
        <f t="shared" si="1"/>
        <v>0</v>
      </c>
      <c r="M28" s="868">
        <v>0</v>
      </c>
      <c r="N28" s="868">
        <v>0</v>
      </c>
      <c r="O28" s="868">
        <v>0</v>
      </c>
      <c r="P28" s="868">
        <v>0</v>
      </c>
      <c r="Q28" s="872">
        <v>0</v>
      </c>
      <c r="S28" s="875">
        <f>(L28*E28*looptijd)</f>
        <v>0</v>
      </c>
      <c r="U28" s="876">
        <f>(Netto_cat_die_E*H28)+(Netto_cat_benz_E*I28)+(Netto_cat_die_E*J28)</f>
        <v>0</v>
      </c>
      <c r="V28" s="877">
        <f>IF($G28=0,0,U28/($E28*$G28*looptijd))</f>
        <v>0</v>
      </c>
      <c r="W28" s="878">
        <f>IF(BPM_belasting="ja",(BPM_die_E*H28)+(BPM_benz_E*I28)+(BPM_CNG_E*J28),0)</f>
        <v>0</v>
      </c>
      <c r="X28" s="877">
        <f>IF($G28=0,0,W28/($E28*looptijd*$G28))</f>
        <v>0</v>
      </c>
      <c r="Y28" s="879">
        <f>BTW*U28</f>
        <v>0</v>
      </c>
      <c r="Z28" s="879">
        <f>SUM(U28:Y28)</f>
        <v>0</v>
      </c>
      <c r="AA28" s="879">
        <f>IF(BTW_verrekening="ja",((U28+W28-AW28))/2*Rente_financiering,((U28+W28+Y28-AW28)/2)*Rente_financiering)</f>
        <v>0</v>
      </c>
      <c r="AB28" s="880">
        <f>IF(G28=0,0,AA28*looptijd/($E28*looptijd*$G28))</f>
        <v>0</v>
      </c>
      <c r="AD28" s="876">
        <f>(Netto_cat_die_E*M28)+(Netto_cat_benz_E*N28)+(Netto_cat_CNG_E*O28)+(Netto_cat_BEV_E*P28)+(Netto_cat_FCEV_E*Q28)</f>
        <v>0</v>
      </c>
      <c r="AE28" s="877">
        <f>IF($L28=0,0,AD28/($E28*$L28*looptijd))</f>
        <v>0</v>
      </c>
      <c r="AF28" s="878">
        <f>IF(BPM_belasting="ja",(BPM_benz_A*N28)+(BPM_CNG_A*O28)+(P28*BPM_BEV)+(Q28*BPM_FCEV),0)</f>
        <v>0</v>
      </c>
      <c r="AG28" s="878">
        <f>IF($L28=0,0,AF28/($E28*looptijd*$L28))</f>
        <v>0</v>
      </c>
      <c r="AH28" s="878">
        <f>BTW*AD28</f>
        <v>0</v>
      </c>
      <c r="AI28" s="878">
        <f>SUM(AD28:AH28)</f>
        <v>0</v>
      </c>
      <c r="AJ28" s="878">
        <f>IF('2. Invoer parameters'!$C$10="ja",MIA_BEV_E*P28,0)</f>
        <v>0</v>
      </c>
      <c r="AK28" s="882">
        <f>IF($L28=0,0,AJ28/($E28*looptijd*$L28))</f>
        <v>0</v>
      </c>
      <c r="AL28" s="881">
        <f>IF(BPM_belasting="nee",(((AD28-AJ28)-BK28)/2)*Rente_financiering,(((AD28-AJ28+AF28)-BL28)/2)*Rente_financiering)</f>
        <v>0</v>
      </c>
      <c r="AM28" s="880">
        <f>IF($L28=0,0,AL28*looptijd/($E28*looptijd*$L28))</f>
        <v>0</v>
      </c>
      <c r="AO28" s="876">
        <f>(H28*verz_die_E)+(I28*verz_benz_E)+(J28*verz_CNG_E)</f>
        <v>0</v>
      </c>
      <c r="AP28" s="877">
        <f>IF($G28=0,0,(AO28*12*looptijd)/($E28*looptijd*$G28))</f>
        <v>0</v>
      </c>
      <c r="AQ28" s="878">
        <f>(input_MRB_die_E*$H28)+(input_MRB_benz_E*$I28)+(input_MRB_CNG_E*J28)</f>
        <v>0</v>
      </c>
      <c r="AR28" s="877">
        <f>IF($G28=0,0,AQ28/($E28*looptijd*$G28))</f>
        <v>0</v>
      </c>
      <c r="AS28" s="878">
        <f>($E28*H28*(gem_verbr_die_E/100)*prijs_die)+($E28*I28*(gem_verbr_benz_E/100)*prijs_benz)+($E28*J28*(gem_verbr_CNG_E/100)*prijs_CNG)</f>
        <v>0</v>
      </c>
      <c r="AT28" s="877">
        <f>IF($G28=0,0,(AS28*looptijd)/(looptijd*$E28*$G28))</f>
        <v>0</v>
      </c>
      <c r="AU28" s="878">
        <f>($E28*H28*Onderh_die_E)+($E28*I28*Onderh_benz_E)+($E28*J28*Onderh_CNG_E)</f>
        <v>0</v>
      </c>
      <c r="AV28" s="877">
        <f>IF($G28=0,0,(AU28*looptijd)/(looptijd*$E28*$G28))</f>
        <v>0</v>
      </c>
      <c r="AW28" s="878">
        <f>Rest_perc*SUM(U28:W28)</f>
        <v>0</v>
      </c>
      <c r="AX28" s="881">
        <f>Rest_perc*SUM(U28:Y28)</f>
        <v>0</v>
      </c>
      <c r="AY28" s="878">
        <f>IF(BTW_verrekening="Ja",((U28+W28)-AW28)/(looptijd*12),((U28+W28+Y28)-AX28)/(looptijd*12))</f>
        <v>0</v>
      </c>
      <c r="AZ28" s="877">
        <f>IF($G28=0,0,(AY28*12*looptijd)/(looptijd*$E28*$G28))</f>
        <v>0</v>
      </c>
      <c r="BA28" s="883">
        <f>(_schadekosten_per_km*E28*G28)/12</f>
        <v>0</v>
      </c>
      <c r="BB28" s="884">
        <f>IF($G28=0,0,(BA28*12*looptijd)/($E28*$G28*looptijd))</f>
        <v>0</v>
      </c>
      <c r="BD28" s="876">
        <f>(M28*verz_die_E)+(N28*verz_benz_E)+(O28*verz_CNG_E)+(P28*verz_BEV_E)+(Q28*verz_FCEV_E)</f>
        <v>0</v>
      </c>
      <c r="BE28" s="877">
        <f>IF($L28=0,0,(BD28*12*looptijd)/($E28*looptijd*$L28))</f>
        <v>0</v>
      </c>
      <c r="BF28" s="878">
        <f>(MRB_die_E*M28)+(MRB_benz_E*N28)+(input_MRB_CNG_E*O28)+(input_MRB_BEV_E*P28)++(input_MRB_FCEV_E*Q28)</f>
        <v>0</v>
      </c>
      <c r="BG28" s="877">
        <f>IF($L28=0,0,BF28/($E28*looptijd*$L28))</f>
        <v>0</v>
      </c>
      <c r="BH28" s="878">
        <f>($E28*M28*(gem_verbr_die_E/100)*prijs_die)+($E28*N28*(gem_verbr_benz_E/100)*prijs_benz)+($E28*O28*(gem_verbr_CNG_E/100)*prijs_CNG)+($E28*P28*(gem_verbr_BEV_E/100)*prijs_elek_berekening)+($E28*Q28*(gem_verbr_FCEV_E_Elek/100)*prijs_elek_berekening*(100%-_verh_H2_accu_E))+($E28*Q28*(gem_verbr_FCEV_E_H2/100)*prijs_H2*(_verh_H2_accu_E))</f>
        <v>0</v>
      </c>
      <c r="BI28" s="877">
        <f>IF($L28=0,0,(BH28*looptijd)/(looptijd*$E28*$L28))</f>
        <v>0</v>
      </c>
      <c r="BJ28" s="885"/>
      <c r="BK28" s="878">
        <f>Rest_perc_ZE*(AD28+AF28)</f>
        <v>0</v>
      </c>
      <c r="BL28" s="878">
        <f>Rest_perc_ZE*(AD28+AF28+AH28)</f>
        <v>0</v>
      </c>
      <c r="BM28" s="885"/>
      <c r="BN28" s="878">
        <f>($E28*M28*Onderh_die_E)+($E28*N28*Onderh_benz_E)+($E28*O28*Onderh_CNG_E)+($E28*P28*Onderh_BEV_E)+($E28*Q28*Onderh_FCEV_E)</f>
        <v>0</v>
      </c>
      <c r="BO28" s="877">
        <f>IF($L28=0,0,(BN28*looptijd)/(looptijd*$E28*$L28))</f>
        <v>0</v>
      </c>
      <c r="BP28" s="878"/>
      <c r="BQ28" s="878">
        <f t="shared" si="2"/>
        <v>0</v>
      </c>
      <c r="BR28" s="877">
        <f>IF($G28=0,0,(BQ28*12*looptijd)/(looptijd*$E28*$G28))</f>
        <v>0</v>
      </c>
      <c r="BS28" s="885"/>
      <c r="BT28" s="883">
        <f>(_schadekosten_per_km*E28*L28)/12</f>
        <v>0</v>
      </c>
      <c r="BU28" s="884">
        <f>IF($L28=0,0,(BT28*12*looptijd)/($E28*$L28*looptijd))</f>
        <v>0</v>
      </c>
      <c r="BV28" s="881"/>
      <c r="BW28" s="886">
        <f>(Efac_die_TTW*(gem_verbr_die_E/100)*$E28*H28)+(Efac_benz_TTW*(gem_verbr_benz_E/100)*$E28*I28)+(Efac_CNG_berekening_TTW*(gem_verbr_CNG_E/100)*$E28*J28)</f>
        <v>0</v>
      </c>
      <c r="BX28" s="887">
        <f>(Efac_die_WTW*(gem_verbr_die_E/100)*$E28*H28)+(Efac_benz_WTW*(gem_verbr_benz_E/100)*$E28*I28)+(Efac_CNG_berekening_WTW*(gem_verbr_CNG_E/100)*$E28*J28)</f>
        <v>0</v>
      </c>
      <c r="BY28" s="888">
        <f>IF($G28=0,0,(BX28*looptijd)/($E28*$G28*looptijd))</f>
        <v>0</v>
      </c>
      <c r="BZ28" s="889"/>
      <c r="CA28" s="886">
        <f>(Efac_die_TTW*(gem_verbr_die_E/100)*$E28*M28)+(Efac_benz_TTW*(gem_verbr_benz_E/100)*$E28*N28)+(Efac_CNG_berekening_TTW*(gem_verbr_CNG_E/100)*$E28*O28)+(Efac_elek_berekening_TTW*(gem_verbr_BEV_E/100)*$E28*P28)+(Efac_elek_berekening_TTW*(gem_verbr_FCEV_E_Elek/100)*(100%-_verh_H2_accu_E)*Q28)+(Efac_H2_berekening_TTW*(gem_verbr_FCEV_E_H2/100)*(_verh_H2_accu_E)*Q28)</f>
        <v>0</v>
      </c>
      <c r="CB28" s="887">
        <f>(Efac_die_WTW*(gem_verbr_die_E/100)*$E28*M28)+(Efac_benz_WTW*(gem_verbr_benz_E/100)*$E28*N28)+(Efac_CNG_berekening_WTW*(gem_verbr_CNG_E/100)*$E28*O28)+(Efac_elek_berekening_WTW*(gem_verbr_BEV_E/100)*$E28*P28)+(Efac_elek_berekening_WTW*(gem_verbr_FCEV_E_Elek/100)*(100%-_verh_H2_accu_E)*Q28)+(Efac_H2_berekening_WTW*(gem_verbr_FCEV_E_H2/100)*(_verh_H2_accu_E)*Q28)</f>
        <v>0</v>
      </c>
      <c r="CC28" s="888">
        <f>IF($L28=0,0,(CB28*looptijd)/($L28*$E28*looptijd))</f>
        <v>0</v>
      </c>
    </row>
    <row r="29" spans="1:81" ht="16" customHeight="1">
      <c r="A29" s="891">
        <v>23</v>
      </c>
      <c r="B29" s="867" t="s">
        <v>21</v>
      </c>
      <c r="C29" s="868" t="s">
        <v>750</v>
      </c>
      <c r="D29" s="868"/>
      <c r="E29" s="869">
        <f>$E$5</f>
        <v>25000</v>
      </c>
      <c r="G29" s="870">
        <f t="shared" si="0"/>
        <v>0</v>
      </c>
      <c r="H29" s="868">
        <v>0</v>
      </c>
      <c r="I29" s="868">
        <v>0</v>
      </c>
      <c r="J29" s="872">
        <v>0</v>
      </c>
      <c r="K29" s="873"/>
      <c r="L29" s="870">
        <f t="shared" si="1"/>
        <v>0</v>
      </c>
      <c r="M29" s="868">
        <v>0</v>
      </c>
      <c r="N29" s="868">
        <v>0</v>
      </c>
      <c r="O29" s="868">
        <v>0</v>
      </c>
      <c r="P29" s="868">
        <v>0</v>
      </c>
      <c r="Q29" s="872">
        <v>0</v>
      </c>
      <c r="S29" s="875">
        <f>(L29*E29*looptijd)</f>
        <v>0</v>
      </c>
      <c r="U29" s="876">
        <f>(Netto_cat_die_E*H29)+(Netto_cat_benz_E*I29)+(Netto_cat_die_E*J29)</f>
        <v>0</v>
      </c>
      <c r="V29" s="877">
        <f>IF($G29=0,0,U29/($E29*$G29*looptijd))</f>
        <v>0</v>
      </c>
      <c r="W29" s="878">
        <f>IF(BPM_belasting="ja",(BPM_die_E*H29)+(BPM_benz_E*I29)+(BPM_CNG_E*J29),0)</f>
        <v>0</v>
      </c>
      <c r="X29" s="877">
        <f>IF($G29=0,0,W29/($E29*looptijd*$G29))</f>
        <v>0</v>
      </c>
      <c r="Y29" s="879">
        <f>BTW*U29</f>
        <v>0</v>
      </c>
      <c r="Z29" s="879">
        <f>SUM(U29:Y29)</f>
        <v>0</v>
      </c>
      <c r="AA29" s="879">
        <f>IF(BTW_verrekening="ja",((U29+W29-AW29))/2*Rente_financiering,((U29+W29+Y29-AW29)/2)*Rente_financiering)</f>
        <v>0</v>
      </c>
      <c r="AB29" s="880">
        <f>IF(G29=0,0,AA29*looptijd/($E29*looptijd*$G29))</f>
        <v>0</v>
      </c>
      <c r="AD29" s="876">
        <f>(Netto_cat_die_E*M29)+(Netto_cat_benz_E*N29)+(Netto_cat_CNG_E*O29)+(Netto_cat_BEV_E*P29)+(Netto_cat_FCEV_E*Q29)</f>
        <v>0</v>
      </c>
      <c r="AE29" s="877">
        <f>IF($L29=0,0,AD29/($E29*$L29*looptijd))</f>
        <v>0</v>
      </c>
      <c r="AF29" s="878">
        <f>IF(BPM_belasting="ja",(BPM_benz_A*N29)+(BPM_CNG_A*O29)+(P29*BPM_BEV)+(Q29*BPM_FCEV),0)</f>
        <v>0</v>
      </c>
      <c r="AG29" s="878">
        <f>IF($L29=0,0,AF29/($E29*looptijd*$L29))</f>
        <v>0</v>
      </c>
      <c r="AH29" s="878">
        <f>BTW*AD29</f>
        <v>0</v>
      </c>
      <c r="AI29" s="878">
        <f>SUM(AD29:AH29)</f>
        <v>0</v>
      </c>
      <c r="AJ29" s="878">
        <f>IF('2. Invoer parameters'!$C$10="ja",MIA_BEV_E*P29,0)</f>
        <v>0</v>
      </c>
      <c r="AK29" s="882">
        <f>IF($L29=0,0,AJ29/($E29*looptijd*$L29))</f>
        <v>0</v>
      </c>
      <c r="AL29" s="881">
        <f>IF(BPM_belasting="nee",(((AD29-AJ29)-BK29)/2)*Rente_financiering,(((AD29-AJ29+AF29)-BL29)/2)*Rente_financiering)</f>
        <v>0</v>
      </c>
      <c r="AM29" s="880">
        <f>IF($L29=0,0,AL29*looptijd/($E29*looptijd*$L29))</f>
        <v>0</v>
      </c>
      <c r="AO29" s="876">
        <f>(H29*verz_die_E)+(I29*verz_benz_E)+(J29*verz_CNG_E)</f>
        <v>0</v>
      </c>
      <c r="AP29" s="877">
        <f>IF($G29=0,0,(AO29*12*looptijd)/($E29*looptijd*$G29))</f>
        <v>0</v>
      </c>
      <c r="AQ29" s="878">
        <f>(input_MRB_die_E*$H29)+(input_MRB_benz_E*$I29)+(input_MRB_CNG_E*J29)</f>
        <v>0</v>
      </c>
      <c r="AR29" s="877">
        <f>IF($G29=0,0,AQ29/($E29*looptijd*$G29))</f>
        <v>0</v>
      </c>
      <c r="AS29" s="878">
        <f>($E29*H29*(gem_verbr_die_E/100)*prijs_die)+($E29*I29*(gem_verbr_benz_E/100)*prijs_benz)+($E29*J29*(gem_verbr_CNG_E/100)*prijs_CNG)</f>
        <v>0</v>
      </c>
      <c r="AT29" s="877">
        <f>IF($G29=0,0,(AS29*looptijd)/(looptijd*$E29*$G29))</f>
        <v>0</v>
      </c>
      <c r="AU29" s="878">
        <f>($E29*H29*Onderh_die_E)+($E29*I29*Onderh_benz_E)+($E29*J29*Onderh_CNG_E)</f>
        <v>0</v>
      </c>
      <c r="AV29" s="877">
        <f>IF($G29=0,0,(AU29*looptijd)/(looptijd*$E29*$G29))</f>
        <v>0</v>
      </c>
      <c r="AW29" s="878">
        <f>Rest_perc*SUM(U29:W29)</f>
        <v>0</v>
      </c>
      <c r="AX29" s="881">
        <f>Rest_perc*SUM(U29:Y29)</f>
        <v>0</v>
      </c>
      <c r="AY29" s="878">
        <f>IF(BTW_verrekening="Ja",((U29+W29)-AW29)/(looptijd*12),((U29+W29+Y29)-AX29)/(looptijd*12))</f>
        <v>0</v>
      </c>
      <c r="AZ29" s="877">
        <f>IF($G29=0,0,(AY29*12*looptijd)/(looptijd*$E29*$G29))</f>
        <v>0</v>
      </c>
      <c r="BA29" s="883">
        <f>(_schadekosten_per_km*E29*G29)/12</f>
        <v>0</v>
      </c>
      <c r="BB29" s="884">
        <f>IF($G29=0,0,(BA29*12*looptijd)/($E29*$G29*looptijd))</f>
        <v>0</v>
      </c>
      <c r="BD29" s="876">
        <f>(M29*verz_die_E)+(N29*verz_benz_E)+(O29*verz_CNG_E)+(P29*verz_BEV_E)+(Q29*verz_FCEV_E)</f>
        <v>0</v>
      </c>
      <c r="BE29" s="877">
        <f>IF($L29=0,0,(BD29*12*looptijd)/($E29*looptijd*$L29))</f>
        <v>0</v>
      </c>
      <c r="BF29" s="878">
        <f>(MRB_die_E*M29)+(MRB_benz_E*N29)+(input_MRB_CNG_E*O29)+(input_MRB_BEV_E*P29)++(input_MRB_FCEV_E*Q29)</f>
        <v>0</v>
      </c>
      <c r="BG29" s="877">
        <f>IF($L29=0,0,BF29/($E29*looptijd*$L29))</f>
        <v>0</v>
      </c>
      <c r="BH29" s="878">
        <f>($E29*M29*(gem_verbr_die_E/100)*prijs_die)+($E29*N29*(gem_verbr_benz_E/100)*prijs_benz)+($E29*O29*(gem_verbr_CNG_E/100)*prijs_CNG)+($E29*P29*(gem_verbr_BEV_E/100)*prijs_elek_berekening)+($E29*Q29*(gem_verbr_FCEV_E_Elek/100)*prijs_elek_berekening*(100%-_verh_H2_accu_E))+($E29*Q29*(gem_verbr_FCEV_E_H2/100)*prijs_H2*(_verh_H2_accu_E))</f>
        <v>0</v>
      </c>
      <c r="BI29" s="877">
        <f>IF($L29=0,0,(BH29*looptijd)/(looptijd*$E29*$L29))</f>
        <v>0</v>
      </c>
      <c r="BJ29" s="885"/>
      <c r="BK29" s="878">
        <f>Rest_perc_ZE*(AD29+AF29)</f>
        <v>0</v>
      </c>
      <c r="BL29" s="878">
        <f>Rest_perc_ZE*(AD29+AF29+AH29)</f>
        <v>0</v>
      </c>
      <c r="BM29" s="885"/>
      <c r="BN29" s="878">
        <f>($E29*M29*Onderh_die_E)+($E29*N29*Onderh_benz_E)+($E29*O29*Onderh_CNG_E)+($E29*P29*Onderh_BEV_E)+($E29*Q29*Onderh_FCEV_E)</f>
        <v>0</v>
      </c>
      <c r="BO29" s="877">
        <f>IF($L29=0,0,(BN29*looptijd)/(looptijd*$E29*$L29))</f>
        <v>0</v>
      </c>
      <c r="BP29" s="878"/>
      <c r="BQ29" s="878">
        <f t="shared" si="2"/>
        <v>0</v>
      </c>
      <c r="BR29" s="877">
        <f>IF($G29=0,0,(BQ29*12*looptijd)/(looptijd*$E29*$G29))</f>
        <v>0</v>
      </c>
      <c r="BS29" s="885"/>
      <c r="BT29" s="883">
        <f>(_schadekosten_per_km*E29*L29)/12</f>
        <v>0</v>
      </c>
      <c r="BU29" s="884">
        <f>IF($L29=0,0,(BT29*12*looptijd)/($E29*$L29*looptijd))</f>
        <v>0</v>
      </c>
      <c r="BV29" s="881"/>
      <c r="BW29" s="886">
        <f>(Efac_die_TTW*(gem_verbr_die_E/100)*$E29*H29)+(Efac_benz_TTW*(gem_verbr_benz_E/100)*$E29*I29)+(Efac_CNG_berekening_TTW*(gem_verbr_CNG_E/100)*$E29*J29)</f>
        <v>0</v>
      </c>
      <c r="BX29" s="887">
        <f>(Efac_die_WTW*(gem_verbr_die_E/100)*$E29*H29)+(Efac_benz_WTW*(gem_verbr_benz_E/100)*$E29*I29)+(Efac_CNG_berekening_WTW*(gem_verbr_CNG_E/100)*$E29*J29)</f>
        <v>0</v>
      </c>
      <c r="BY29" s="888">
        <f>IF($G29=0,0,(BX29*looptijd)/($E29*$G29*looptijd))</f>
        <v>0</v>
      </c>
      <c r="BZ29" s="889"/>
      <c r="CA29" s="886">
        <f>(Efac_die_TTW*(gem_verbr_die_E/100)*$E29*M29)+(Efac_benz_TTW*(gem_verbr_benz_E/100)*$E29*N29)+(Efac_CNG_berekening_TTW*(gem_verbr_CNG_E/100)*$E29*O29)+(Efac_elek_berekening_TTW*(gem_verbr_BEV_E/100)*$E29*P29)+(Efac_elek_berekening_TTW*(gem_verbr_FCEV_E_Elek/100)*(100%-_verh_H2_accu_E)*Q29)+(Efac_H2_berekening_TTW*(gem_verbr_FCEV_E_H2/100)*(_verh_H2_accu_E)*Q29)</f>
        <v>0</v>
      </c>
      <c r="CB29" s="887">
        <f>(Efac_die_WTW*(gem_verbr_die_E/100)*$E29*M29)+(Efac_benz_WTW*(gem_verbr_benz_E/100)*$E29*N29)+(Efac_CNG_berekening_WTW*(gem_verbr_CNG_E/100)*$E29*O29)+(Efac_elek_berekening_WTW*(gem_verbr_BEV_E/100)*$E29*P29)+(Efac_elek_berekening_WTW*(gem_verbr_FCEV_E_Elek/100)*(100%-_verh_H2_accu_E)*Q29)+(Efac_H2_berekening_WTW*(gem_verbr_FCEV_E_H2/100)*(_verh_H2_accu_E)*Q29)</f>
        <v>0</v>
      </c>
      <c r="CC29" s="888">
        <f>IF($L29=0,0,(CB29*looptijd)/($L29*$E29*looptijd))</f>
        <v>0</v>
      </c>
    </row>
    <row r="30" spans="1:81" ht="16" customHeight="1">
      <c r="A30" s="891">
        <v>24</v>
      </c>
      <c r="B30" s="867" t="s">
        <v>21</v>
      </c>
      <c r="C30" s="868" t="s">
        <v>752</v>
      </c>
      <c r="D30" s="868"/>
      <c r="E30" s="872">
        <v>50000</v>
      </c>
      <c r="F30" s="873"/>
      <c r="G30" s="870">
        <f t="shared" si="0"/>
        <v>0</v>
      </c>
      <c r="H30" s="868">
        <v>0</v>
      </c>
      <c r="I30" s="868">
        <v>0</v>
      </c>
      <c r="J30" s="872">
        <v>0</v>
      </c>
      <c r="K30" s="873"/>
      <c r="L30" s="870">
        <f t="shared" si="1"/>
        <v>0</v>
      </c>
      <c r="M30" s="868">
        <v>0</v>
      </c>
      <c r="N30" s="868">
        <v>0</v>
      </c>
      <c r="O30" s="868">
        <v>0</v>
      </c>
      <c r="P30" s="868">
        <v>0</v>
      </c>
      <c r="Q30" s="872">
        <v>0</v>
      </c>
      <c r="S30" s="875">
        <f>(L30*E30*looptijd)</f>
        <v>0</v>
      </c>
      <c r="U30" s="876">
        <f>(Netto_cat_die_E*H30)+(Netto_cat_benz_E*I30)+(Netto_cat_die_E*J30)</f>
        <v>0</v>
      </c>
      <c r="V30" s="877">
        <f>IF($G30=0,0,U30/($E30*$G30*looptijd))</f>
        <v>0</v>
      </c>
      <c r="W30" s="878">
        <f>IF(BPM_belasting="ja",(BPM_die_E*H30)+(BPM_benz_E*I30)+(BPM_CNG_E*J30),0)</f>
        <v>0</v>
      </c>
      <c r="X30" s="877">
        <f>IF($G30=0,0,W30/($E30*looptijd*$G30))</f>
        <v>0</v>
      </c>
      <c r="Y30" s="879">
        <f>BTW*U30</f>
        <v>0</v>
      </c>
      <c r="Z30" s="879">
        <f>SUM(U30:Y30)</f>
        <v>0</v>
      </c>
      <c r="AA30" s="879">
        <f>IF(BTW_verrekening="ja",((U30+W30-AW30))/2*Rente_financiering,((U30+W30+Y30-AW30)/2)*Rente_financiering)</f>
        <v>0</v>
      </c>
      <c r="AB30" s="880">
        <f>IF(G30=0,0,AA30*looptijd/($E30*looptijd*$G30))</f>
        <v>0</v>
      </c>
      <c r="AD30" s="876">
        <f>(Netto_cat_die_E*M30)+(Netto_cat_benz_E*N30)+(Netto_cat_CNG_E*O30)+(Netto_cat_BEV_E*P30)+(Netto_cat_FCEV_E*Q30)</f>
        <v>0</v>
      </c>
      <c r="AE30" s="877">
        <f>IF($L30=0,0,AD30/($E30*$L30*looptijd))</f>
        <v>0</v>
      </c>
      <c r="AF30" s="878">
        <f>IF(BPM_belasting="ja",(BPM_benz_A*N30)+(BPM_CNG_A*O30)+(P30*BPM_BEV)+(Q30*BPM_FCEV),0)</f>
        <v>0</v>
      </c>
      <c r="AG30" s="878">
        <f>IF($L30=0,0,AF30/($E30*looptijd*$L30))</f>
        <v>0</v>
      </c>
      <c r="AH30" s="878">
        <f>BTW*AD30</f>
        <v>0</v>
      </c>
      <c r="AI30" s="878">
        <f>SUM(AD30:AH30)</f>
        <v>0</v>
      </c>
      <c r="AJ30" s="878">
        <f>IF('2. Invoer parameters'!$C$10="ja",MIA_BEV_E*P30,0)</f>
        <v>0</v>
      </c>
      <c r="AK30" s="882">
        <f>IF($L30=0,0,AJ30/($E30*looptijd*$L30))</f>
        <v>0</v>
      </c>
      <c r="AL30" s="881">
        <f>IF(BPM_belasting="nee",(((AD30-AJ30)-BK30)/2)*Rente_financiering,(((AD30-AJ30+AF30)-BL30)/2)*Rente_financiering)</f>
        <v>0</v>
      </c>
      <c r="AM30" s="880">
        <f>IF($L30=0,0,AL30*looptijd/($E30*looptijd*$L30))</f>
        <v>0</v>
      </c>
      <c r="AO30" s="876">
        <f>(H30*verz_die_E)+(I30*verz_benz_E)+(J30*verz_CNG_E)</f>
        <v>0</v>
      </c>
      <c r="AP30" s="877">
        <f>IF($G30=0,0,(AO30*12*looptijd)/($E30*looptijd*$G30))</f>
        <v>0</v>
      </c>
      <c r="AQ30" s="878">
        <f>(input_MRB_die_E*$H30)+(input_MRB_benz_E*$I30)+(input_MRB_CNG_E*J30)</f>
        <v>0</v>
      </c>
      <c r="AR30" s="877">
        <f>IF($G30=0,0,AQ30/($E30*looptijd*$G30))</f>
        <v>0</v>
      </c>
      <c r="AS30" s="878">
        <f>($E30*H30*(gem_verbr_die_E/100)*prijs_die)+($E30*I30*(gem_verbr_benz_E/100)*prijs_benz)+($E30*J30*(gem_verbr_CNG_E/100)*prijs_CNG)</f>
        <v>0</v>
      </c>
      <c r="AT30" s="877">
        <f>IF($G30=0,0,(AS30*looptijd)/(looptijd*$E30*$G30))</f>
        <v>0</v>
      </c>
      <c r="AU30" s="878">
        <f>($E30*H30*Onderh_die_E_hoog_km)+($E30*I30*Onderh_benz_E_hoog_km)+($E30*J30*Onderh_CNG_E_hoog_km)</f>
        <v>0</v>
      </c>
      <c r="AV30" s="877">
        <f>IF($G30=0,0,(AU30*looptijd)/(looptijd*$E30*$G30))</f>
        <v>0</v>
      </c>
      <c r="AW30" s="878">
        <f>Rest_perc*SUM(U30:W30)</f>
        <v>0</v>
      </c>
      <c r="AX30" s="881">
        <f>Rest_perc*SUM(U30:Y30)</f>
        <v>0</v>
      </c>
      <c r="AY30" s="878">
        <f>IF(BTW_verrekening="Ja",((U30+W30)-AW30)/(looptijd*12),((U30+W30+Y30)-AX30)/(looptijd*12))</f>
        <v>0</v>
      </c>
      <c r="AZ30" s="877">
        <f>IF($G30=0,0,(AY30*12*looptijd)/(looptijd*$E30*$G30))</f>
        <v>0</v>
      </c>
      <c r="BA30" s="883">
        <f>(_schadekosten_per_km*E30*G30)/12</f>
        <v>0</v>
      </c>
      <c r="BB30" s="884">
        <f>IF($G30=0,0,(BA30*12*looptijd)/($E30*$G30*looptijd))</f>
        <v>0</v>
      </c>
      <c r="BD30" s="876">
        <f>(M30*verz_die_E)+(N30*verz_benz_E)+(O30*verz_CNG_E)+(P30*verz_BEV_E)+(Q30*verz_FCEV_E)</f>
        <v>0</v>
      </c>
      <c r="BE30" s="877">
        <f>IF($L30=0,0,(BD30*12*looptijd)/($E30*looptijd*$L30))</f>
        <v>0</v>
      </c>
      <c r="BF30" s="878">
        <f>(MRB_die_E*M30)+(MRB_benz_E*N30)+(input_MRB_CNG_E*O30)+(input_MRB_BEV_E*P30)++(input_MRB_FCEV_E*Q30)</f>
        <v>0</v>
      </c>
      <c r="BG30" s="877">
        <f>IF($L30=0,0,BF30/($E30*looptijd*$L30))</f>
        <v>0</v>
      </c>
      <c r="BH30" s="878">
        <f>($E30*M30*(gem_verbr_die_E/100)*prijs_die)+($E30*N30*(gem_verbr_benz_E/100)*prijs_benz)+($E30*O30*(gem_verbr_CNG_E/100)*prijs_CNG)+($E30*P30*(gem_verbr_BEV_E/100)*prijs_elek_berekening)+($E30*Q30*(gem_verbr_FCEV_E_Elek/100)*prijs_elek_berekening*(100%-_verh_H2_accu_E))+($E30*Q30*(gem_verbr_FCEV_E_H2/100)*prijs_H2*(_verh_H2_accu_E))</f>
        <v>0</v>
      </c>
      <c r="BI30" s="877">
        <f>IF($L30=0,0,(BH30*looptijd)/(looptijd*$E30*$L30))</f>
        <v>0</v>
      </c>
      <c r="BJ30" s="885"/>
      <c r="BK30" s="878">
        <f>Rest_perc_ZE*(AD30+AF30)</f>
        <v>0</v>
      </c>
      <c r="BL30" s="878">
        <f>Rest_perc_ZE*(AD30+AF30+AH30)</f>
        <v>0</v>
      </c>
      <c r="BM30" s="885"/>
      <c r="BN30" s="878">
        <f>($E30*M30*Onderh_die_E_hoog_km)+($E30*N30*Onderh_benz_E_hoog_km)+($E30*O30*Onderh_CNG_E_hoog_km)+($E30*P30*Onderh_BEV_E_hoog_km)+($E30*Q30*Onderh_FCEV_E_hoog_km)</f>
        <v>0</v>
      </c>
      <c r="BO30" s="877">
        <f>IF($L30=0,0,(BN30*looptijd)/(looptijd*$E30*$L30))</f>
        <v>0</v>
      </c>
      <c r="BP30" s="878"/>
      <c r="BQ30" s="878">
        <f t="shared" si="2"/>
        <v>0</v>
      </c>
      <c r="BR30" s="877">
        <f>IF($G30=0,0,(BQ30*12*looptijd)/(looptijd*$E30*$G30))</f>
        <v>0</v>
      </c>
      <c r="BS30" s="885"/>
      <c r="BT30" s="883">
        <f>(_schadekosten_per_km*E30*L30)/12</f>
        <v>0</v>
      </c>
      <c r="BU30" s="884">
        <f>IF($L30=0,0,(BT30*12*looptijd)/($E30*$L30*looptijd))</f>
        <v>0</v>
      </c>
      <c r="BV30" s="881"/>
      <c r="BW30" s="886">
        <f>(Efac_die_TTW*(gem_verbr_die_E/100)*$E30*H30)+(Efac_benz_TTW*(gem_verbr_benz_E/100)*$E30*I30)+(Efac_CNG_berekening_TTW*(gem_verbr_CNG_E/100)*$E30*J30)</f>
        <v>0</v>
      </c>
      <c r="BX30" s="887">
        <f>(Efac_die_WTW*(gem_verbr_die_E/100)*$E30*H30)+(Efac_benz_WTW*(gem_verbr_benz_E/100)*$E30*I30)+(Efac_CNG_berekening_WTW*(gem_verbr_CNG_E/100)*$E30*J30)</f>
        <v>0</v>
      </c>
      <c r="BY30" s="888">
        <f>IF($G30=0,0,(BX30*looptijd)/($E30*$G30*looptijd))</f>
        <v>0</v>
      </c>
      <c r="BZ30" s="889"/>
      <c r="CA30" s="886">
        <f>(Efac_die_TTW*(gem_verbr_die_E/100)*$E30*M30)+(Efac_benz_TTW*(gem_verbr_benz_E/100)*$E30*N30)+(Efac_CNG_berekening_TTW*(gem_verbr_CNG_E/100)*$E30*O30)+(Efac_elek_berekening_TTW*(gem_verbr_BEV_E/100)*$E30*P30)+(Efac_elek_berekening_TTW*(gem_verbr_FCEV_E_Elek/100)*(100%-_verh_H2_accu_E)*Q30)+(Efac_H2_berekening_TTW*(gem_verbr_FCEV_E_H2/100)*(_verh_H2_accu_E)*Q30)</f>
        <v>0</v>
      </c>
      <c r="CB30" s="887">
        <f>(Efac_die_WTW*(gem_verbr_die_E/100)*$E30*M30)+(Efac_benz_WTW*(gem_verbr_benz_E/100)*$E30*N30)+(Efac_CNG_berekening_WTW*(gem_verbr_CNG_E/100)*$E30*O30)+(Efac_elek_berekening_WTW*(gem_verbr_BEV_E/100)*$E30*P30)+(Efac_elek_berekening_WTW*(gem_verbr_FCEV_E_Elek/100)*(100%-_verh_H2_accu_E)*Q30)+(Efac_H2_berekening_WTW*(gem_verbr_FCEV_E_H2/100)*(_verh_H2_accu_E)*Q30)</f>
        <v>0</v>
      </c>
      <c r="CC30" s="888">
        <f>IF($L30=0,0,(CB30*looptijd)/($L30*$E30*looptijd))</f>
        <v>0</v>
      </c>
    </row>
    <row r="31" spans="1:81" ht="16" customHeight="1">
      <c r="A31" s="891">
        <v>25</v>
      </c>
      <c r="B31" s="867" t="s">
        <v>21</v>
      </c>
      <c r="C31" s="868" t="s">
        <v>1695</v>
      </c>
      <c r="D31" s="868"/>
      <c r="E31" s="872">
        <v>75000</v>
      </c>
      <c r="F31" s="873"/>
      <c r="G31" s="870">
        <f t="shared" si="0"/>
        <v>0</v>
      </c>
      <c r="H31" s="868">
        <v>0</v>
      </c>
      <c r="I31" s="868">
        <v>0</v>
      </c>
      <c r="J31" s="872">
        <v>0</v>
      </c>
      <c r="K31" s="873"/>
      <c r="L31" s="870">
        <f t="shared" si="1"/>
        <v>0</v>
      </c>
      <c r="M31" s="868">
        <v>0</v>
      </c>
      <c r="N31" s="868">
        <v>0</v>
      </c>
      <c r="O31" s="868">
        <v>0</v>
      </c>
      <c r="P31" s="868">
        <v>0</v>
      </c>
      <c r="Q31" s="872">
        <v>0</v>
      </c>
      <c r="S31" s="875">
        <f>(L31*E31*looptijd)</f>
        <v>0</v>
      </c>
      <c r="U31" s="876">
        <f>(Netto_cat_die_E*H31)+(Netto_cat_benz_E*I31)+(Netto_cat_die_E*J31)</f>
        <v>0</v>
      </c>
      <c r="V31" s="877">
        <f>IF($G31=0,0,U31/($E31*$G31*looptijd))</f>
        <v>0</v>
      </c>
      <c r="W31" s="878">
        <f>IF(BPM_belasting="ja",(BPM_die_E*H31)+(BPM_benz_E*I31)+(BPM_CNG_E*J31),0)</f>
        <v>0</v>
      </c>
      <c r="X31" s="877">
        <f>IF($G31=0,0,W31/($E31*looptijd*$G31))</f>
        <v>0</v>
      </c>
      <c r="Y31" s="879">
        <f>BTW*U31</f>
        <v>0</v>
      </c>
      <c r="Z31" s="879">
        <f>SUM(U31:Y31)</f>
        <v>0</v>
      </c>
      <c r="AA31" s="879">
        <f>IF(BTW_verrekening="ja",((U31+W31-AW31))/2*Rente_financiering,((U31+W31+Y31-AW31)/2)*Rente_financiering)</f>
        <v>0</v>
      </c>
      <c r="AB31" s="880">
        <f>IF(G31=0,0,AA31*looptijd/($E31*looptijd*$G31))</f>
        <v>0</v>
      </c>
      <c r="AD31" s="876">
        <f>(Netto_cat_die_E*M31)+(Netto_cat_benz_E*N31)+(Netto_cat_CNG_E*O31)+(Netto_cat_BEV_E*P31)+(Netto_cat_FCEV_E*Q31)</f>
        <v>0</v>
      </c>
      <c r="AE31" s="877">
        <f>IF($L31=0,0,AD31/($E31*$L31*looptijd))</f>
        <v>0</v>
      </c>
      <c r="AF31" s="878">
        <f>IF(BPM_belasting="ja",(BPM_benz_A*N31)+(BPM_CNG_A*O31)+(P31*BPM_BEV)+(Q31*BPM_FCEV),0)</f>
        <v>0</v>
      </c>
      <c r="AG31" s="878">
        <f>IF($L31=0,0,AF31/($E31*looptijd*$L31))</f>
        <v>0</v>
      </c>
      <c r="AH31" s="878">
        <f>BTW*AD31</f>
        <v>0</v>
      </c>
      <c r="AI31" s="878">
        <f>SUM(AD31:AH31)</f>
        <v>0</v>
      </c>
      <c r="AJ31" s="878">
        <f>IF('2. Invoer parameters'!$C$10="ja",MIA_BEV_E*P31,0)</f>
        <v>0</v>
      </c>
      <c r="AK31" s="882">
        <f>IF($L31=0,0,AJ31/($E31*looptijd*$L31))</f>
        <v>0</v>
      </c>
      <c r="AL31" s="881">
        <f>IF(BPM_belasting="nee",(((AD31-AJ31)-BK31)/2)*Rente_financiering,(((AD31-AJ31+AF31)-BL31)/2)*Rente_financiering)</f>
        <v>0</v>
      </c>
      <c r="AM31" s="880">
        <f>IF($L31=0,0,AL31*looptijd/($E31*looptijd*$L31))</f>
        <v>0</v>
      </c>
      <c r="AO31" s="876">
        <f>(H31*verz_die_E)+(I31*verz_benz_E)+(J31*verz_CNG_E)</f>
        <v>0</v>
      </c>
      <c r="AP31" s="877">
        <f>IF($G31=0,0,(AO31*12*looptijd)/($E31*looptijd*$G31))</f>
        <v>0</v>
      </c>
      <c r="AQ31" s="878">
        <f>(input_MRB_die_E*$H31)+(input_MRB_benz_E*$I31)+(input_MRB_CNG_E*J31)</f>
        <v>0</v>
      </c>
      <c r="AR31" s="877">
        <f>IF($G31=0,0,AQ31/($E31*looptijd*$G31))</f>
        <v>0</v>
      </c>
      <c r="AS31" s="878">
        <f>($E31*H31*(gem_verbr_die_E/100)*prijs_die)+($E31*I31*(gem_verbr_benz_E/100)*prijs_benz)+($E31*J31*(gem_verbr_CNG_E/100)*prijs_CNG)</f>
        <v>0</v>
      </c>
      <c r="AT31" s="877">
        <f>IF($G31=0,0,(AS31*looptijd)/(looptijd*$E31*$G31))</f>
        <v>0</v>
      </c>
      <c r="AU31" s="878">
        <f>($E31*H31*Onderh_die_E_hoog_km)+($E31*I31*Onderh_benz_E_hoog_km)+($E31*J31*Onderh_CNG_E_hoog_km)</f>
        <v>0</v>
      </c>
      <c r="AV31" s="877">
        <f>IF($G31=0,0,(AU31*looptijd)/(looptijd*$E31*$G31))</f>
        <v>0</v>
      </c>
      <c r="AW31" s="878">
        <f>Rest_perc*SUM(U31:W31)</f>
        <v>0</v>
      </c>
      <c r="AX31" s="881">
        <f>Rest_perc*SUM(U31:Y31)</f>
        <v>0</v>
      </c>
      <c r="AY31" s="878">
        <f>IF(BTW_verrekening="Ja",((U31+W31)-AW31)/(looptijd*12),((U31+W31+Y31)-AX31)/(looptijd*12))</f>
        <v>0</v>
      </c>
      <c r="AZ31" s="877">
        <f>IF($G31=0,0,(AY31*12*looptijd)/(looptijd*$E31*$G31))</f>
        <v>0</v>
      </c>
      <c r="BA31" s="883">
        <f>(_schadekosten_per_km*E31*G31)/12</f>
        <v>0</v>
      </c>
      <c r="BB31" s="884">
        <f>IF($G31=0,0,(BA31*12*looptijd)/($E31*$G31*looptijd))</f>
        <v>0</v>
      </c>
      <c r="BD31" s="876">
        <f>(M31*verz_die_E)+(N31*verz_benz_E)+(O31*verz_CNG_E)+(P31*verz_BEV_E)+(Q31*verz_FCEV_E)</f>
        <v>0</v>
      </c>
      <c r="BE31" s="877">
        <f>IF($L31=0,0,(BD31*12*looptijd)/($E31*looptijd*$L31))</f>
        <v>0</v>
      </c>
      <c r="BF31" s="878">
        <f>(MRB_die_E*M31)+(MRB_benz_E*N31)+(input_MRB_CNG_E*O31)+(input_MRB_BEV_E*P31)++(input_MRB_FCEV_E*Q31)</f>
        <v>0</v>
      </c>
      <c r="BG31" s="877">
        <f>IF($L31=0,0,BF31/($E31*looptijd*$L31))</f>
        <v>0</v>
      </c>
      <c r="BH31" s="878">
        <f>($E31*M31*(gem_verbr_die_E/100)*prijs_die)+($E31*N31*(gem_verbr_benz_E/100)*prijs_benz)+($E31*O31*(gem_verbr_CNG_E/100)*prijs_CNG)+($E31*P31*(gem_verbr_BEV_E/100)*prijs_elek_berekening)+($E31*Q31*(gem_verbr_FCEV_E_Elek/100)*prijs_elek_berekening*(100%-_verh_H2_accu_E))+($E31*Q31*(gem_verbr_FCEV_E_H2/100)*prijs_H2*(_verh_H2_accu_E))</f>
        <v>0</v>
      </c>
      <c r="BI31" s="877">
        <f>IF($L31=0,0,(BH31*looptijd)/(looptijd*$E31*$L31))</f>
        <v>0</v>
      </c>
      <c r="BJ31" s="885"/>
      <c r="BK31" s="878">
        <f>Rest_perc_ZE*(AD31+AF31)</f>
        <v>0</v>
      </c>
      <c r="BL31" s="878">
        <f>Rest_perc_ZE*(AD31+AF31+AH31)</f>
        <v>0</v>
      </c>
      <c r="BM31" s="885"/>
      <c r="BN31" s="878">
        <f>($E31*M31*Onderh_die_E_hoog_km)+($E31*N31*Onderh_benz_E_hoog_km)+($E31*O31*Onderh_CNG_E_hoog_km)+($E31*P31*Onderh_BEV_E_hoog_km)+($E31*Q31*Onderh_FCEV_E_hoog_km)</f>
        <v>0</v>
      </c>
      <c r="BO31" s="877">
        <f>IF($L31=0,0,(BN31*looptijd)/(looptijd*$E31*$L31))</f>
        <v>0</v>
      </c>
      <c r="BP31" s="878"/>
      <c r="BQ31" s="878">
        <f t="shared" si="2"/>
        <v>0</v>
      </c>
      <c r="BR31" s="877">
        <f>IF($G31=0,0,(BQ31*12*looptijd)/(looptijd*$E31*$G31))</f>
        <v>0</v>
      </c>
      <c r="BS31" s="885"/>
      <c r="BT31" s="883">
        <f>(_schadekosten_per_km*E31*L31)/12</f>
        <v>0</v>
      </c>
      <c r="BU31" s="884">
        <f>IF($L31=0,0,(BT31*12*looptijd)/($E31*$L31*looptijd))</f>
        <v>0</v>
      </c>
      <c r="BV31" s="881"/>
      <c r="BW31" s="886">
        <f>(Efac_die_TTW*(gem_verbr_die_E/100)*$E31*H31)+(Efac_benz_TTW*(gem_verbr_benz_E/100)*$E31*I31)+(Efac_CNG_berekening_TTW*(gem_verbr_CNG_E/100)*$E31*J31)</f>
        <v>0</v>
      </c>
      <c r="BX31" s="887">
        <f>(Efac_die_WTW*(gem_verbr_die_E/100)*$E31*H31)+(Efac_benz_WTW*(gem_verbr_benz_E/100)*$E31*I31)+(Efac_CNG_berekening_WTW*(gem_verbr_CNG_E/100)*$E31*J31)</f>
        <v>0</v>
      </c>
      <c r="BY31" s="888">
        <f>IF($G31=0,0,(BX31*looptijd)/($E31*$G31*looptijd))</f>
        <v>0</v>
      </c>
      <c r="BZ31" s="889"/>
      <c r="CA31" s="886">
        <f>(Efac_die_TTW*(gem_verbr_die_E/100)*$E31*M31)+(Efac_benz_TTW*(gem_verbr_benz_E/100)*$E31*N31)+(Efac_CNG_berekening_TTW*(gem_verbr_CNG_E/100)*$E31*O31)+(Efac_elek_berekening_TTW*(gem_verbr_BEV_E/100)*$E31*P31)+(Efac_elek_berekening_TTW*(gem_verbr_FCEV_E_Elek/100)*(100%-_verh_H2_accu_E)*Q31)+(Efac_H2_berekening_TTW*(gem_verbr_FCEV_E_H2/100)*(_verh_H2_accu_E)*Q31)</f>
        <v>0</v>
      </c>
      <c r="CB31" s="887">
        <f>(Efac_die_WTW*(gem_verbr_die_E/100)*$E31*M31)+(Efac_benz_WTW*(gem_verbr_benz_E/100)*$E31*N31)+(Efac_CNG_berekening_WTW*(gem_verbr_CNG_E/100)*$E31*O31)+(Efac_elek_berekening_WTW*(gem_verbr_BEV_E/100)*$E31*P31)+(Efac_elek_berekening_WTW*(gem_verbr_FCEV_E_Elek/100)*(100%-_verh_H2_accu_E)*Q31)+(Efac_H2_berekening_WTW*(gem_verbr_FCEV_E_H2/100)*(_verh_H2_accu_E)*Q31)</f>
        <v>0</v>
      </c>
      <c r="CC31" s="888">
        <f>IF($L31=0,0,(CB31*looptijd)/($L31*$E31*looptijd))</f>
        <v>0</v>
      </c>
    </row>
    <row r="32" spans="1:81" ht="16" customHeight="1">
      <c r="A32" s="891"/>
      <c r="B32" s="867"/>
      <c r="C32" s="868"/>
      <c r="D32" s="868"/>
      <c r="E32" s="872"/>
      <c r="F32" s="873"/>
      <c r="G32" s="870"/>
      <c r="H32" s="868"/>
      <c r="I32" s="868"/>
      <c r="J32" s="872"/>
      <c r="K32" s="873"/>
      <c r="L32" s="870"/>
      <c r="M32" s="868"/>
      <c r="N32" s="868"/>
      <c r="O32" s="868"/>
      <c r="P32" s="868"/>
      <c r="Q32" s="872"/>
      <c r="S32" s="875"/>
      <c r="U32" s="867"/>
      <c r="V32" s="877"/>
      <c r="W32" s="889"/>
      <c r="X32" s="877"/>
      <c r="Y32" s="879"/>
      <c r="Z32" s="879"/>
      <c r="AA32" s="879"/>
      <c r="AB32" s="880"/>
      <c r="AD32" s="867"/>
      <c r="AE32" s="877"/>
      <c r="AF32" s="878"/>
      <c r="AG32" s="878"/>
      <c r="AH32" s="878"/>
      <c r="AI32" s="878"/>
      <c r="AJ32" s="878"/>
      <c r="AK32" s="882"/>
      <c r="AL32" s="881"/>
      <c r="AM32" s="880"/>
      <c r="AO32" s="867"/>
      <c r="AP32" s="877"/>
      <c r="AQ32" s="889"/>
      <c r="AR32" s="877"/>
      <c r="AS32" s="889"/>
      <c r="AT32" s="877"/>
      <c r="AU32" s="889"/>
      <c r="AV32" s="877"/>
      <c r="AW32" s="878"/>
      <c r="AX32" s="881"/>
      <c r="AY32" s="878"/>
      <c r="AZ32" s="877"/>
      <c r="BA32" s="883"/>
      <c r="BB32" s="884"/>
      <c r="BD32" s="876"/>
      <c r="BE32" s="877"/>
      <c r="BF32" s="889"/>
      <c r="BG32" s="877"/>
      <c r="BH32" s="889"/>
      <c r="BI32" s="877"/>
      <c r="BJ32" s="892"/>
      <c r="BK32" s="878"/>
      <c r="BL32" s="878"/>
      <c r="BM32" s="885"/>
      <c r="BN32" s="889"/>
      <c r="BO32" s="877"/>
      <c r="BP32" s="889"/>
      <c r="BQ32" s="878"/>
      <c r="BR32" s="877"/>
      <c r="BS32" s="885"/>
      <c r="BT32" s="883"/>
      <c r="BU32" s="884"/>
      <c r="BV32" s="881"/>
      <c r="BW32" s="867"/>
      <c r="BX32" s="889"/>
      <c r="BY32" s="888"/>
      <c r="BZ32" s="889"/>
      <c r="CA32" s="886"/>
      <c r="CB32" s="889"/>
      <c r="CC32" s="888"/>
    </row>
    <row r="33" spans="1:81" ht="16" customHeight="1">
      <c r="A33" s="891">
        <v>26</v>
      </c>
      <c r="B33" s="867" t="s">
        <v>25</v>
      </c>
      <c r="C33" s="868" t="s">
        <v>748</v>
      </c>
      <c r="D33" s="868"/>
      <c r="E33" s="869">
        <f>$E$3</f>
        <v>10000</v>
      </c>
      <c r="G33" s="870">
        <f t="shared" si="0"/>
        <v>0</v>
      </c>
      <c r="H33" s="868">
        <f t="array" ref="H33:H37">TRANSPOSE('1a. Invoer - BESTAAND'!J9:N9)</f>
        <v>0</v>
      </c>
      <c r="I33" s="868">
        <f t="array" ref="I33:I37">TRANSPOSE('1a. Invoer - BESTAAND'!E9:I9)</f>
        <v>0</v>
      </c>
      <c r="J33" s="872">
        <f t="array" ref="J33:J37">TRANSPOSE('1a. Invoer - BESTAAND'!E38:I38
)</f>
        <v>0</v>
      </c>
      <c r="K33" s="873"/>
      <c r="L33" s="870">
        <f t="shared" si="1"/>
        <v>0</v>
      </c>
      <c r="M33" s="868">
        <v>0</v>
      </c>
      <c r="N33" s="868">
        <v>0</v>
      </c>
      <c r="O33" s="868">
        <v>0</v>
      </c>
      <c r="P33" s="868">
        <f t="array" ref="P33:P37">TRANSPOSE('1b. Invoer - NIEUW'!E11:I11)</f>
        <v>0</v>
      </c>
      <c r="Q33" s="874">
        <v>0</v>
      </c>
      <c r="S33" s="875">
        <f>(L33*E33*looptijd)</f>
        <v>0</v>
      </c>
      <c r="U33" s="876">
        <f>(Netto_cat_die_F*H33)+(Netto_cat_benz_F*I33)+(Netto_cat_CNG_F*J33)</f>
        <v>0</v>
      </c>
      <c r="V33" s="877">
        <f>IF($G33=0,0,U33/($E33*$G33*looptijd))</f>
        <v>0</v>
      </c>
      <c r="W33" s="878">
        <f>IF(BPM_belasting="ja",(BPM_die_F*H33)+(BPM_benz_F*I33)+(BPM_CNG_F*J33),0)</f>
        <v>0</v>
      </c>
      <c r="X33" s="877">
        <f>IF($G33=0,0,W33/($E33*looptijd*$G33))</f>
        <v>0</v>
      </c>
      <c r="Y33" s="879">
        <f t="shared" ref="Y33:Y37" si="3">BTW*U33</f>
        <v>0</v>
      </c>
      <c r="Z33" s="879">
        <f>SUM(U33:Y33)</f>
        <v>0</v>
      </c>
      <c r="AA33" s="879">
        <f>IF(BTW_verrekening="ja",((U33+W33-AW33))/2*Rente_financiering,((U33+W33+Y33-AW33)/2)*Rente_financiering)</f>
        <v>0</v>
      </c>
      <c r="AB33" s="880">
        <f>IF(G33=0,0,AA33*looptijd/($E33*looptijd*$G33))</f>
        <v>0</v>
      </c>
      <c r="AD33" s="876">
        <f>(Netto_cat_die_F*M33)+(Netto_cat_benz_F*N33)+(Netto_cat_CNG_F*O33)+(Netto_cat_BEV_F*P33)+(Netto_cat_BEV_F*Q33)</f>
        <v>0</v>
      </c>
      <c r="AE33" s="877">
        <f>IF($L33=0,0,AD33/($E33*$L33*looptijd))</f>
        <v>0</v>
      </c>
      <c r="AF33" s="878">
        <f>IF(BPM_belasting="ja",(BPM_benz_A*N33)+(BPM_CNG_A*O33)+(P33*BPM_BEV)+(Q33*BPM_FCEV),0)</f>
        <v>0</v>
      </c>
      <c r="AG33" s="878">
        <f>IF($L33=0,0,AF33/($E33*looptijd*$L33))</f>
        <v>0</v>
      </c>
      <c r="AH33" s="878">
        <f>BTW*AD33</f>
        <v>0</v>
      </c>
      <c r="AI33" s="878">
        <f>SUM(AD33:AH33)</f>
        <v>0</v>
      </c>
      <c r="AJ33" s="878">
        <f>IF('2. Invoer parameters'!$C$10="ja",MIA_BEV_F*P33,0)</f>
        <v>0</v>
      </c>
      <c r="AK33" s="882">
        <f>IF($L33=0,0,AJ33/($E33*looptijd*$L33))</f>
        <v>0</v>
      </c>
      <c r="AL33" s="881">
        <f>IF(BPM_belasting="nee",(((AD33-AJ33)-BK33)/2)*Rente_financiering,(((AD33-AJ33+AF33)-BL33)/2)*Rente_financiering)</f>
        <v>0</v>
      </c>
      <c r="AM33" s="880">
        <f>IF($L33=0,0,AL33*looptijd/($E33*looptijd*$L33))</f>
        <v>0</v>
      </c>
      <c r="AO33" s="876">
        <f>(H33*verz_die_F)+(I33*verz_benz_F)+(J33*verz_CNG_F)</f>
        <v>0</v>
      </c>
      <c r="AP33" s="877">
        <f>IF($G33=0,0,(AO33*12*looptijd)/($E33*looptijd*$G33))</f>
        <v>0</v>
      </c>
      <c r="AQ33" s="878">
        <f>(input_MRB_die_F*$H33)+(input_MRB_benz_F*$I33)+(input_MRB_CNG_F*J33)</f>
        <v>0</v>
      </c>
      <c r="AR33" s="877">
        <f>IF($G33=0,0,AQ33/($E33*looptijd*$G33))</f>
        <v>0</v>
      </c>
      <c r="AS33" s="878">
        <f>($E33*H33*(gem_verbr_die_F/100)*prijs_die)+($E33*I33*(gem_verbr_benz_F/100)*prijs_benz)+($E33*J33*(gem_verbr_CNG_F/100)*prijs_CNG)</f>
        <v>0</v>
      </c>
      <c r="AT33" s="877">
        <f>IF($G33=0,0,(AS33*looptijd)/(looptijd*$E33*$G33))</f>
        <v>0</v>
      </c>
      <c r="AU33" s="878">
        <f>($E33*H33*Onderh_die_F)+($E33*I33*Onderh_benz_F)+($E33*J33*Onderh_CNG_F)</f>
        <v>0</v>
      </c>
      <c r="AV33" s="877">
        <f>IF($G33=0,0,(AU33*looptijd)/(looptijd*$E33*$G33))</f>
        <v>0</v>
      </c>
      <c r="AW33" s="878">
        <f>Rest_perc*SUM(U33:W33)</f>
        <v>0</v>
      </c>
      <c r="AX33" s="881">
        <f>Rest_perc*SUM(U33:Y33)</f>
        <v>0</v>
      </c>
      <c r="AY33" s="878">
        <f>IF(BTW_verrekening="Ja",((U33+W33)-AW33)/(looptijd*12),((U33+W33+Y33)-AX33)/(looptijd*12))</f>
        <v>0</v>
      </c>
      <c r="AZ33" s="877">
        <f>IF($G33=0,0,(AY33*12*looptijd)/(looptijd*$E33*$G33))</f>
        <v>0</v>
      </c>
      <c r="BA33" s="883">
        <f>(_schadekosten_per_km*E33*G33)/12</f>
        <v>0</v>
      </c>
      <c r="BB33" s="884">
        <f>IF($G33=0,0,(BA33*12*looptijd)/($E33*$G33*looptijd))</f>
        <v>0</v>
      </c>
      <c r="BD33" s="876">
        <f>(M33*verz_die_F)+(N33*verz_benz_F)+(O33*verz_CNG_F)+(P33*verz_BEV_F)+(Q33*verz_FCEV_F)</f>
        <v>0</v>
      </c>
      <c r="BE33" s="877">
        <f>IF($L33=0,0,(BD33*12*looptijd)/($E33*looptijd*$L33))</f>
        <v>0</v>
      </c>
      <c r="BF33" s="878">
        <f>(MRB_die_F*M33)+(MRB_benz_F*N33)+(input_MRB_CNG_F*O33)+(input_MRB_BEV_F*P33)+(input_MRB_FCEV_F*Q33)</f>
        <v>0</v>
      </c>
      <c r="BG33" s="877">
        <f>IF($L33=0,0,BF33/($E33*looptijd*$L33))</f>
        <v>0</v>
      </c>
      <c r="BH33" s="878">
        <f>($E33*M33*(gem_verbr_die_F/100)*prijs_die)+($E33*N33*(gem_verbr_benz_F/100)*prijs_benz)+($E33*O33*(verbr_CNG_F/100)*prijs_CNG)+($E33*P33*(gem_verbr_BEV_F/100)*prijs_elek_berekening)+($E33*Q33*(gem_verbr_FCEV_F_Elek/100)*prijs_elek_berekening*(100%-_verh_H2_accu_F))+($E33*Q33*(gem_verbr_FCEV_F_H2/100)*prijs_H2*(_verh_H2_accu_F))</f>
        <v>0</v>
      </c>
      <c r="BI33" s="877">
        <f>IF($L33=0,0,(BH33*looptijd)/(looptijd*$E33*$L33))</f>
        <v>0</v>
      </c>
      <c r="BJ33" s="885"/>
      <c r="BK33" s="878">
        <f>Rest_perc_ZE*(AD33+AF33)</f>
        <v>0</v>
      </c>
      <c r="BL33" s="878">
        <f>Rest_perc_ZE*(AD33+AF33+AH33)</f>
        <v>0</v>
      </c>
      <c r="BM33" s="885"/>
      <c r="BN33" s="878">
        <f>($E33*M33*Onderh_die_F)+($E33*N33*Onderh_benz_F)+($E33*O33*Onderh_CNG_F)+($E33*P33*Onderh_BEV_F)+($E33*Q33*Onderh_FCEV_F)</f>
        <v>0</v>
      </c>
      <c r="BO33" s="877">
        <f>IF($L33=0,0,(BN33*looptijd)/(looptijd*$E33*$L33))</f>
        <v>0</v>
      </c>
      <c r="BP33" s="878"/>
      <c r="BQ33" s="878">
        <f t="shared" si="2"/>
        <v>0</v>
      </c>
      <c r="BR33" s="877">
        <f>IF($G33=0,0,(BQ33*12*looptijd)/(looptijd*$E33*$G33))</f>
        <v>0</v>
      </c>
      <c r="BS33" s="885"/>
      <c r="BT33" s="883">
        <f>(_schadekosten_per_km*E33*L33)/12</f>
        <v>0</v>
      </c>
      <c r="BU33" s="884">
        <f>IF($L33=0,0,(BT33*12*looptijd)/($E33*$L33*looptijd))</f>
        <v>0</v>
      </c>
      <c r="BV33" s="881"/>
      <c r="BW33" s="886">
        <f>(Efac_die_TTW*(gem_verbr_die_F/100)*$E33*H33)+(Efac_benz_TTW*(gem_verbr_benz_F/100)*$E33*I33)+(Efac_CNG_berekening_TTW*(gem_verbr_CNG_F/100)*$E33*J33)</f>
        <v>0</v>
      </c>
      <c r="BX33" s="887">
        <f>(Efac_die_WTW*(gem_verbr_die_F/100)*$E33*H33)+(Efac_benz_WTW*(gem_verbr_benz_F/100)*$E33*I33)+(Efac_CNG_berekening_WTW*(gem_verbr_CNG_F/100)*$E33*J33)</f>
        <v>0</v>
      </c>
      <c r="BY33" s="888">
        <f>IF($G33=0,0,(BX33*looptijd)/($E33*$G33*looptijd))</f>
        <v>0</v>
      </c>
      <c r="BZ33" s="889"/>
      <c r="CA33" s="886">
        <f>(Efac_die_TTW*(gem_verbr_die_F/100)*$E33*M33)+(Efac_benz_TTW*(gem_verbr_benz_F/100)*$E33*N33)+(Efac_CNG_berekening_TTW*(gem_verbr_CNG_F/100)*$E33*O33)+(Efac_elek_berekening_TTW*(gem_verbr_BEV_F/100)*$E33*P33)+(Efac_elek_berekening_TTW*(gem_verbr_FCEV_F_Elek/100)*(100%-_verh_H2_accu_F)*Q33)+(Efac_H2_berekening_TTW*(gem_verbr_FCEV_F_H2/100)*(_verh_H2_accu_F)*Q33)</f>
        <v>0</v>
      </c>
      <c r="CB33" s="887">
        <f>(Efac_die_WTW*(gem_verbr_die_F/100)*$E33*M33)+(Efac_benz_WTW*(gem_verbr_benz_F/100)*$E33*N33)+(Efac_CNG_berekening_WTW*(gem_verbr_CNG_F/100)*$E33*O33)+(Efac_elek_berekening_WTW*(gem_verbr_BEV_F/100)*$E33*P33)+(Efac_elek_berekening_WTW*(gem_verbr_FCEV_F_Elek/100)*(100%-_verh_H2_accu_F)*Q33)+(Efac_H2_berekening_WTW*(gem_verbr_FCEV_F_H2/100)*(_verh_H2_accu_F)*Q33)</f>
        <v>0</v>
      </c>
      <c r="CC33" s="888">
        <f>IF($L33=0,0,(CB33*looptijd)/($L33*$E33*looptijd))</f>
        <v>0</v>
      </c>
    </row>
    <row r="34" spans="1:81" ht="16" customHeight="1">
      <c r="A34" s="891">
        <v>27</v>
      </c>
      <c r="B34" s="867" t="s">
        <v>25</v>
      </c>
      <c r="C34" s="868" t="s">
        <v>749</v>
      </c>
      <c r="D34" s="868"/>
      <c r="E34" s="869">
        <f>$E$4</f>
        <v>15000</v>
      </c>
      <c r="G34" s="870">
        <f t="shared" si="0"/>
        <v>0</v>
      </c>
      <c r="H34" s="868">
        <v>0</v>
      </c>
      <c r="I34" s="868">
        <v>0</v>
      </c>
      <c r="J34" s="872">
        <v>0</v>
      </c>
      <c r="K34" s="873"/>
      <c r="L34" s="870">
        <f t="shared" si="1"/>
        <v>0</v>
      </c>
      <c r="M34" s="868">
        <v>0</v>
      </c>
      <c r="N34" s="868">
        <v>0</v>
      </c>
      <c r="O34" s="868">
        <v>0</v>
      </c>
      <c r="P34" s="868">
        <v>0</v>
      </c>
      <c r="Q34" s="874">
        <v>0</v>
      </c>
      <c r="S34" s="875">
        <f>(L34*E34*looptijd)</f>
        <v>0</v>
      </c>
      <c r="U34" s="876">
        <f>(Netto_cat_die_F*H34)+(Netto_cat_benz_F*I34)+(Netto_cat_CNG_F*J34)</f>
        <v>0</v>
      </c>
      <c r="V34" s="877">
        <f>IF($G34=0,0,U34/($E34*$G34*looptijd))</f>
        <v>0</v>
      </c>
      <c r="W34" s="878">
        <f>IF(BPM_belasting="ja",(BPM_die_F*H34)+(BPM_benz_F*I34)+(BPM_CNG_F*J34),0)</f>
        <v>0</v>
      </c>
      <c r="X34" s="877">
        <f>IF($G34=0,0,W34/($E34*looptijd*$G34))</f>
        <v>0</v>
      </c>
      <c r="Y34" s="879">
        <f t="shared" si="3"/>
        <v>0</v>
      </c>
      <c r="Z34" s="879">
        <f>SUM(U34:Y34)</f>
        <v>0</v>
      </c>
      <c r="AA34" s="879">
        <f>IF(BTW_verrekening="ja",((U34+W34-AW34))/2*Rente_financiering,((U34+W34+Y34-AW34)/2)*Rente_financiering)</f>
        <v>0</v>
      </c>
      <c r="AB34" s="880">
        <f>IF(G34=0,0,AA34*looptijd/($E34*looptijd*$G34))</f>
        <v>0</v>
      </c>
      <c r="AD34" s="876">
        <f>(Netto_cat_die_F*M34)+(Netto_cat_benz_F*N34)+(Netto_cat_CNG_F*O34)+(Netto_cat_BEV_F*P34)+(Netto_cat_BEV_F*Q34)</f>
        <v>0</v>
      </c>
      <c r="AE34" s="877">
        <f>IF($L34=0,0,AD34/($E34*$L34*looptijd))</f>
        <v>0</v>
      </c>
      <c r="AF34" s="878">
        <f>IF(BPM_belasting="ja",(BPM_benz_A*N34)+(BPM_CNG_A*O34)+(P34*BPM_BEV)+(Q34*BPM_FCEV),0)</f>
        <v>0</v>
      </c>
      <c r="AG34" s="878">
        <f>IF($L34=0,0,AF34/($E34*looptijd*$L34))</f>
        <v>0</v>
      </c>
      <c r="AH34" s="878">
        <f>BTW*AD34</f>
        <v>0</v>
      </c>
      <c r="AI34" s="878">
        <f>SUM(AD34:AH34)</f>
        <v>0</v>
      </c>
      <c r="AJ34" s="878">
        <f>IF('2. Invoer parameters'!$C$10="ja",MIA_BEV_F*P34,0)</f>
        <v>0</v>
      </c>
      <c r="AK34" s="882">
        <f>IF($L34=0,0,AJ34/($E34*looptijd*$L34))</f>
        <v>0</v>
      </c>
      <c r="AL34" s="881">
        <f>IF(BPM_belasting="nee",(((AD34-AJ34)-BK34)/2)*Rente_financiering,(((AD34-AJ34+AF34)-BL34)/2)*Rente_financiering)</f>
        <v>0</v>
      </c>
      <c r="AM34" s="880">
        <f>IF($L34=0,0,AL34*looptijd/($E34*looptijd*$L34))</f>
        <v>0</v>
      </c>
      <c r="AO34" s="876">
        <f>(H34*verz_die_F)+(I34*verz_benz_F)+(J34*verz_CNG_F)</f>
        <v>0</v>
      </c>
      <c r="AP34" s="877">
        <f>IF($G34=0,0,(AO34*12*looptijd)/($E34*looptijd*$G34))</f>
        <v>0</v>
      </c>
      <c r="AQ34" s="878">
        <f>(input_MRB_die_F*$H34)+(input_MRB_benz_F*$I34)+(input_MRB_CNG_F*J34)</f>
        <v>0</v>
      </c>
      <c r="AR34" s="877">
        <f>IF($G34=0,0,AQ34/($E34*looptijd*$G34))</f>
        <v>0</v>
      </c>
      <c r="AS34" s="878">
        <f>($E34*H34*(gem_verbr_die_F/100)*prijs_die)+($E34*I34*(gem_verbr_benz_F/100)*prijs_benz)+($E34*J34*(gem_verbr_CNG_F/100)*prijs_CNG)</f>
        <v>0</v>
      </c>
      <c r="AT34" s="877">
        <f>IF($G34=0,0,(AS34*looptijd)/(looptijd*$E34*$G34))</f>
        <v>0</v>
      </c>
      <c r="AU34" s="878">
        <f>($E34*H34*Onderh_die_F)+($E34*I34*Onderh_benz_F)+($E34*J34*Onderh_CNG_F)</f>
        <v>0</v>
      </c>
      <c r="AV34" s="877">
        <f>IF($G34=0,0,(AU34*looptijd)/(looptijd*$E34*$G34))</f>
        <v>0</v>
      </c>
      <c r="AW34" s="878">
        <f>Rest_perc*SUM(U34:W34)</f>
        <v>0</v>
      </c>
      <c r="AX34" s="881">
        <f>Rest_perc*SUM(U34:Y34)</f>
        <v>0</v>
      </c>
      <c r="AY34" s="878">
        <f>IF(BTW_verrekening="Ja",((U34+W34)-AW34)/(looptijd*12),((U34+W34+Y34)-AX34)/(looptijd*12))</f>
        <v>0</v>
      </c>
      <c r="AZ34" s="877">
        <f>IF($G34=0,0,(AY34*12*looptijd)/(looptijd*$E34*$G34))</f>
        <v>0</v>
      </c>
      <c r="BA34" s="883">
        <f>(_schadekosten_per_km*E34*G34)/12</f>
        <v>0</v>
      </c>
      <c r="BB34" s="884">
        <f>IF($G34=0,0,(BA34*12*looptijd)/($E34*$G34*looptijd))</f>
        <v>0</v>
      </c>
      <c r="BD34" s="876">
        <f>(M34*verz_die_F)+(N34*verz_benz_F)+(O34*verz_CNG_F)+(P34*verz_BEV_F)+(Q34*verz_FCEV_F)</f>
        <v>0</v>
      </c>
      <c r="BE34" s="877">
        <f>IF($L34=0,0,(BD34*12*looptijd)/($E34*looptijd*$L34))</f>
        <v>0</v>
      </c>
      <c r="BF34" s="878">
        <f>(MRB_die_F*M34)+(MRB_benz_F*N34)+(input_MRB_CNG_F*O34)+(input_MRB_BEV_F*P34)+(input_MRB_FCEV_F*Q34)</f>
        <v>0</v>
      </c>
      <c r="BG34" s="877">
        <f>IF($L34=0,0,BF34/($E34*looptijd*$L34))</f>
        <v>0</v>
      </c>
      <c r="BH34" s="878">
        <f>($E34*M34*(gem_verbr_die_F/100)*prijs_die)+($E34*N34*(gem_verbr_benz_F/100)*prijs_benz)+($E34*O34*(verbr_CNG_F/100)*prijs_CNG)+($E34*P34*(gem_verbr_BEV_F/100)*prijs_elek_berekening)+($E34*Q34*(gem_verbr_FCEV_F_Elek/100)*prijs_elek_berekening*(100%-_verh_H2_accu_F))+($E34*Q34*(gem_verbr_FCEV_F_H2/100)*prijs_H2*(_verh_H2_accu_F))</f>
        <v>0</v>
      </c>
      <c r="BI34" s="877">
        <f>IF($L34=0,0,(BH34*looptijd)/(looptijd*$E34*$L34))</f>
        <v>0</v>
      </c>
      <c r="BJ34" s="885"/>
      <c r="BK34" s="878">
        <f>Rest_perc_ZE*(AD34+AF34)</f>
        <v>0</v>
      </c>
      <c r="BL34" s="878">
        <f>Rest_perc_ZE*(AD34+AF34+AH34)</f>
        <v>0</v>
      </c>
      <c r="BM34" s="885"/>
      <c r="BN34" s="878">
        <f>($E34*M34*Onderh_die_F)+($E34*N34*Onderh_benz_F)+($E34*O34*Onderh_CNG_F)+($E34*P34*Onderh_BEV_F)+($E34*Q34*Onderh_FCEV_F)</f>
        <v>0</v>
      </c>
      <c r="BO34" s="877">
        <f>IF($L34=0,0,(BN34*looptijd)/(looptijd*$E34*$L34))</f>
        <v>0</v>
      </c>
      <c r="BP34" s="878"/>
      <c r="BQ34" s="878">
        <f t="shared" si="2"/>
        <v>0</v>
      </c>
      <c r="BR34" s="877">
        <f>IF($G34=0,0,(BQ34*12*looptijd)/(looptijd*$E34*$G34))</f>
        <v>0</v>
      </c>
      <c r="BS34" s="885"/>
      <c r="BT34" s="883">
        <f>(_schadekosten_per_km*E34*L34)/12</f>
        <v>0</v>
      </c>
      <c r="BU34" s="884">
        <f>IF($L34=0,0,(BT34*12*looptijd)/($E34*$L34*looptijd))</f>
        <v>0</v>
      </c>
      <c r="BV34" s="881"/>
      <c r="BW34" s="886">
        <f>(Efac_die_TTW*(gem_verbr_die_F/100)*$E34*H34)+(Efac_benz_TTW*(gem_verbr_benz_F/100)*$E34*I34)+(Efac_CNG_berekening_TTW*(gem_verbr_CNG_F/100)*$E34*J34)</f>
        <v>0</v>
      </c>
      <c r="BX34" s="887">
        <f>(Efac_die_WTW*(gem_verbr_die_F/100)*$E34*H34)+(Efac_benz_WTW*(gem_verbr_benz_F/100)*$E34*I34)+(Efac_CNG_berekening_WTW*(gem_verbr_CNG_F/100)*$E34*J34)</f>
        <v>0</v>
      </c>
      <c r="BY34" s="888">
        <f>IF($G34=0,0,(BX34*looptijd)/($E34*$G34*looptijd))</f>
        <v>0</v>
      </c>
      <c r="BZ34" s="889"/>
      <c r="CA34" s="886">
        <f>(Efac_die_TTW*(gem_verbr_die_F/100)*$E34*M34)+(Efac_benz_TTW*(gem_verbr_benz_F/100)*$E34*N34)+(Efac_CNG_berekening_TTW*(gem_verbr_CNG_F/100)*$E34*O34)+(Efac_elek_berekening_TTW*(gem_verbr_BEV_F/100)*$E34*P34)+(Efac_elek_berekening_TTW*(gem_verbr_FCEV_F_Elek/100)*(100%-_verh_H2_accu_F)*Q34)+(Efac_H2_berekening_TTW*(gem_verbr_FCEV_F_H2/100)*(_verh_H2_accu_F)*Q34)</f>
        <v>0</v>
      </c>
      <c r="CB34" s="887">
        <f>(Efac_die_WTW*(gem_verbr_die_F/100)*$E34*M34)+(Efac_benz_WTW*(gem_verbr_benz_F/100)*$E34*N34)+(Efac_CNG_berekening_WTW*(gem_verbr_CNG_F/100)*$E34*O34)+(Efac_elek_berekening_WTW*(gem_verbr_BEV_F/100)*$E34*P34)+(Efac_elek_berekening_WTW*(gem_verbr_FCEV_F_Elek/100)*(100%-_verh_H2_accu_F)*Q34)+(Efac_H2_berekening_WTW*(gem_verbr_FCEV_F_H2/100)*(_verh_H2_accu_F)*Q34)</f>
        <v>0</v>
      </c>
      <c r="CC34" s="888">
        <f>IF($L34=0,0,(CB34*looptijd)/($L34*$E34*looptijd))</f>
        <v>0</v>
      </c>
    </row>
    <row r="35" spans="1:81">
      <c r="A35" s="891">
        <v>28</v>
      </c>
      <c r="B35" s="867" t="s">
        <v>25</v>
      </c>
      <c r="C35" s="868" t="s">
        <v>750</v>
      </c>
      <c r="D35" s="868"/>
      <c r="E35" s="869">
        <f>$E$5</f>
        <v>25000</v>
      </c>
      <c r="G35" s="870">
        <f t="shared" si="0"/>
        <v>0</v>
      </c>
      <c r="H35" s="868">
        <v>0</v>
      </c>
      <c r="I35" s="868">
        <v>0</v>
      </c>
      <c r="J35" s="872">
        <v>0</v>
      </c>
      <c r="K35" s="873"/>
      <c r="L35" s="870">
        <f t="shared" si="1"/>
        <v>0</v>
      </c>
      <c r="M35" s="868">
        <v>0</v>
      </c>
      <c r="N35" s="868">
        <v>0</v>
      </c>
      <c r="O35" s="868">
        <v>0</v>
      </c>
      <c r="P35" s="868">
        <v>0</v>
      </c>
      <c r="Q35" s="874">
        <v>0</v>
      </c>
      <c r="S35" s="875">
        <f>(L35*E35*looptijd)</f>
        <v>0</v>
      </c>
      <c r="U35" s="876">
        <f>(Netto_cat_die_F*H35)+(Netto_cat_benz_F*I35)+(Netto_cat_CNG_F*J35)</f>
        <v>0</v>
      </c>
      <c r="V35" s="877">
        <f>IF($G35=0,0,U35/($E35*$G35*looptijd))</f>
        <v>0</v>
      </c>
      <c r="W35" s="878">
        <f>IF(BPM_belasting="ja",(BPM_die_F*H35)+(BPM_benz_F*I35)+(BPM_CNG_F*J35),0)</f>
        <v>0</v>
      </c>
      <c r="X35" s="877">
        <f>IF($G35=0,0,W35/($E35*looptijd*$G35))</f>
        <v>0</v>
      </c>
      <c r="Y35" s="879">
        <f t="shared" si="3"/>
        <v>0</v>
      </c>
      <c r="Z35" s="879">
        <f>SUM(U35:Y35)</f>
        <v>0</v>
      </c>
      <c r="AA35" s="879">
        <f>IF(BTW_verrekening="ja",((U35+W35-AW35))/2*Rente_financiering,((U35+W35+Y35-AW35)/2)*Rente_financiering)</f>
        <v>0</v>
      </c>
      <c r="AB35" s="880">
        <f>IF(G35=0,0,AA35*looptijd/($E35*looptijd*$G35))</f>
        <v>0</v>
      </c>
      <c r="AD35" s="876">
        <f>(Netto_cat_die_F*M35)+(Netto_cat_benz_F*N35)+(Netto_cat_CNG_F*O35)+(Netto_cat_BEV_F*P35)+(Netto_cat_BEV_F*Q35)</f>
        <v>0</v>
      </c>
      <c r="AE35" s="877">
        <f>IF($L35=0,0,AD35/($E35*$L35*looptijd))</f>
        <v>0</v>
      </c>
      <c r="AF35" s="878">
        <f>IF(BPM_belasting="ja",(BPM_benz_A*N35)+(BPM_CNG_A*O35)+(P35*BPM_BEV)+(Q35*BPM_FCEV),0)</f>
        <v>0</v>
      </c>
      <c r="AG35" s="878">
        <f>IF($L35=0,0,AF35/($E35*looptijd*$L35))</f>
        <v>0</v>
      </c>
      <c r="AH35" s="878">
        <f>BTW*AD35</f>
        <v>0</v>
      </c>
      <c r="AI35" s="878">
        <f>SUM(AD35:AH35)</f>
        <v>0</v>
      </c>
      <c r="AJ35" s="878">
        <f>IF('2. Invoer parameters'!$C$10="ja",MIA_BEV_F*P35,0)</f>
        <v>0</v>
      </c>
      <c r="AK35" s="882">
        <f>IF($L35=0,0,AJ35/($E35*looptijd*$L35))</f>
        <v>0</v>
      </c>
      <c r="AL35" s="881">
        <f>IF(BPM_belasting="nee",(((AD35-AJ35)-BK35)/2)*Rente_financiering,(((AD35-AJ35+AF35)-BL35)/2)*Rente_financiering)</f>
        <v>0</v>
      </c>
      <c r="AM35" s="880">
        <f>IF($L35=0,0,AL35*looptijd/($E35*looptijd*$L35))</f>
        <v>0</v>
      </c>
      <c r="AO35" s="876">
        <f>(H35*verz_die_F)+(I35*verz_benz_F)+(J35*verz_CNG_F)</f>
        <v>0</v>
      </c>
      <c r="AP35" s="877">
        <f>IF($G35=0,0,(AO35*12*looptijd)/($E35*looptijd*$G35))</f>
        <v>0</v>
      </c>
      <c r="AQ35" s="878">
        <f>(input_MRB_die_F*$H35)+(input_MRB_benz_F*$I35)+(input_MRB_CNG_F*J35)</f>
        <v>0</v>
      </c>
      <c r="AR35" s="877">
        <f>IF($G35=0,0,AQ35/($E35*looptijd*$G35))</f>
        <v>0</v>
      </c>
      <c r="AS35" s="878">
        <f>($E35*H35*(gem_verbr_die_F/100)*prijs_die)+($E35*I35*(gem_verbr_benz_F/100)*prijs_benz)+($E35*J35*(gem_verbr_CNG_F/100)*prijs_CNG)</f>
        <v>0</v>
      </c>
      <c r="AT35" s="877">
        <f>IF($G35=0,0,(AS35*looptijd)/(looptijd*$E35*$G35))</f>
        <v>0</v>
      </c>
      <c r="AU35" s="878">
        <f>($E35*H35*Onderh_die_F)+($E35*I35*Onderh_benz_F)+($E35*J35*Onderh_CNG_F)</f>
        <v>0</v>
      </c>
      <c r="AV35" s="877">
        <f>IF($G35=0,0,(AU35*looptijd)/(looptijd*$E35*$G35))</f>
        <v>0</v>
      </c>
      <c r="AW35" s="878">
        <f>Rest_perc*SUM(U35:W35)</f>
        <v>0</v>
      </c>
      <c r="AX35" s="881">
        <f>Rest_perc*SUM(U35:Y35)</f>
        <v>0</v>
      </c>
      <c r="AY35" s="878">
        <f>IF(BTW_verrekening="Ja",((U35+W35)-AW35)/(looptijd*12),((U35+W35+Y35)-AX35)/(looptijd*12))</f>
        <v>0</v>
      </c>
      <c r="AZ35" s="877">
        <f>IF($G35=0,0,(AY35*12*looptijd)/(looptijd*$E35*$G35))</f>
        <v>0</v>
      </c>
      <c r="BA35" s="883">
        <f>(_schadekosten_per_km*E35*G35)/12</f>
        <v>0</v>
      </c>
      <c r="BB35" s="884">
        <f>IF($G35=0,0,(BA35*12*looptijd)/($E35*$G35*looptijd))</f>
        <v>0</v>
      </c>
      <c r="BD35" s="876">
        <f>(M35*verz_die_F)+(N35*verz_benz_F)+(O35*verz_CNG_F)+(P35*verz_BEV_F)+(Q35*verz_FCEV_F)</f>
        <v>0</v>
      </c>
      <c r="BE35" s="877">
        <f>IF($L35=0,0,(BD35*12*looptijd)/($E35*looptijd*$L35))</f>
        <v>0</v>
      </c>
      <c r="BF35" s="878">
        <f>(MRB_die_F*M35)+(MRB_benz_F*N35)+(input_MRB_CNG_F*O35)+(input_MRB_BEV_F*P35)+(input_MRB_FCEV_F*Q35)</f>
        <v>0</v>
      </c>
      <c r="BG35" s="877">
        <f>IF($L35=0,0,BF35/($E35*looptijd*$L35))</f>
        <v>0</v>
      </c>
      <c r="BH35" s="878">
        <f>($E35*M35*(gem_verbr_die_F/100)*prijs_die)+($E35*N35*(gem_verbr_benz_F/100)*prijs_benz)+($E35*O35*(verbr_CNG_F/100)*prijs_CNG)+($E35*P35*(gem_verbr_BEV_F/100)*prijs_elek_berekening)+($E35*Q35*(gem_verbr_FCEV_F_Elek/100)*prijs_elek_berekening*(100%-_verh_H2_accu_F))+($E35*Q35*(gem_verbr_FCEV_F_H2/100)*prijs_H2*(_verh_H2_accu_F))</f>
        <v>0</v>
      </c>
      <c r="BI35" s="877">
        <f>IF($L35=0,0,(BH35*looptijd)/(looptijd*$E35*$L35))</f>
        <v>0</v>
      </c>
      <c r="BJ35" s="885"/>
      <c r="BK35" s="878">
        <f>Rest_perc_ZE*(AD35+AF35)</f>
        <v>0</v>
      </c>
      <c r="BL35" s="878">
        <f>Rest_perc_ZE*(AD35+AF35+AH35)</f>
        <v>0</v>
      </c>
      <c r="BM35" s="885"/>
      <c r="BN35" s="878">
        <f>($E35*M35*Onderh_die_F)+($E35*N35*Onderh_benz_F)+($E35*O35*Onderh_CNG_F)+($E35*P35*Onderh_BEV_F)+($E35*Q35*Onderh_FCEV_F)</f>
        <v>0</v>
      </c>
      <c r="BO35" s="877">
        <f>IF($L35=0,0,(BN35*looptijd)/(looptijd*$E35*$L35))</f>
        <v>0</v>
      </c>
      <c r="BP35" s="878"/>
      <c r="BQ35" s="878">
        <f t="shared" si="2"/>
        <v>0</v>
      </c>
      <c r="BR35" s="877">
        <f>IF($G35=0,0,(BQ35*12*looptijd)/(looptijd*$E35*$G35))</f>
        <v>0</v>
      </c>
      <c r="BS35" s="885"/>
      <c r="BT35" s="883">
        <f>(_schadekosten_per_km*E35*L35)/12</f>
        <v>0</v>
      </c>
      <c r="BU35" s="884">
        <f>IF($L35=0,0,(BT35*12*looptijd)/($E35*$L35*looptijd))</f>
        <v>0</v>
      </c>
      <c r="BV35" s="881"/>
      <c r="BW35" s="886">
        <f>(Efac_die_TTW*(gem_verbr_die_F/100)*$E35*H35)+(Efac_benz_TTW*(gem_verbr_benz_F/100)*$E35*I35)+(Efac_CNG_berekening_TTW*(gem_verbr_CNG_F/100)*$E35*J35)</f>
        <v>0</v>
      </c>
      <c r="BX35" s="887">
        <f>(Efac_die_WTW*(gem_verbr_die_F/100)*$E35*H35)+(Efac_benz_WTW*(gem_verbr_benz_F/100)*$E35*I35)+(Efac_CNG_berekening_WTW*(gem_verbr_CNG_F/100)*$E35*J35)</f>
        <v>0</v>
      </c>
      <c r="BY35" s="888">
        <f>IF($G35=0,0,(BX35*looptijd)/($E35*$G35*looptijd))</f>
        <v>0</v>
      </c>
      <c r="BZ35" s="889"/>
      <c r="CA35" s="886">
        <f>(Efac_die_TTW*(gem_verbr_die_F/100)*$E35*M35)+(Efac_benz_TTW*(gem_verbr_benz_F/100)*$E35*N35)+(Efac_CNG_berekening_TTW*(gem_verbr_CNG_F/100)*$E35*O35)+(Efac_elek_berekening_TTW*(gem_verbr_BEV_F/100)*$E35*P35)+(Efac_elek_berekening_TTW*(gem_verbr_FCEV_F_Elek/100)*(100%-_verh_H2_accu_F)*Q35)+(Efac_H2_berekening_TTW*(gem_verbr_FCEV_F_H2/100)*(_verh_H2_accu_F)*Q35)</f>
        <v>0</v>
      </c>
      <c r="CB35" s="887">
        <f>(Efac_die_WTW*(gem_verbr_die_F/100)*$E35*M35)+(Efac_benz_WTW*(gem_verbr_benz_F/100)*$E35*N35)+(Efac_CNG_berekening_WTW*(gem_verbr_CNG_F/100)*$E35*O35)+(Efac_elek_berekening_WTW*(gem_verbr_BEV_F/100)*$E35*P35)+(Efac_elek_berekening_WTW*(gem_verbr_FCEV_F_Elek/100)*(100%-_verh_H2_accu_F)*Q35)+(Efac_H2_berekening_WTW*(gem_verbr_FCEV_F_H2/100)*(_verh_H2_accu_F)*Q35)</f>
        <v>0</v>
      </c>
      <c r="CC35" s="888">
        <f>IF($L35=0,0,(CB35*looptijd)/($L35*$E35*looptijd))</f>
        <v>0</v>
      </c>
    </row>
    <row r="36" spans="1:81">
      <c r="A36" s="891">
        <v>29</v>
      </c>
      <c r="B36" s="867" t="s">
        <v>25</v>
      </c>
      <c r="C36" s="868" t="s">
        <v>752</v>
      </c>
      <c r="D36" s="868"/>
      <c r="E36" s="872">
        <v>50000</v>
      </c>
      <c r="F36" s="873"/>
      <c r="G36" s="870">
        <f t="shared" si="0"/>
        <v>0</v>
      </c>
      <c r="H36" s="868">
        <v>0</v>
      </c>
      <c r="I36" s="868">
        <v>0</v>
      </c>
      <c r="J36" s="872">
        <v>0</v>
      </c>
      <c r="K36" s="873"/>
      <c r="L36" s="870">
        <f t="shared" si="1"/>
        <v>0</v>
      </c>
      <c r="M36" s="868">
        <v>0</v>
      </c>
      <c r="N36" s="868">
        <v>0</v>
      </c>
      <c r="O36" s="868">
        <v>0</v>
      </c>
      <c r="P36" s="868">
        <v>0</v>
      </c>
      <c r="Q36" s="874">
        <v>0</v>
      </c>
      <c r="S36" s="875">
        <f>(L36*E36*looptijd)</f>
        <v>0</v>
      </c>
      <c r="U36" s="876">
        <f>(Netto_cat_die_F*H36)+(Netto_cat_benz_F*I36)+(Netto_cat_CNG_F*J36)</f>
        <v>0</v>
      </c>
      <c r="V36" s="877">
        <f>IF($G36=0,0,U36/($E36*$G36*looptijd))</f>
        <v>0</v>
      </c>
      <c r="W36" s="878">
        <f>IF(BPM_belasting="ja",(BPM_die_F*H36)+(BPM_benz_F*I36)+(BPM_CNG_F*J36),0)</f>
        <v>0</v>
      </c>
      <c r="X36" s="877">
        <f>IF($G36=0,0,W36/($E36*looptijd*$G36))</f>
        <v>0</v>
      </c>
      <c r="Y36" s="893">
        <f>BTW*U36</f>
        <v>0</v>
      </c>
      <c r="Z36" s="879">
        <f>SUM(U36:Y36)</f>
        <v>0</v>
      </c>
      <c r="AA36" s="879">
        <f>IF(BTW_verrekening="ja",((U36+W36-AW36))/2*Rente_financiering,((U36+W36+Y36-AW36)/2)*Rente_financiering)</f>
        <v>0</v>
      </c>
      <c r="AB36" s="880">
        <f>IF(G36=0,0,AA36*looptijd/($E36*looptijd*$G36))</f>
        <v>0</v>
      </c>
      <c r="AD36" s="876">
        <f>(Netto_cat_die_F*M36)+(Netto_cat_benz_F*N36)+(Netto_cat_CNG_F*O36)+(Netto_cat_BEV_F*P36)+(Netto_cat_BEV_F*Q36)</f>
        <v>0</v>
      </c>
      <c r="AE36" s="877">
        <f>IF($L36=0,0,AD36/($E36*$L36*looptijd))</f>
        <v>0</v>
      </c>
      <c r="AF36" s="878">
        <f>IF(BPM_belasting="ja",(BPM_benz_A*N36)+(BPM_CNG_A*O36)+(P36*BPM_BEV)+(Q36*BPM_FCEV),0)</f>
        <v>0</v>
      </c>
      <c r="AG36" s="878">
        <f>IF($L36=0,0,AF36/($E36*looptijd*$L36))</f>
        <v>0</v>
      </c>
      <c r="AH36" s="878">
        <f>BTW*AD36</f>
        <v>0</v>
      </c>
      <c r="AI36" s="878">
        <f>SUM(AD36:AH36)</f>
        <v>0</v>
      </c>
      <c r="AJ36" s="878">
        <f>IF('2. Invoer parameters'!$C$10="ja",MIA_BEV_F*P36,0)</f>
        <v>0</v>
      </c>
      <c r="AK36" s="882">
        <f>IF($L36=0,0,AJ36/($E36*looptijd*$L36))</f>
        <v>0</v>
      </c>
      <c r="AL36" s="881">
        <f>IF(BPM_belasting="nee",(((AD36-AJ36)-BK36)/2)*Rente_financiering,(((AD36-AJ36+AF36)-BL36)/2)*Rente_financiering)</f>
        <v>0</v>
      </c>
      <c r="AM36" s="880">
        <f>IF($L36=0,0,AL36*looptijd/($E36*looptijd*$L36))</f>
        <v>0</v>
      </c>
      <c r="AO36" s="876">
        <f>(H36*verz_die_F)+(I36*verz_benz_F)+(J36*verz_CNG_F)</f>
        <v>0</v>
      </c>
      <c r="AP36" s="877">
        <f>IF($G36=0,0,(AO36*12*looptijd)/($E36*looptijd*$G36))</f>
        <v>0</v>
      </c>
      <c r="AQ36" s="878">
        <f>(input_MRB_die_F*$H36)+(input_MRB_benz_F*$I36)+(input_MRB_CNG_F*J36)</f>
        <v>0</v>
      </c>
      <c r="AR36" s="877">
        <f>IF($G36=0,0,AQ36/($E36*looptijd*$G36))</f>
        <v>0</v>
      </c>
      <c r="AS36" s="878">
        <f>($E36*H36*(gem_verbr_die_F/100)*prijs_die)+($E36*I36*(gem_verbr_benz_F/100)*prijs_benz)+($E36*J36*(gem_verbr_CNG_F/100)*prijs_CNG)</f>
        <v>0</v>
      </c>
      <c r="AT36" s="877">
        <f>IF($G36=0,0,(AS36*looptijd)/(looptijd*$E36*$G36))</f>
        <v>0</v>
      </c>
      <c r="AU36" s="878">
        <f>($E36*H36*Onderh_die_F_hoog_km)+($E36*I36*Onderh_benz_F_hoog_km)+($E36*J36*Onderh_CNG_F_hoog_km)</f>
        <v>0</v>
      </c>
      <c r="AV36" s="877">
        <f>IF($G36=0,0,(AU36*looptijd)/(looptijd*$E36*$G36))</f>
        <v>0</v>
      </c>
      <c r="AW36" s="878">
        <f>Rest_perc*SUM(U36:W36)</f>
        <v>0</v>
      </c>
      <c r="AX36" s="881">
        <f>Rest_perc*SUM(U36:Y36)</f>
        <v>0</v>
      </c>
      <c r="AY36" s="878">
        <f>IF(BTW_verrekening="Ja",((U36+W36)-AW36)/(looptijd*12),((U36+W36+Y36)-AX36)/(looptijd*12))</f>
        <v>0</v>
      </c>
      <c r="AZ36" s="877">
        <f>IF($G36=0,0,(AY36*12*looptijd)/(looptijd*$E36*$G36))</f>
        <v>0</v>
      </c>
      <c r="BA36" s="883">
        <f>(_schadekosten_per_km*E36*G36)/12</f>
        <v>0</v>
      </c>
      <c r="BB36" s="884">
        <f>IF($G36=0,0,(BA36*12*looptijd)/($E36*$G36*looptijd))</f>
        <v>0</v>
      </c>
      <c r="BD36" s="876">
        <f>(M36*verz_die_F)+(N36*verz_benz_F)+(O36*verz_CNG_F)+(P36*verz_BEV_F)+(Q36*verz_FCEV_F)</f>
        <v>0</v>
      </c>
      <c r="BE36" s="877">
        <f>IF($L36=0,0,(BD36*12*looptijd)/($E36*looptijd*$L36))</f>
        <v>0</v>
      </c>
      <c r="BF36" s="878">
        <f>(MRB_die_F*M36)+(MRB_benz_F*N36)+(input_MRB_CNG_F*O36)+(input_MRB_BEV_F*P36)+(input_MRB_FCEV_F*Q36)</f>
        <v>0</v>
      </c>
      <c r="BG36" s="877">
        <f>IF($L36=0,0,BF36/($E36*looptijd*$L36))</f>
        <v>0</v>
      </c>
      <c r="BH36" s="878">
        <f>($E36*M36*(gem_verbr_die_F/100)*prijs_die)+($E36*N36*(gem_verbr_benz_F/100)*prijs_benz)+($E36*O36*(verbr_CNG_F/100)*prijs_CNG)+($E36*P36*(gem_verbr_BEV_F/100)*prijs_elek_berekening)+($E36*Q36*(gem_verbr_FCEV_F_Elek/100)*prijs_elek_berekening*(100%-_verh_H2_accu_F))+($E36*Q36*(gem_verbr_FCEV_F_H2/100)*prijs_H2*(_verh_H2_accu_F))</f>
        <v>0</v>
      </c>
      <c r="BI36" s="877">
        <f>IF($L36=0,0,(BH36*looptijd)/(looptijd*$E36*$L36))</f>
        <v>0</v>
      </c>
      <c r="BJ36" s="885"/>
      <c r="BK36" s="878">
        <f>Rest_perc_ZE*(AD36+AF36)</f>
        <v>0</v>
      </c>
      <c r="BL36" s="878">
        <f>Rest_perc_ZE*(AD36+AF36+AH36)</f>
        <v>0</v>
      </c>
      <c r="BM36" s="885"/>
      <c r="BN36" s="878">
        <f>($E36*M36*Onderh_die_F_hoog_km)+($E36*N36*Onderh_benz_F_hoog_km)+($E36*O36*Onderh_CNG_F_hoog_km)+($E36*P36*Onderh_BEV_F_hoog_km)+($E36*Q36*Onderh_FCEV_F_hoog_km)</f>
        <v>0</v>
      </c>
      <c r="BO36" s="877">
        <f>IF($L36=0,0,(BN36*looptijd)/(looptijd*$E36*$L36))</f>
        <v>0</v>
      </c>
      <c r="BP36" s="878"/>
      <c r="BQ36" s="878">
        <f t="shared" si="2"/>
        <v>0</v>
      </c>
      <c r="BR36" s="877">
        <f>IF($G36=0,0,(BQ36*12*looptijd)/(looptijd*$E36*$G36))</f>
        <v>0</v>
      </c>
      <c r="BS36" s="885"/>
      <c r="BT36" s="883">
        <f>(_schadekosten_per_km*E36*L36)/12</f>
        <v>0</v>
      </c>
      <c r="BU36" s="884">
        <f>IF($L36=0,0,(BT36*12*looptijd)/($E36*$L36*looptijd))</f>
        <v>0</v>
      </c>
      <c r="BV36" s="881"/>
      <c r="BW36" s="886">
        <f>(Efac_die_TTW*(gem_verbr_die_F/100)*$E36*H36)+(Efac_benz_TTW*(gem_verbr_benz_F/100)*$E36*I36)+(Efac_CNG_berekening_TTW*(gem_verbr_CNG_F/100)*$E36*J36)</f>
        <v>0</v>
      </c>
      <c r="BX36" s="887">
        <f>(Efac_die_WTW*(gem_verbr_die_F/100)*$E36*H36)+(Efac_benz_WTW*(gem_verbr_benz_F/100)*$E36*I36)+(Efac_CNG_berekening_WTW*(gem_verbr_CNG_F/100)*$E36*J36)</f>
        <v>0</v>
      </c>
      <c r="BY36" s="888">
        <f>IF($G36=0,0,(BX36*looptijd)/($E36*$G36*looptijd))</f>
        <v>0</v>
      </c>
      <c r="BZ36" s="889"/>
      <c r="CA36" s="886">
        <f>(Efac_die_TTW*(gem_verbr_die_F/100)*$E36*M36)+(Efac_benz_TTW*(gem_verbr_benz_F/100)*$E36*N36)+(Efac_CNG_berekening_TTW*(gem_verbr_CNG_F/100)*$E36*O36)+(Efac_elek_berekening_TTW*(gem_verbr_BEV_F/100)*$E36*P36)+(Efac_elek_berekening_TTW*(gem_verbr_FCEV_F_Elek/100)*(100%-_verh_H2_accu_F)*Q36)+(Efac_H2_berekening_TTW*(gem_verbr_FCEV_F_H2/100)*(_verh_H2_accu_F)*Q36)</f>
        <v>0</v>
      </c>
      <c r="CB36" s="887">
        <f>(Efac_die_WTW*(gem_verbr_die_F/100)*$E36*M36)+(Efac_benz_WTW*(gem_verbr_benz_F/100)*$E36*N36)+(Efac_CNG_berekening_WTW*(gem_verbr_CNG_F/100)*$E36*O36)+(Efac_elek_berekening_WTW*(gem_verbr_BEV_F/100)*$E36*P36)+(Efac_elek_berekening_WTW*(gem_verbr_FCEV_F_Elek/100)*(100%-_verh_H2_accu_F)*Q36)+(Efac_H2_berekening_WTW*(gem_verbr_FCEV_F_H2/100)*(_verh_H2_accu_F)*Q36)</f>
        <v>0</v>
      </c>
      <c r="CC36" s="888">
        <f>IF($L36=0,0,(CB36*looptijd)/($L36*$E36*looptijd))</f>
        <v>0</v>
      </c>
    </row>
    <row r="37" spans="1:81">
      <c r="A37" s="891">
        <v>30</v>
      </c>
      <c r="B37" s="867" t="s">
        <v>25</v>
      </c>
      <c r="C37" s="868" t="s">
        <v>1695</v>
      </c>
      <c r="D37" s="868"/>
      <c r="E37" s="872">
        <v>75000</v>
      </c>
      <c r="F37" s="873"/>
      <c r="G37" s="870">
        <f t="shared" si="0"/>
        <v>0</v>
      </c>
      <c r="H37" s="868">
        <v>0</v>
      </c>
      <c r="I37" s="868">
        <v>0</v>
      </c>
      <c r="J37" s="872">
        <v>0</v>
      </c>
      <c r="K37" s="873"/>
      <c r="L37" s="870">
        <f t="shared" si="1"/>
        <v>0</v>
      </c>
      <c r="M37" s="868">
        <v>0</v>
      </c>
      <c r="N37" s="868">
        <v>0</v>
      </c>
      <c r="O37" s="868">
        <v>0</v>
      </c>
      <c r="P37" s="868">
        <v>0</v>
      </c>
      <c r="Q37" s="874">
        <v>0</v>
      </c>
      <c r="S37" s="875">
        <f>(L37*E37*looptijd)</f>
        <v>0</v>
      </c>
      <c r="U37" s="876">
        <f>(Netto_cat_die_F*H37)+(Netto_cat_benz_F*I37)+(Netto_cat_CNG_F*J37)</f>
        <v>0</v>
      </c>
      <c r="V37" s="877">
        <f>IF($G37=0,0,U37/($E37*$G37*looptijd))</f>
        <v>0</v>
      </c>
      <c r="W37" s="878">
        <f>IF(BPM_belasting="ja",(BPM_die_F*H37)+(BPM_benz_F*I37)+(BPM_CNG_F*J37),0)</f>
        <v>0</v>
      </c>
      <c r="X37" s="877">
        <f>IF($G37=0,0,W37/($E37*looptijd*$G37))</f>
        <v>0</v>
      </c>
      <c r="Y37" s="879">
        <f t="shared" si="3"/>
        <v>0</v>
      </c>
      <c r="Z37" s="879">
        <f>SUM(U37:Y37)</f>
        <v>0</v>
      </c>
      <c r="AA37" s="879">
        <f>IF(BTW_verrekening="ja",((U37+W37-AW37))/2*Rente_financiering,((U37+W37+Y37-AW37)/2)*Rente_financiering)</f>
        <v>0</v>
      </c>
      <c r="AB37" s="880">
        <f>IF(G37=0,0,AA37*looptijd/($E37*looptijd*$G37))</f>
        <v>0</v>
      </c>
      <c r="AD37" s="876">
        <f>(Netto_cat_die_F*M37)+(Netto_cat_benz_F*N37)+(Netto_cat_CNG_F*O37)+(Netto_cat_BEV_F*P37)+(Netto_cat_BEV_F*Q37)</f>
        <v>0</v>
      </c>
      <c r="AE37" s="877">
        <f>IF($L37=0,0,AD37/($E37*$L37*looptijd))</f>
        <v>0</v>
      </c>
      <c r="AF37" s="878">
        <f>IF(BPM_belasting="ja",(BPM_benz_A*N37)+(BPM_CNG_A*O37)+(P37*BPM_BEV)+(Q37*BPM_FCEV),0)</f>
        <v>0</v>
      </c>
      <c r="AG37" s="878">
        <f>IF($L37=0,0,AF37/($E37*looptijd*$L37))</f>
        <v>0</v>
      </c>
      <c r="AH37" s="878">
        <f>BTW*AD37</f>
        <v>0</v>
      </c>
      <c r="AI37" s="878">
        <f>SUM(AD37:AH37)</f>
        <v>0</v>
      </c>
      <c r="AJ37" s="878">
        <f>IF('2. Invoer parameters'!$C$10="ja",MIA_BEV_F*P37,0)</f>
        <v>0</v>
      </c>
      <c r="AK37" s="882">
        <f>IF($L37=0,0,AJ37/($E37*looptijd*$L37))</f>
        <v>0</v>
      </c>
      <c r="AL37" s="881">
        <f>IF(BPM_belasting="nee",(((AD37-AJ37)-BK37)/2)*Rente_financiering,(((AD37-AJ37+AF37)-BL37)/2)*Rente_financiering)</f>
        <v>0</v>
      </c>
      <c r="AM37" s="880">
        <f>IF($L37=0,0,AL37*looptijd/($E37*looptijd*$L37))</f>
        <v>0</v>
      </c>
      <c r="AO37" s="876">
        <f>(H37*verz_die_F)+(I37*verz_benz_F)+(J37*verz_CNG_F)</f>
        <v>0</v>
      </c>
      <c r="AP37" s="877">
        <f>IF($G37=0,0,(AO37*12*looptijd)/($E37*looptijd*$G37))</f>
        <v>0</v>
      </c>
      <c r="AQ37" s="878">
        <f>(input_MRB_die_F*$H37)+(input_MRB_benz_F*$I37)+(input_MRB_CNG_F*J37)</f>
        <v>0</v>
      </c>
      <c r="AR37" s="877">
        <f>IF($G37=0,0,AQ37/($E37*looptijd*$G37))</f>
        <v>0</v>
      </c>
      <c r="AS37" s="878">
        <f>($E37*H37*(gem_verbr_die_F/100)*prijs_die)+($E37*I37*(gem_verbr_benz_F/100)*prijs_benz)+($E37*J37*(gem_verbr_CNG_F/100)*prijs_CNG)</f>
        <v>0</v>
      </c>
      <c r="AT37" s="877">
        <f>IF($G37=0,0,(AS37*looptijd)/(looptijd*$E37*$G37))</f>
        <v>0</v>
      </c>
      <c r="AU37" s="878">
        <f>($E37*H37*Onderh_die_F_hoog_km)+($E37*I37*Onderh_benz_F_hoog_km)+($E37*J37*Onderh_CNG_F_hoog_km)</f>
        <v>0</v>
      </c>
      <c r="AV37" s="877">
        <f>IF($G37=0,0,(AU37*looptijd)/(looptijd*$E37*$G37))</f>
        <v>0</v>
      </c>
      <c r="AW37" s="878">
        <f>Rest_perc*SUM(U37:W37)</f>
        <v>0</v>
      </c>
      <c r="AX37" s="881">
        <f>Rest_perc*SUM(U37:Y37)</f>
        <v>0</v>
      </c>
      <c r="AY37" s="878">
        <f>IF(BTW_verrekening="Ja",((U37+W37)-AW37)/(looptijd*12),((U37+W37+Y37)-AX37)/(looptijd*12))</f>
        <v>0</v>
      </c>
      <c r="AZ37" s="877">
        <f>IF($G37=0,0,(AY37*12*looptijd)/(looptijd*$E37*$G37))</f>
        <v>0</v>
      </c>
      <c r="BA37" s="883">
        <f>(_schadekosten_per_km*E37*G37)/12</f>
        <v>0</v>
      </c>
      <c r="BB37" s="884">
        <f>IF($G37=0,0,(BA37*12*looptijd)/($E37*$G37*looptijd))</f>
        <v>0</v>
      </c>
      <c r="BD37" s="876">
        <f>(M37*verz_die_F)+(N37*verz_benz_F)+(O37*verz_CNG_F)+(P37*verz_BEV_F)+(Q37*verz_FCEV_F)</f>
        <v>0</v>
      </c>
      <c r="BE37" s="877">
        <f>IF($L37=0,0,(BD37*12*looptijd)/($E37*looptijd*$L37))</f>
        <v>0</v>
      </c>
      <c r="BF37" s="878">
        <f>(MRB_die_F*M37)+(MRB_benz_F*N37)+(input_MRB_CNG_F*O37)+(input_MRB_BEV_F*P37)+(input_MRB_FCEV_F*Q37)</f>
        <v>0</v>
      </c>
      <c r="BG37" s="877">
        <f>IF($L37=0,0,BF37/($E37*looptijd*$L37))</f>
        <v>0</v>
      </c>
      <c r="BH37" s="878">
        <f>($E37*M37*(gem_verbr_die_F/100)*prijs_die)+($E37*N37*(gem_verbr_benz_F/100)*prijs_benz)+($E37*O37*(verbr_CNG_F/100)*prijs_CNG)+($E37*P37*(gem_verbr_BEV_F/100)*prijs_elek_berekening)+($E37*Q37*(gem_verbr_FCEV_F_Elek/100)*prijs_elek_berekening*(100%-_verh_H2_accu_F))+($E37*Q37*(gem_verbr_FCEV_F_H2/100)*prijs_H2*(_verh_H2_accu_F))</f>
        <v>0</v>
      </c>
      <c r="BI37" s="877">
        <f>IF($L37=0,0,(BH37*looptijd)/(looptijd*$E37*$L37))</f>
        <v>0</v>
      </c>
      <c r="BJ37" s="885"/>
      <c r="BK37" s="878">
        <f>Rest_perc_ZE*(AD37+AF37)</f>
        <v>0</v>
      </c>
      <c r="BL37" s="878">
        <f>Rest_perc_ZE*(AD37+AF37+AH37)</f>
        <v>0</v>
      </c>
      <c r="BM37" s="885"/>
      <c r="BN37" s="878">
        <f>($E37*M37*Onderh_die_F_hoog_km)+($E37*N37*Onderh_benz_F_hoog_km)+($E37*O37*Onderh_CNG_F_hoog_km)+($E37*P37*Onderh_BEV_F_hoog_km)+($E37*Q37*Onderh_FCEV_F_hoog_km)</f>
        <v>0</v>
      </c>
      <c r="BO37" s="877">
        <f>IF($L37=0,0,(BN37*looptijd)/(looptijd*$E37*$L37))</f>
        <v>0</v>
      </c>
      <c r="BP37" s="878"/>
      <c r="BQ37" s="878">
        <f t="shared" si="2"/>
        <v>0</v>
      </c>
      <c r="BR37" s="877">
        <f>IF($G37=0,0,(BQ37*12*looptijd)/(looptijd*$E37*$G37))</f>
        <v>0</v>
      </c>
      <c r="BS37" s="885"/>
      <c r="BT37" s="883">
        <f>(_schadekosten_per_km*E37*L37)/12</f>
        <v>0</v>
      </c>
      <c r="BU37" s="884">
        <f>IF($L37=0,0,(BT37*12*looptijd)/($E37*$L37*looptijd))</f>
        <v>0</v>
      </c>
      <c r="BV37" s="881"/>
      <c r="BW37" s="886">
        <f>(Efac_die_TTW*(gem_verbr_die_F/100)*$E37*H37)+(Efac_benz_TTW*(gem_verbr_benz_F/100)*$E37*I37)+(Efac_CNG_berekening_TTW*(gem_verbr_CNG_F/100)*$E37*J37)</f>
        <v>0</v>
      </c>
      <c r="BX37" s="887">
        <f>(Efac_die_WTW*(gem_verbr_die_F/100)*$E37*H37)+(Efac_benz_WTW*(gem_verbr_benz_F/100)*$E37*I37)+(Efac_CNG_berekening_WTW*(gem_verbr_CNG_F/100)*$E37*J37)</f>
        <v>0</v>
      </c>
      <c r="BY37" s="888">
        <f>IF($G37=0,0,(BX37*looptijd)/($E37*$G37*looptijd))</f>
        <v>0</v>
      </c>
      <c r="BZ37" s="889"/>
      <c r="CA37" s="886">
        <f>(Efac_die_TTW*(gem_verbr_die_F/100)*$E37*M37)+(Efac_benz_TTW*(gem_verbr_benz_F/100)*$E37*N37)+(Efac_CNG_berekening_TTW*(gem_verbr_CNG_F/100)*$E37*O37)+(Efac_elek_berekening_TTW*(gem_verbr_BEV_F/100)*$E37*P37)+(Efac_elek_berekening_TTW*(gem_verbr_FCEV_F_Elek/100)*(100%-_verh_H2_accu_F)*Q37)+(Efac_H2_berekening_TTW*(gem_verbr_FCEV_F_H2/100)*(_verh_H2_accu_F)*Q37)</f>
        <v>0</v>
      </c>
      <c r="CB37" s="887">
        <f>(Efac_die_WTW*(gem_verbr_die_F/100)*$E37*M37)+(Efac_benz_WTW*(gem_verbr_benz_F/100)*$E37*N37)+(Efac_CNG_berekening_WTW*(gem_verbr_CNG_F/100)*$E37*O37)+(Efac_elek_berekening_WTW*(gem_verbr_BEV_F/100)*$E37*P37)+(Efac_elek_berekening_WTW*(gem_verbr_FCEV_F_Elek/100)*(100%-_verh_H2_accu_F)*Q37)+(Efac_H2_berekening_WTW*(gem_verbr_FCEV_F_H2/100)*(_verh_H2_accu_F)*Q37)</f>
        <v>0</v>
      </c>
      <c r="CC37" s="888">
        <f>IF($L37=0,0,(CB37*looptijd)/($L37*$E37*looptijd))</f>
        <v>0</v>
      </c>
    </row>
    <row r="38" spans="1:81" ht="15" customHeight="1">
      <c r="A38" s="891"/>
      <c r="B38" s="867"/>
      <c r="C38" s="868"/>
      <c r="D38" s="868"/>
      <c r="E38" s="872"/>
      <c r="F38" s="873"/>
      <c r="G38" s="870"/>
      <c r="H38" s="868"/>
      <c r="I38" s="868"/>
      <c r="J38" s="872"/>
      <c r="K38" s="873"/>
      <c r="L38" s="870"/>
      <c r="M38" s="868"/>
      <c r="N38" s="868"/>
      <c r="O38" s="868"/>
      <c r="P38" s="868"/>
      <c r="Q38" s="872"/>
      <c r="S38" s="875"/>
      <c r="U38" s="876"/>
      <c r="V38" s="877"/>
      <c r="W38" s="878"/>
      <c r="X38" s="877"/>
      <c r="Y38" s="879"/>
      <c r="Z38" s="879"/>
      <c r="AA38" s="879"/>
      <c r="AB38" s="880"/>
      <c r="AD38" s="876"/>
      <c r="AE38" s="877"/>
      <c r="AF38" s="878"/>
      <c r="AG38" s="878"/>
      <c r="AH38" s="878"/>
      <c r="AI38" s="878"/>
      <c r="AJ38" s="878"/>
      <c r="AK38" s="882"/>
      <c r="AL38" s="881"/>
      <c r="AM38" s="880"/>
      <c r="AO38" s="876"/>
      <c r="AP38" s="877"/>
      <c r="AQ38" s="878"/>
      <c r="AR38" s="877"/>
      <c r="AS38" s="878"/>
      <c r="AT38" s="877"/>
      <c r="AU38" s="878"/>
      <c r="AV38" s="877"/>
      <c r="AW38" s="878"/>
      <c r="AX38" s="881"/>
      <c r="AY38" s="878"/>
      <c r="AZ38" s="877"/>
      <c r="BA38" s="883"/>
      <c r="BB38" s="884"/>
      <c r="BD38" s="876"/>
      <c r="BE38" s="877"/>
      <c r="BF38" s="878"/>
      <c r="BG38" s="877"/>
      <c r="BH38" s="878"/>
      <c r="BI38" s="877"/>
      <c r="BJ38" s="885"/>
      <c r="BK38" s="878"/>
      <c r="BL38" s="878"/>
      <c r="BM38" s="885"/>
      <c r="BN38" s="878"/>
      <c r="BO38" s="877"/>
      <c r="BP38" s="878"/>
      <c r="BQ38" s="878"/>
      <c r="BR38" s="877"/>
      <c r="BS38" s="885"/>
      <c r="BT38" s="883"/>
      <c r="BU38" s="884"/>
      <c r="BV38" s="881"/>
      <c r="BW38" s="886"/>
      <c r="BX38" s="887"/>
      <c r="BY38" s="888"/>
      <c r="BZ38" s="889"/>
      <c r="CA38" s="886"/>
      <c r="CB38" s="887"/>
      <c r="CC38" s="888"/>
    </row>
    <row r="39" spans="1:81">
      <c r="A39" s="891"/>
      <c r="B39" s="867" t="s">
        <v>159</v>
      </c>
      <c r="C39" s="868" t="s">
        <v>748</v>
      </c>
      <c r="D39" s="868"/>
      <c r="E39" s="869">
        <f>$E$3</f>
        <v>10000</v>
      </c>
      <c r="F39" s="873"/>
      <c r="G39" s="870">
        <f t="shared" si="0"/>
        <v>0</v>
      </c>
      <c r="H39" s="868">
        <f t="array" ref="H39:H43">TRANSPOSE('1a. Invoer - BESTAAND'!J10:N10)</f>
        <v>0</v>
      </c>
      <c r="I39" s="868">
        <f t="array" ref="I39:I43">TRANSPOSE('1a. Invoer - BESTAAND'!E10:I10)</f>
        <v>0</v>
      </c>
      <c r="J39" s="872">
        <f t="array" ref="J39:J43">TRANSPOSE('1a. Invoer - BESTAAND'!E39:I39)</f>
        <v>0</v>
      </c>
      <c r="K39" s="873"/>
      <c r="L39" s="870">
        <f t="shared" si="1"/>
        <v>0</v>
      </c>
      <c r="M39" s="868">
        <v>0</v>
      </c>
      <c r="N39" s="868">
        <v>0</v>
      </c>
      <c r="O39" s="868">
        <v>0</v>
      </c>
      <c r="P39" s="868">
        <f t="array" ref="P39:P43">TRANSPOSE('1b. Invoer - NIEUW'!E12:I12)</f>
        <v>0</v>
      </c>
      <c r="Q39" s="874">
        <v>0</v>
      </c>
      <c r="S39" s="875">
        <f>(L39*E39*looptijd)</f>
        <v>0</v>
      </c>
      <c r="U39" s="876">
        <f>(Netto_cat_die_J*H39)+(Netto_cat_benz_J*I39)+(Netto_cat_CNG_J*J39)</f>
        <v>0</v>
      </c>
      <c r="V39" s="877">
        <f>IF($G39=0,0,U39/($E39*$G39*looptijd))</f>
        <v>0</v>
      </c>
      <c r="W39" s="878">
        <f>IF(BPM_belasting="ja",(BPM_die_J*H39)+(BPM_benz_J*I39)+(BPM_CNG_J*J39),0)</f>
        <v>0</v>
      </c>
      <c r="X39" s="877">
        <f>IF($G39=0,0,W39/($E39*looptijd*$G39))</f>
        <v>0</v>
      </c>
      <c r="Y39" s="879">
        <f t="shared" ref="Y39:Y43" si="4">BTW*U39</f>
        <v>0</v>
      </c>
      <c r="Z39" s="879">
        <f t="shared" ref="Z39:Z49" si="5">SUM(U39:Y39)</f>
        <v>0</v>
      </c>
      <c r="AA39" s="879">
        <f>IF(BTW_verrekening="ja",((U39+W39-AW39))/2*Rente_financiering,((U39+W39+Y39-AW39)/2)*Rente_financiering)</f>
        <v>0</v>
      </c>
      <c r="AB39" s="880">
        <f>IF(G39=0,0,AA39*looptijd/($E39*looptijd*$G39))</f>
        <v>0</v>
      </c>
      <c r="AD39" s="876">
        <f>(Netto_cat_die_J*M39)+(Netto_cat_benz_J*N39)+(Netto_cat_CNG_J*O39)+(Netto_cat_BEV_J*P39)+(Netto_cat_FCEV_J*Q39)</f>
        <v>0</v>
      </c>
      <c r="AE39" s="877">
        <f>IF($L39=0,0,AD39/($E39*$L39*looptijd))</f>
        <v>0</v>
      </c>
      <c r="AF39" s="878">
        <f>IF(BPM_belasting="ja",(BPM_benz_A*N39)+(BPM_CNG_A*O39)+(P39*BPM_BEV)+(Q39*BPM_FCEV),0)</f>
        <v>0</v>
      </c>
      <c r="AG39" s="878">
        <f>IF($L39=0,0,AF39/($E39*looptijd*$L39))</f>
        <v>0</v>
      </c>
      <c r="AH39" s="878">
        <f>BTW*AD39</f>
        <v>0</v>
      </c>
      <c r="AI39" s="878">
        <f>SUM(AD39:AH39)</f>
        <v>0</v>
      </c>
      <c r="AJ39" s="878">
        <f>IF('2. Invoer parameters'!$C$10="ja",MIA_BEV_J*P39,0)</f>
        <v>0</v>
      </c>
      <c r="AK39" s="882">
        <f>IF($L39=0,0,AJ39/($E39*looptijd*$L39))</f>
        <v>0</v>
      </c>
      <c r="AL39" s="881">
        <f>IF(BPM_belasting="nee",(((AD39-AJ39)-BK39)/2)*Rente_financiering,(((AD39-AJ39+AF39)-BL39)/2)*Rente_financiering)</f>
        <v>0</v>
      </c>
      <c r="AM39" s="880">
        <f>IF($L39=0,0,AL39*looptijd/($E39*looptijd*$L39))</f>
        <v>0</v>
      </c>
      <c r="AO39" s="876">
        <f>(H39*verz_die_J)+(I39*verz_benz_J)+(J39*verz_CNG_J)</f>
        <v>0</v>
      </c>
      <c r="AP39" s="877">
        <f>IF($G39=0,0,(AO39*12*looptijd)/($E39*looptijd*$G39))</f>
        <v>0</v>
      </c>
      <c r="AQ39" s="878">
        <f>(input_MRB_die_J*$H39)+(input_MRB_benz_J*$I39)+(input_MRB_CNG_J*J39)</f>
        <v>0</v>
      </c>
      <c r="AR39" s="877">
        <f>IF($G39=0,0,AQ39/($E39*looptijd*$G39))</f>
        <v>0</v>
      </c>
      <c r="AS39" s="878">
        <f>($E39*H39*(gem_verbr_die_J/100)*prijs_die)+($E39*I39*(gem_verbr_benz_J/100)*prijs_benz)+($E39*J39*(gem_verbr_CNG_J/100)*prijs_CNG)</f>
        <v>0</v>
      </c>
      <c r="AT39" s="877">
        <f>IF($G39=0,0,(AS39*looptijd)/(looptijd*$E39*$G39))</f>
        <v>0</v>
      </c>
      <c r="AU39" s="878">
        <f>($E39*H39*Onderh_die_J_hoog_km)+($E39*I39*Onderh_benz_J_hoog_km)+($E39*J39*Onderh_CNG_J_hoog_km)</f>
        <v>0</v>
      </c>
      <c r="AV39" s="877">
        <f>IF($G39=0,0,(AU39*looptijd)/(looptijd*$E39*$G39))</f>
        <v>0</v>
      </c>
      <c r="AW39" s="878">
        <f>Rest_perc*SUM(U39:W39)</f>
        <v>0</v>
      </c>
      <c r="AX39" s="881">
        <f>Rest_perc*SUM(U39:Y39)</f>
        <v>0</v>
      </c>
      <c r="AY39" s="878">
        <f>IF(BTW_verrekening="Ja",((U39+W39)-AW39)/(looptijd*12),((U39+W39+Y39)-AX39)/(looptijd*12))</f>
        <v>0</v>
      </c>
      <c r="AZ39" s="877">
        <f>IF($G39=0,0,(AY39*12*looptijd)/(looptijd*$E39*$G39))</f>
        <v>0</v>
      </c>
      <c r="BA39" s="883">
        <f>(_schadekosten_per_km*E39*G39)/12</f>
        <v>0</v>
      </c>
      <c r="BB39" s="884">
        <f>IF($G39=0,0,(BA39*12*looptijd)/($E39*$G39*looptijd))</f>
        <v>0</v>
      </c>
      <c r="BD39" s="876">
        <f>(M39*verz_die_J)+(N39*verz_benz_J)+(O39*verz_CNG_J)+(P39*verz_BEV_J)+(Q39*verz_FCEV_J)</f>
        <v>0</v>
      </c>
      <c r="BE39" s="877">
        <f>IF($L39=0,0,(BD39*12*looptijd)/($E39*looptijd*$L39))</f>
        <v>0</v>
      </c>
      <c r="BF39" s="878">
        <f>(MRB_die_J*M39)+(MRB_benz_J*N39)+(input_MRB_CNG_J*O39)+(input_MRB_BEV_J*P39)+(input_MRB_FCEV_J*Q39)</f>
        <v>0</v>
      </c>
      <c r="BG39" s="877">
        <f>IF($L39=0,0,BF39/($E39*looptijd*$L39))</f>
        <v>0</v>
      </c>
      <c r="BH39" s="878">
        <f>($E39*M39*(gem_verbr_die_J/100)*prijs_die)+($E39*N39*(gem_verbr_benz_J/100)*prijs_benz)+($E39*O39*(gem_verbr_CNG_J/100)*prijs_CNG)+($E39*P39*(gem_verbr_BEV_J/100)*prijs_elek_berekening)+($E39*Q39*(gem_verbr_FCEV_J_Elek/100)*prijs_elek_berekening*(100%-_verh_H2_accu_J))+($E39*Q39*(gem_verbr_FCEV_J_H2/100)*prijs_H2*(_verh_H2_accu_J))</f>
        <v>0</v>
      </c>
      <c r="BI39" s="877">
        <f>IF($L39=0,0,(BH39*looptijd)/(looptijd*$E39*$L39))</f>
        <v>0</v>
      </c>
      <c r="BJ39" s="885"/>
      <c r="BK39" s="878">
        <f>Rest_perc_ZE*(AD39+AF39)</f>
        <v>0</v>
      </c>
      <c r="BL39" s="878">
        <f>Rest_perc_ZE*(AD39+AF39+AH39)</f>
        <v>0</v>
      </c>
      <c r="BM39" s="885"/>
      <c r="BN39" s="878">
        <f>($E39*M39*Onderh_die_J_hoog_km)+($E39*N39*Onderh_benz_J_hoog_km)+($E39*O39*Onderh_CNG_J_hoog_km)+($E39*P39*Onderh_BEV_J_hoog_km)+($E39*Q39*Onderh_FCEV_J_hoog_km)</f>
        <v>0</v>
      </c>
      <c r="BO39" s="877">
        <f>IF($L39=0,0,(BN39*looptijd)/(looptijd*$E39*$L39))</f>
        <v>0</v>
      </c>
      <c r="BP39" s="878"/>
      <c r="BQ39" s="878">
        <f>IF(BTW_verrekening="Ja",((AD39+AF39-AJ39)-BK39)/(looptijd*12),((AD39+AF39+AH39-AJ39)-BL39)/(looptijd*12))</f>
        <v>0</v>
      </c>
      <c r="BR39" s="877">
        <f>IF($G39=0,0,(BQ39*12*looptijd)/(looptijd*$E39*$G39))</f>
        <v>0</v>
      </c>
      <c r="BS39" s="885"/>
      <c r="BT39" s="883">
        <f>(_schadekosten_per_km*E39*L39)/12</f>
        <v>0</v>
      </c>
      <c r="BU39" s="884">
        <f>IF($L39=0,0,(BT39*12*looptijd)/($E39*$L39*looptijd))</f>
        <v>0</v>
      </c>
      <c r="BV39" s="881"/>
      <c r="BW39" s="886">
        <f>(Efac_die_TTW*(gem_verbr_die_J/100)*$E39*H39)+(Efac_benz_TTW*(gem_verbr_benz_J/100)*$E39*I39)+(Efac_CNG_berekening_TTW*(gem_verbr_CNG_J/100)*$E39*J39)</f>
        <v>0</v>
      </c>
      <c r="BX39" s="887">
        <f>(Efac_die_WTW*(gem_verbr_die_J/100)*$E39*H39)+(Efac_benz_WTW*(gem_verbr_benz_J/100)*$E39*I39)+(Efac_CNG_berekening_WTW*(gem_verbr_CNG_J/100)*$E39*J39)</f>
        <v>0</v>
      </c>
      <c r="BY39" s="888">
        <f>IF($G39=0,0,(BX39*looptijd)/($E39*$G39*looptijd))</f>
        <v>0</v>
      </c>
      <c r="BZ39" s="889"/>
      <c r="CA39" s="886">
        <f>(Efac_die_TTW*(gem_verbr_die_J/100)*$E39*M39)+(Efac_benz_TTW*(gem_verbr_benz_J/100)*$E39*N39)+(Efac_CNG_berekening_TTW*(gem_verbr_CNG_J/100)*$E39*O39)+(Efac_elek_berekening_TTW*(gem_verbr_BEV_J/100)*$E39*P39)+(Efac_elek_berekening_TTW*(gem_verbr_FCEV_J_Elek/100)*(100%-_verh_H2_accu_J)*Q39)+(Efac_H2_berekening_TTW*(gem_verbr_FCEV_J_H2/100)*(_verh_H2_accu_J)*Q39)</f>
        <v>0</v>
      </c>
      <c r="CB39" s="887">
        <f>(Efac_die_WTW*(gem_verbr_die_J/100)*$E39*M39)+(Efac_benz_WTW*(gem_verbr_benz_J/100)*$E39*N39)+(Efac_CNG_berekening_WTW*(gem_verbr_CNG_J/100)*$E39*O39)+(Efac_elek_berekening_WTW*(gem_verbr_BEV_J/100)*$E39*P39)+(Efac_elek_berekening_WTW*(gem_verbr_FCEV_J_Elek/100)*(100%-_verh_H2_accu_J)*Q39)+(Efac_H2_berekening_WTW*(gem_verbr_FCEV_J_H2/100)*(_verh_H2_accu_J)*Q39)</f>
        <v>0</v>
      </c>
      <c r="CC39" s="888">
        <f>IF($L39=0,0,(CB39*looptijd)/($L39*$E39*looptijd))</f>
        <v>0</v>
      </c>
    </row>
    <row r="40" spans="1:81">
      <c r="A40" s="891"/>
      <c r="B40" s="867" t="s">
        <v>159</v>
      </c>
      <c r="C40" s="868" t="s">
        <v>749</v>
      </c>
      <c r="D40" s="868"/>
      <c r="E40" s="869">
        <f>$E$4</f>
        <v>15000</v>
      </c>
      <c r="F40" s="873"/>
      <c r="G40" s="870">
        <f t="shared" si="0"/>
        <v>0</v>
      </c>
      <c r="H40" s="868">
        <v>0</v>
      </c>
      <c r="I40" s="868">
        <v>0</v>
      </c>
      <c r="J40" s="872">
        <v>0</v>
      </c>
      <c r="K40" s="873"/>
      <c r="L40" s="870">
        <f t="shared" si="1"/>
        <v>0</v>
      </c>
      <c r="M40" s="868">
        <v>0</v>
      </c>
      <c r="N40" s="868">
        <v>0</v>
      </c>
      <c r="O40" s="868">
        <v>0</v>
      </c>
      <c r="P40" s="868">
        <v>0</v>
      </c>
      <c r="Q40" s="874">
        <v>0</v>
      </c>
      <c r="S40" s="875">
        <f>(L40*E40*looptijd)</f>
        <v>0</v>
      </c>
      <c r="U40" s="876">
        <f>(Netto_cat_die_J*H40)+(Netto_cat_benz_J*I40)+(Netto_cat_CNG_J*J40)</f>
        <v>0</v>
      </c>
      <c r="V40" s="877">
        <f>IF($G40=0,0,U40/($E40*$G40*looptijd))</f>
        <v>0</v>
      </c>
      <c r="W40" s="878">
        <f>IF(BPM_belasting="ja",(BPM_die_J*H40)+(BPM_benz_J*I40)+(BPM_CNG_J*J40),0)</f>
        <v>0</v>
      </c>
      <c r="X40" s="877">
        <f>IF($G40=0,0,W40/($E40*looptijd*$G40))</f>
        <v>0</v>
      </c>
      <c r="Y40" s="879">
        <f t="shared" si="4"/>
        <v>0</v>
      </c>
      <c r="Z40" s="879">
        <f t="shared" si="5"/>
        <v>0</v>
      </c>
      <c r="AA40" s="879">
        <f>IF(BTW_verrekening="ja",((U40+W40-AW40))/2*Rente_financiering,((U40+W40+Y40-AW40)/2)*Rente_financiering)</f>
        <v>0</v>
      </c>
      <c r="AB40" s="880">
        <f>IF(G40=0,0,AA40*looptijd/($E40*looptijd*$G40))</f>
        <v>0</v>
      </c>
      <c r="AD40" s="876">
        <f>(Netto_cat_die_J*M40)+(Netto_cat_benz_J*N40)+(Netto_cat_CNG_J*O40)+(Netto_cat_BEV_J*P40)+(Netto_cat_FCEV_J*Q40)</f>
        <v>0</v>
      </c>
      <c r="AE40" s="877">
        <f>IF($L40=0,0,AD40/($E40*$L40*looptijd))</f>
        <v>0</v>
      </c>
      <c r="AF40" s="878">
        <f>IF(BPM_belasting="ja",(BPM_benz_A*N40)+(BPM_CNG_A*O40)+(P40*BPM_BEV)+(Q40*BPM_FCEV),0)</f>
        <v>0</v>
      </c>
      <c r="AG40" s="878">
        <f>IF($L40=0,0,AF40/($E40*looptijd*$L40))</f>
        <v>0</v>
      </c>
      <c r="AH40" s="878">
        <f>BTW*AD40</f>
        <v>0</v>
      </c>
      <c r="AI40" s="878">
        <f>SUM(AD40:AH40)</f>
        <v>0</v>
      </c>
      <c r="AJ40" s="878">
        <f>IF('2. Invoer parameters'!$C$10="ja",MIA_BEV_J*P40,0)</f>
        <v>0</v>
      </c>
      <c r="AK40" s="882">
        <f>IF($L40=0,0,AJ40/($E40*looptijd*$L40))</f>
        <v>0</v>
      </c>
      <c r="AL40" s="881">
        <f>IF(BPM_belasting="nee",(((AD40-AJ40)-BK40)/2)*Rente_financiering,(((AD40-AJ40+AF40)-BL40)/2)*Rente_financiering)</f>
        <v>0</v>
      </c>
      <c r="AM40" s="880">
        <f>IF($L40=0,0,AL40*looptijd/($E40*looptijd*$L40))</f>
        <v>0</v>
      </c>
      <c r="AO40" s="876">
        <f>(H40*verz_die_J)+(I40*verz_benz_J)+(J40*verz_CNG_J)</f>
        <v>0</v>
      </c>
      <c r="AP40" s="877">
        <f>IF($G40=0,0,(AO40*12*looptijd)/($E40*looptijd*$G40))</f>
        <v>0</v>
      </c>
      <c r="AQ40" s="878">
        <f>(input_MRB_die_J*$H40)+(input_MRB_benz_J*$I40)+(input_MRB_CNG_J*J40)</f>
        <v>0</v>
      </c>
      <c r="AR40" s="877">
        <f>IF($G40=0,0,AQ40/($E40*looptijd*$G40))</f>
        <v>0</v>
      </c>
      <c r="AS40" s="878">
        <f>($E40*H40*(gem_verbr_die_J/100)*prijs_die)+($E40*I40*(gem_verbr_benz_J/100)*prijs_benz)+($E40*J40*(gem_verbr_CNG_J/100)*prijs_CNG)</f>
        <v>0</v>
      </c>
      <c r="AT40" s="877">
        <f>IF($G40=0,0,(AS40*looptijd)/(looptijd*$E40*$G40))</f>
        <v>0</v>
      </c>
      <c r="AU40" s="878">
        <f>($E40*H40*Onderh_die_J_hoog_km)+($E40*I40*Onderh_benz_J_hoog_km)+($E40*J40*Onderh_CNG_J_hoog_km)</f>
        <v>0</v>
      </c>
      <c r="AV40" s="877">
        <f>IF($G40=0,0,(AU40*looptijd)/(looptijd*$E40*$G40))</f>
        <v>0</v>
      </c>
      <c r="AW40" s="878">
        <f>Rest_perc*SUM(U40:W40)</f>
        <v>0</v>
      </c>
      <c r="AX40" s="881">
        <f>Rest_perc*SUM(U40:Y40)</f>
        <v>0</v>
      </c>
      <c r="AY40" s="878">
        <f>IF(BTW_verrekening="Ja",((U40+W40)-AW40)/(looptijd*12),((U40+W40+Y40)-AX40)/(looptijd*12))</f>
        <v>0</v>
      </c>
      <c r="AZ40" s="877">
        <f>IF($G40=0,0,(AY40*12*looptijd)/(looptijd*$E40*$G40))</f>
        <v>0</v>
      </c>
      <c r="BA40" s="883">
        <f>(_schadekosten_per_km*E40*G40)/12</f>
        <v>0</v>
      </c>
      <c r="BB40" s="884">
        <f>IF($G40=0,0,(BA40*12*looptijd)/($E40*$G40*looptijd))</f>
        <v>0</v>
      </c>
      <c r="BD40" s="876">
        <f>(M40*verz_die_J)+(N40*verz_benz_J)+(O40*verz_CNG_J)+(P40*verz_BEV_J)+(Q40*verz_FCEV_J)</f>
        <v>0</v>
      </c>
      <c r="BE40" s="877">
        <f>IF($L40=0,0,(BD40*12*looptijd)/($E40*looptijd*$L40))</f>
        <v>0</v>
      </c>
      <c r="BF40" s="878">
        <f>(MRB_die_J*M40)+(MRB_benz_J*N40)+(input_MRB_CNG_J*O40)+(input_MRB_BEV_J*P40)+(input_MRB_FCEV_J*Q40)</f>
        <v>0</v>
      </c>
      <c r="BG40" s="877">
        <f>IF($L40=0,0,BF40/($E40*looptijd*$L40))</f>
        <v>0</v>
      </c>
      <c r="BH40" s="878">
        <f>($E40*M40*(gem_verbr_die_J/100)*prijs_die)+($E40*N40*(gem_verbr_benz_J/100)*prijs_benz)+($E40*O40*(gem_verbr_CNG_J/100)*prijs_CNG)+($E40*P40*(gem_verbr_BEV_J/100)*prijs_elek_berekening)+($E40*Q40*(gem_verbr_FCEV_J_Elek/100)*prijs_elek_berekening*(100%-_verh_H2_accu_J))+($E40*Q40*(gem_verbr_FCEV_J_H2/100)*prijs_H2*(_verh_H2_accu_J))</f>
        <v>0</v>
      </c>
      <c r="BI40" s="877">
        <f>IF($L40=0,0,(BH40*looptijd)/(looptijd*$E40*$L40))</f>
        <v>0</v>
      </c>
      <c r="BJ40" s="885"/>
      <c r="BK40" s="878">
        <f>Rest_perc_ZE*(AD40+AF40)</f>
        <v>0</v>
      </c>
      <c r="BL40" s="878">
        <f>Rest_perc_ZE*(AD40+AF40+AH40)</f>
        <v>0</v>
      </c>
      <c r="BM40" s="885"/>
      <c r="BN40" s="878">
        <f>($E40*M40*Onderh_die_J_hoog_km)+($E40*N40*Onderh_benz_J_hoog_km)+($E40*O40*Onderh_CNG_J_hoog_km)+($E40*P40*Onderh_BEV_J_hoog_km)+($E40*Q40*Onderh_FCEV_J_hoog_km)</f>
        <v>0</v>
      </c>
      <c r="BO40" s="877">
        <f>IF($L40=0,0,(BN40*looptijd)/(looptijd*$E40*$L40))</f>
        <v>0</v>
      </c>
      <c r="BP40" s="878"/>
      <c r="BQ40" s="878">
        <f>IF(BTW_verrekening="Ja",((AD40+AF40-AJ40)-BK40)/(looptijd*12),((AD40+AF40+AH40-AJ40)-BL40)/(looptijd*12))</f>
        <v>0</v>
      </c>
      <c r="BR40" s="877">
        <f>IF($G40=0,0,(BQ40*12*looptijd)/(looptijd*$E40*$G40))</f>
        <v>0</v>
      </c>
      <c r="BS40" s="885"/>
      <c r="BT40" s="883">
        <f>(_schadekosten_per_km*E40*L40)/12</f>
        <v>0</v>
      </c>
      <c r="BU40" s="884">
        <f>IF($L40=0,0,(BT40*12*looptijd)/($E40*$L40*looptijd))</f>
        <v>0</v>
      </c>
      <c r="BV40" s="881"/>
      <c r="BW40" s="886">
        <f>(Efac_die_TTW*(gem_verbr_die_J/100)*$E40*H40)+(Efac_benz_TTW*(gem_verbr_benz_J/100)*$E40*I40)+(Efac_CNG_berekening_TTW*(gem_verbr_CNG_J/100)*$E40*J40)</f>
        <v>0</v>
      </c>
      <c r="BX40" s="887">
        <f>(Efac_die_WTW*(gem_verbr_die_J/100)*$E40*H40)+(Efac_benz_WTW*(gem_verbr_benz_J/100)*$E40*I40)+(Efac_CNG_berekening_WTW*(gem_verbr_CNG_J/100)*$E40*J40)</f>
        <v>0</v>
      </c>
      <c r="BY40" s="888">
        <f>IF($G40=0,0,(BX40*looptijd)/($E40*$G40*looptijd))</f>
        <v>0</v>
      </c>
      <c r="BZ40" s="889"/>
      <c r="CA40" s="886">
        <f>(Efac_die_TTW*(gem_verbr_die_J/100)*$E40*M40)+(Efac_benz_TTW*(gem_verbr_benz_J/100)*$E40*N40)+(Efac_CNG_berekening_TTW*(gem_verbr_CNG_J/100)*$E40*O40)+(Efac_elek_berekening_TTW*(gem_verbr_BEV_J/100)*$E40*P40)+(Efac_elek_berekening_TTW*(gem_verbr_FCEV_J_Elek/100)*(100%-_verh_H2_accu_J)*Q40)+(Efac_H2_berekening_TTW*(gem_verbr_FCEV_J_H2/100)*(_verh_H2_accu_J)*Q40)</f>
        <v>0</v>
      </c>
      <c r="CB40" s="887">
        <f>(Efac_die_WTW*(gem_verbr_die_J/100)*$E40*M40)+(Efac_benz_WTW*(gem_verbr_benz_J/100)*$E40*N40)+(Efac_CNG_berekening_WTW*(gem_verbr_CNG_J/100)*$E40*O40)+(Efac_elek_berekening_WTW*(gem_verbr_BEV_J/100)*$E40*P40)+(Efac_elek_berekening_WTW*(gem_verbr_FCEV_J_Elek/100)*(100%-_verh_H2_accu_J)*Q40)+(Efac_H2_berekening_WTW*(gem_verbr_FCEV_J_H2/100)*(_verh_H2_accu_J)*Q40)</f>
        <v>0</v>
      </c>
      <c r="CC40" s="888">
        <f>IF($L40=0,0,(CB40*looptijd)/($L40*$E40*looptijd))</f>
        <v>0</v>
      </c>
    </row>
    <row r="41" spans="1:81">
      <c r="A41" s="891"/>
      <c r="B41" s="867" t="s">
        <v>159</v>
      </c>
      <c r="C41" s="868" t="s">
        <v>750</v>
      </c>
      <c r="D41" s="868"/>
      <c r="E41" s="869">
        <f>$E$5</f>
        <v>25000</v>
      </c>
      <c r="F41" s="873"/>
      <c r="G41" s="870">
        <f t="shared" si="0"/>
        <v>0</v>
      </c>
      <c r="H41" s="868">
        <v>0</v>
      </c>
      <c r="I41" s="868">
        <v>0</v>
      </c>
      <c r="J41" s="872">
        <v>0</v>
      </c>
      <c r="K41" s="873"/>
      <c r="L41" s="870">
        <f t="shared" si="1"/>
        <v>0</v>
      </c>
      <c r="M41" s="868">
        <v>0</v>
      </c>
      <c r="N41" s="868">
        <v>0</v>
      </c>
      <c r="O41" s="868">
        <v>0</v>
      </c>
      <c r="P41" s="868">
        <v>0</v>
      </c>
      <c r="Q41" s="874">
        <v>0</v>
      </c>
      <c r="S41" s="875">
        <f>(L41*E41*looptijd)</f>
        <v>0</v>
      </c>
      <c r="U41" s="876">
        <f>(Netto_cat_die_J*H41)+(Netto_cat_benz_J*I41)+(Netto_cat_CNG_J*J41)</f>
        <v>0</v>
      </c>
      <c r="V41" s="877">
        <f>IF($G41=0,0,U41/($E41*$G41*looptijd))</f>
        <v>0</v>
      </c>
      <c r="W41" s="878">
        <f>IF(BPM_belasting="ja",(BPM_die_J*H41)+(BPM_benz_J*I41)+(BPM_CNG_J*J41),0)</f>
        <v>0</v>
      </c>
      <c r="X41" s="877">
        <f>IF($G41=0,0,W41/($E41*looptijd*$G41))</f>
        <v>0</v>
      </c>
      <c r="Y41" s="879">
        <f t="shared" si="4"/>
        <v>0</v>
      </c>
      <c r="Z41" s="879">
        <f t="shared" si="5"/>
        <v>0</v>
      </c>
      <c r="AA41" s="879">
        <f>IF(BTW_verrekening="ja",((U41+W41-AW41))/2*Rente_financiering,((U41+W41+Y41-AW41)/2)*Rente_financiering)</f>
        <v>0</v>
      </c>
      <c r="AB41" s="880">
        <f>IF(G41=0,0,AA41*looptijd/($E41*looptijd*$G41))</f>
        <v>0</v>
      </c>
      <c r="AD41" s="876">
        <f>(Netto_cat_die_J*M41)+(Netto_cat_benz_J*N41)+(Netto_cat_CNG_J*O41)+(Netto_cat_BEV_J*P41)+(Netto_cat_FCEV_J*Q41)</f>
        <v>0</v>
      </c>
      <c r="AE41" s="877">
        <f>IF($L41=0,0,AD41/($E41*$L41*looptijd))</f>
        <v>0</v>
      </c>
      <c r="AF41" s="878">
        <f>IF(BPM_belasting="ja",(BPM_benz_A*N41)+(BPM_CNG_A*O41)+(P41*BPM_BEV)+(Q41*BPM_FCEV),0)</f>
        <v>0</v>
      </c>
      <c r="AG41" s="878">
        <f>IF($L41=0,0,AF41/($E41*looptijd*$L41))</f>
        <v>0</v>
      </c>
      <c r="AH41" s="878">
        <f>BTW*AD41</f>
        <v>0</v>
      </c>
      <c r="AI41" s="878">
        <f>SUM(AD41:AH41)</f>
        <v>0</v>
      </c>
      <c r="AJ41" s="878">
        <f>IF('2. Invoer parameters'!$C$10="ja",MIA_BEV_J*P41,0)</f>
        <v>0</v>
      </c>
      <c r="AK41" s="882">
        <f>IF($L41=0,0,AJ41/($E41*looptijd*$L41))</f>
        <v>0</v>
      </c>
      <c r="AL41" s="881">
        <f>IF(BPM_belasting="nee",(((AD41-AJ41)-BK41)/2)*Rente_financiering,(((AD41-AJ41+AF41)-BL41)/2)*Rente_financiering)</f>
        <v>0</v>
      </c>
      <c r="AM41" s="880">
        <f>IF($L41=0,0,AL41*looptijd/($E41*looptijd*$L41))</f>
        <v>0</v>
      </c>
      <c r="AO41" s="876">
        <f>(H41*verz_die_J)+(I41*verz_benz_J)+(J41*verz_CNG_J)</f>
        <v>0</v>
      </c>
      <c r="AP41" s="877">
        <f>IF($G41=0,0,(AO41*12*looptijd)/($E41*looptijd*$G41))</f>
        <v>0</v>
      </c>
      <c r="AQ41" s="878">
        <f>(input_MRB_die_J*$H41)+(input_MRB_benz_J*$I41)+(input_MRB_CNG_J*J41)</f>
        <v>0</v>
      </c>
      <c r="AR41" s="877">
        <f>IF($G41=0,0,AQ41/($E41*looptijd*$G41))</f>
        <v>0</v>
      </c>
      <c r="AS41" s="878">
        <f>($E41*H41*(gem_verbr_die_J/100)*prijs_die)+($E41*I41*(gem_verbr_benz_J/100)*prijs_benz)+($E41*J41*(gem_verbr_CNG_J/100)*prijs_CNG)</f>
        <v>0</v>
      </c>
      <c r="AT41" s="877">
        <f>IF($G41=0,0,(AS41*looptijd)/(looptijd*$E41*$G41))</f>
        <v>0</v>
      </c>
      <c r="AU41" s="878">
        <f>($E41*H41*Onderh_die_J_hoog_km)+($E41*I41*Onderh_benz_J_hoog_km)+($E41*J41*Onderh_CNG_J_hoog_km)</f>
        <v>0</v>
      </c>
      <c r="AV41" s="877">
        <f>IF($G41=0,0,(AU41*looptijd)/(looptijd*$E41*$G41))</f>
        <v>0</v>
      </c>
      <c r="AW41" s="878">
        <f>Rest_perc*SUM(U41:W41)</f>
        <v>0</v>
      </c>
      <c r="AX41" s="881">
        <f>Rest_perc*SUM(U41:Y41)</f>
        <v>0</v>
      </c>
      <c r="AY41" s="878">
        <f>IF(BTW_verrekening="Ja",((U41+W41)-AW41)/(looptijd*12),((U41+W41+Y41)-AX41)/(looptijd*12))</f>
        <v>0</v>
      </c>
      <c r="AZ41" s="877">
        <f>IF($G41=0,0,(AY41*12*looptijd)/(looptijd*$E41*$G41))</f>
        <v>0</v>
      </c>
      <c r="BA41" s="883">
        <f>(_schadekosten_per_km*E41*G41)/12</f>
        <v>0</v>
      </c>
      <c r="BB41" s="884">
        <f>IF($G41=0,0,(BA41*12*looptijd)/($E41*$G41*looptijd))</f>
        <v>0</v>
      </c>
      <c r="BD41" s="876">
        <f>(M41*verz_die_J)+(N41*verz_benz_J)+(O41*verz_CNG_J)+(P41*verz_BEV_J)+(Q41*verz_FCEV_J)</f>
        <v>0</v>
      </c>
      <c r="BE41" s="877">
        <f>IF($L41=0,0,(BD41*12*looptijd)/($E41*looptijd*$L41))</f>
        <v>0</v>
      </c>
      <c r="BF41" s="878">
        <f>(MRB_die_J*M41)+(MRB_benz_J*N41)+(input_MRB_CNG_J*O41)+(input_MRB_BEV_J*P41)+(input_MRB_FCEV_J*Q41)</f>
        <v>0</v>
      </c>
      <c r="BG41" s="877">
        <f>IF($L41=0,0,BF41/($E41*looptijd*$L41))</f>
        <v>0</v>
      </c>
      <c r="BH41" s="878">
        <f>($E41*M41*(gem_verbr_die_J/100)*prijs_die)+($E41*N41*(gem_verbr_benz_J/100)*prijs_benz)+($E41*O41*(gem_verbr_CNG_J/100)*prijs_CNG)+($E41*P41*(gem_verbr_BEV_J/100)*prijs_elek_berekening)+($E41*Q41*(gem_verbr_FCEV_J_Elek/100)*prijs_elek_berekening*(100%-_verh_H2_accu_J))+($E41*Q41*(gem_verbr_FCEV_J_H2/100)*prijs_H2*(_verh_H2_accu_J))</f>
        <v>0</v>
      </c>
      <c r="BI41" s="877">
        <f>IF($L41=0,0,(BH41*looptijd)/(looptijd*$E41*$L41))</f>
        <v>0</v>
      </c>
      <c r="BJ41" s="885"/>
      <c r="BK41" s="878">
        <f>Rest_perc_ZE*(AD41+AF41)</f>
        <v>0</v>
      </c>
      <c r="BL41" s="878">
        <f>Rest_perc_ZE*(AD41+AF41+AH41)</f>
        <v>0</v>
      </c>
      <c r="BM41" s="885"/>
      <c r="BN41" s="878">
        <f>($E41*M41*Onderh_die_J_hoog_km)+($E41*N41*Onderh_benz_J_hoog_km)+($E41*O41*Onderh_CNG_J_hoog_km)+($E41*P41*Onderh_BEV_J_hoog_km)+($E41*Q41*Onderh_FCEV_J_hoog_km)</f>
        <v>0</v>
      </c>
      <c r="BO41" s="877">
        <f>IF($L41=0,0,(BN41*looptijd)/(looptijd*$E41*$L41))</f>
        <v>0</v>
      </c>
      <c r="BP41" s="878"/>
      <c r="BQ41" s="878">
        <f>IF(BTW_verrekening="Ja",((AD41+AF41-AJ41)-BK41)/(looptijd*12),((AD41+AF41+AH41-AJ41)-BL41)/(looptijd*12))</f>
        <v>0</v>
      </c>
      <c r="BR41" s="877">
        <f>IF($G41=0,0,(BQ41*12*looptijd)/(looptijd*$E41*$G41))</f>
        <v>0</v>
      </c>
      <c r="BS41" s="885"/>
      <c r="BT41" s="883">
        <f>(_schadekosten_per_km*E41*L41)/12</f>
        <v>0</v>
      </c>
      <c r="BU41" s="884">
        <f>IF($L41=0,0,(BT41*12*looptijd)/($E41*$L41*looptijd))</f>
        <v>0</v>
      </c>
      <c r="BV41" s="881"/>
      <c r="BW41" s="886">
        <f>(Efac_die_TTW*(gem_verbr_die_J/100)*$E41*H41)+(Efac_benz_TTW*(gem_verbr_benz_J/100)*$E41*I41)+(Efac_CNG_berekening_TTW*(gem_verbr_CNG_J/100)*$E41*J41)</f>
        <v>0</v>
      </c>
      <c r="BX41" s="887">
        <f>(Efac_die_WTW*(gem_verbr_die_J/100)*$E41*H41)+(Efac_benz_WTW*(gem_verbr_benz_J/100)*$E41*I41)+(Efac_CNG_berekening_WTW*(gem_verbr_CNG_J/100)*$E41*J41)</f>
        <v>0</v>
      </c>
      <c r="BY41" s="888">
        <f>IF($G41=0,0,(BX41*looptijd)/($E41*$G41*looptijd))</f>
        <v>0</v>
      </c>
      <c r="BZ41" s="889"/>
      <c r="CA41" s="886">
        <f>(Efac_die_TTW*(gem_verbr_die_J/100)*$E41*M41)+(Efac_benz_TTW*(gem_verbr_benz_J/100)*$E41*N41)+(Efac_CNG_berekening_TTW*(gem_verbr_CNG_J/100)*$E41*O41)+(Efac_elek_berekening_TTW*(gem_verbr_BEV_J/100)*$E41*P41)+(Efac_elek_berekening_TTW*(gem_verbr_FCEV_J_Elek/100)*(100%-_verh_H2_accu_J)*Q41)+(Efac_H2_berekening_TTW*(gem_verbr_FCEV_J_H2/100)*(_verh_H2_accu_J)*Q41)</f>
        <v>0</v>
      </c>
      <c r="CB41" s="887">
        <f>(Efac_die_WTW*(gem_verbr_die_J/100)*$E41*M41)+(Efac_benz_WTW*(gem_verbr_benz_J/100)*$E41*N41)+(Efac_CNG_berekening_WTW*(gem_verbr_CNG_J/100)*$E41*O41)+(Efac_elek_berekening_WTW*(gem_verbr_BEV_J/100)*$E41*P41)+(Efac_elek_berekening_WTW*(gem_verbr_FCEV_J_Elek/100)*(100%-_verh_H2_accu_J)*Q41)+(Efac_H2_berekening_WTW*(gem_verbr_FCEV_J_H2/100)*(_verh_H2_accu_J)*Q41)</f>
        <v>0</v>
      </c>
      <c r="CC41" s="888">
        <f>IF($L41=0,0,(CB41*looptijd)/($L41*$E41*looptijd))</f>
        <v>0</v>
      </c>
    </row>
    <row r="42" spans="1:81">
      <c r="A42" s="891"/>
      <c r="B42" s="867" t="s">
        <v>159</v>
      </c>
      <c r="C42" s="868" t="s">
        <v>752</v>
      </c>
      <c r="D42" s="868"/>
      <c r="E42" s="872">
        <v>50000</v>
      </c>
      <c r="F42" s="873"/>
      <c r="G42" s="870">
        <f t="shared" si="0"/>
        <v>0</v>
      </c>
      <c r="H42" s="868">
        <v>0</v>
      </c>
      <c r="I42" s="868">
        <v>0</v>
      </c>
      <c r="J42" s="872">
        <v>0</v>
      </c>
      <c r="K42" s="873"/>
      <c r="L42" s="870">
        <f t="shared" si="1"/>
        <v>0</v>
      </c>
      <c r="M42" s="868">
        <v>0</v>
      </c>
      <c r="N42" s="868">
        <v>0</v>
      </c>
      <c r="O42" s="868">
        <v>0</v>
      </c>
      <c r="P42" s="868">
        <v>0</v>
      </c>
      <c r="Q42" s="874">
        <v>0</v>
      </c>
      <c r="S42" s="875">
        <f>(L42*E42*looptijd)</f>
        <v>0</v>
      </c>
      <c r="U42" s="876">
        <f>(Netto_cat_die_J*H42)+(Netto_cat_benz_J*I42)+(Netto_cat_CNG_J*J42)</f>
        <v>0</v>
      </c>
      <c r="V42" s="877">
        <f>IF($G42=0,0,U42/($E42*$G42*looptijd))</f>
        <v>0</v>
      </c>
      <c r="W42" s="878">
        <f>IF(BPM_belasting="ja",(BPM_die_J*H42)+(BPM_benz_J*I42)+(BPM_CNG_J*J42),0)</f>
        <v>0</v>
      </c>
      <c r="X42" s="877">
        <f>IF($G42=0,0,W42/($E42*looptijd*$G42))</f>
        <v>0</v>
      </c>
      <c r="Y42" s="879">
        <f t="shared" si="4"/>
        <v>0</v>
      </c>
      <c r="Z42" s="879">
        <f t="shared" si="5"/>
        <v>0</v>
      </c>
      <c r="AA42" s="879">
        <f>IF(BTW_verrekening="ja",((U42+W42-AW42))/2*Rente_financiering,((U42+W42+Y42-AW42)/2)*Rente_financiering)</f>
        <v>0</v>
      </c>
      <c r="AB42" s="880">
        <f>IF(G42=0,0,AA42*looptijd/($E42*looptijd*$G42))</f>
        <v>0</v>
      </c>
      <c r="AD42" s="876">
        <f>(Netto_cat_die_J*M42)+(Netto_cat_benz_J*N42)+(Netto_cat_CNG_J*O42)+(Netto_cat_BEV_J*P42)+(Netto_cat_FCEV_J*Q42)</f>
        <v>0</v>
      </c>
      <c r="AE42" s="877">
        <f>IF($L42=0,0,AD42/($E42*$L42*looptijd))</f>
        <v>0</v>
      </c>
      <c r="AF42" s="878">
        <f>IF(BPM_belasting="ja",(BPM_benz_A*N42)+(BPM_CNG_A*O42)+(P42*BPM_BEV)+(Q42*BPM_FCEV),0)</f>
        <v>0</v>
      </c>
      <c r="AG42" s="878">
        <f>IF($L42=0,0,AF42/($E42*looptijd*$L42))</f>
        <v>0</v>
      </c>
      <c r="AH42" s="878">
        <f>BTW*AD42</f>
        <v>0</v>
      </c>
      <c r="AI42" s="878">
        <f>SUM(AD42:AH42)</f>
        <v>0</v>
      </c>
      <c r="AJ42" s="878">
        <f>IF('2. Invoer parameters'!$C$10="ja",MIA_BEV_J*P42,0)</f>
        <v>0</v>
      </c>
      <c r="AK42" s="882">
        <f>IF($L42=0,0,AJ42/($E42*looptijd*$L42))</f>
        <v>0</v>
      </c>
      <c r="AL42" s="881">
        <f>IF(BPM_belasting="nee",(((AD42-AJ42)-BK42)/2)*Rente_financiering,(((AD42-AJ42+AF42)-BL42)/2)*Rente_financiering)</f>
        <v>0</v>
      </c>
      <c r="AM42" s="880">
        <f>IF($L42=0,0,AL42*looptijd/($E42*looptijd*$L42))</f>
        <v>0</v>
      </c>
      <c r="AO42" s="876">
        <f>(H42*verz_die_J)+(I42*verz_benz_J)+(J42*verz_CNG_J)</f>
        <v>0</v>
      </c>
      <c r="AP42" s="877">
        <f>IF($G42=0,0,(AO42*12*looptijd)/($E42*looptijd*$G42))</f>
        <v>0</v>
      </c>
      <c r="AQ42" s="878">
        <f>(input_MRB_die_J*$H42)+(input_MRB_benz_J*$I42)+(input_MRB_CNG_J*J42)</f>
        <v>0</v>
      </c>
      <c r="AR42" s="877">
        <f>IF($G42=0,0,AQ42/($E42*looptijd*$G42))</f>
        <v>0</v>
      </c>
      <c r="AS42" s="878">
        <f>($E42*H42*(gem_verbr_die_J/100)*prijs_die)+($E42*I42*(gem_verbr_benz_J/100)*prijs_benz)+($E42*J42*(gem_verbr_CNG_J/100)*prijs_CNG)</f>
        <v>0</v>
      </c>
      <c r="AT42" s="877">
        <f>IF($G42=0,0,(AS42*looptijd)/(looptijd*$E42*$G42))</f>
        <v>0</v>
      </c>
      <c r="AU42" s="878">
        <f>($E42*H42*Onderh_die_J_hoog_km)+($E42*I42*Onderh_benz_J_hoog_km)+($E42*J42*Onderh_CNG_J_hoog_km)</f>
        <v>0</v>
      </c>
      <c r="AV42" s="877">
        <f>IF($G42=0,0,(AU42*looptijd)/(looptijd*$E42*$G42))</f>
        <v>0</v>
      </c>
      <c r="AW42" s="878">
        <f>Rest_perc*SUM(U42:W42)</f>
        <v>0</v>
      </c>
      <c r="AX42" s="881">
        <f>Rest_perc*SUM(U42:Y42)</f>
        <v>0</v>
      </c>
      <c r="AY42" s="878">
        <f>IF(BTW_verrekening="Ja",((U42+W42)-AW42)/(looptijd*12),((U42+W42+Y42)-AX42)/(looptijd*12))</f>
        <v>0</v>
      </c>
      <c r="AZ42" s="877">
        <f>IF($G42=0,0,(AY42*12*looptijd)/(looptijd*$E42*$G42))</f>
        <v>0</v>
      </c>
      <c r="BA42" s="883">
        <f>(_schadekosten_per_km*E42*G42)/12</f>
        <v>0</v>
      </c>
      <c r="BB42" s="884">
        <f>IF($G42=0,0,(BA42*12*looptijd)/($E42*$G42*looptijd))</f>
        <v>0</v>
      </c>
      <c r="BD42" s="876">
        <f>(M42*verz_die_J)+(N42*verz_benz_J)+(O42*verz_CNG_J)+(P42*verz_BEV_J)+(Q42*verz_FCEV_J)</f>
        <v>0</v>
      </c>
      <c r="BE42" s="877">
        <f>IF($L42=0,0,(BD42*12*looptijd)/($E42*looptijd*$L42))</f>
        <v>0</v>
      </c>
      <c r="BF42" s="878">
        <f>(MRB_die_J*M42)+(MRB_benz_J*N42)+(input_MRB_CNG_J*O42)+(input_MRB_BEV_J*P42)+(input_MRB_FCEV_J*Q42)</f>
        <v>0</v>
      </c>
      <c r="BG42" s="877">
        <f>IF($L42=0,0,BF42/($E42*looptijd*$L42))</f>
        <v>0</v>
      </c>
      <c r="BH42" s="878">
        <f>($E42*M42*(gem_verbr_die_J/100)*prijs_die)+($E42*N42*(gem_verbr_benz_J/100)*prijs_benz)+($E42*O42*(gem_verbr_CNG_J/100)*prijs_CNG)+($E42*P42*(gem_verbr_BEV_J/100)*prijs_elek_berekening)+($E42*Q42*(gem_verbr_FCEV_J_Elek/100)*prijs_elek_berekening*(100%-_verh_H2_accu_J))+($E42*Q42*(gem_verbr_FCEV_J_H2/100)*prijs_H2*(_verh_H2_accu_J))</f>
        <v>0</v>
      </c>
      <c r="BI42" s="877">
        <f>IF($L42=0,0,(BH42*looptijd)/(looptijd*$E42*$L42))</f>
        <v>0</v>
      </c>
      <c r="BJ42" s="885"/>
      <c r="BK42" s="878">
        <f>Rest_perc_ZE*(AD42+AF42)</f>
        <v>0</v>
      </c>
      <c r="BL42" s="878">
        <f>Rest_perc_ZE*(AD42+AF42+AH42)</f>
        <v>0</v>
      </c>
      <c r="BM42" s="885"/>
      <c r="BN42" s="878">
        <f>($E42*M42*Onderh_die_J_hoog_km)+($E42*N42*Onderh_benz_J_hoog_km)+($E42*O42*Onderh_CNG_J_hoog_km)+($E42*P42*Onderh_BEV_J_hoog_km)+($E42*Q42*Onderh_FCEV_J_hoog_km)</f>
        <v>0</v>
      </c>
      <c r="BO42" s="877">
        <f>IF($L42=0,0,(BN42*looptijd)/(looptijd*$E42*$L42))</f>
        <v>0</v>
      </c>
      <c r="BP42" s="878"/>
      <c r="BQ42" s="878">
        <f>IF(BTW_verrekening="Ja",((AD42+AF42-AJ42)-BK42)/(looptijd*12),((AD42+AF42+AH42-AJ42)-BL42)/(looptijd*12))</f>
        <v>0</v>
      </c>
      <c r="BR42" s="877">
        <f>IF($G42=0,0,(BQ42*12*looptijd)/(looptijd*$E42*$G42))</f>
        <v>0</v>
      </c>
      <c r="BS42" s="885"/>
      <c r="BT42" s="883">
        <f>(_schadekosten_per_km*E42*L42)/12</f>
        <v>0</v>
      </c>
      <c r="BU42" s="884">
        <f>IF($L42=0,0,(BT42*12*looptijd)/($E42*$L42*looptijd))</f>
        <v>0</v>
      </c>
      <c r="BV42" s="881"/>
      <c r="BW42" s="886">
        <f>(Efac_die_TTW*(gem_verbr_die_J/100)*$E42*H42)+(Efac_benz_TTW*(gem_verbr_benz_J/100)*$E42*I42)+(Efac_CNG_berekening_TTW*(gem_verbr_CNG_J/100)*$E42*J42)</f>
        <v>0</v>
      </c>
      <c r="BX42" s="887">
        <f>(Efac_die_WTW*(gem_verbr_die_J/100)*$E42*H42)+(Efac_benz_WTW*(gem_verbr_benz_J/100)*$E42*I42)+(Efac_CNG_berekening_WTW*(gem_verbr_CNG_J/100)*$E42*J42)</f>
        <v>0</v>
      </c>
      <c r="BY42" s="888">
        <f>IF($G42=0,0,(BX42*looptijd)/($E42*$G42*looptijd))</f>
        <v>0</v>
      </c>
      <c r="BZ42" s="889"/>
      <c r="CA42" s="886">
        <f>(Efac_die_TTW*(gem_verbr_die_J/100)*$E42*M42)+(Efac_benz_TTW*(gem_verbr_benz_J/100)*$E42*N42)+(Efac_CNG_berekening_TTW*(gem_verbr_CNG_J/100)*$E42*O42)+(Efac_elek_berekening_TTW*(gem_verbr_BEV_J/100)*$E42*P42)+(Efac_elek_berekening_TTW*(gem_verbr_FCEV_J_Elek/100)*(100%-_verh_H2_accu_J)*Q42)+(Efac_H2_berekening_TTW*(gem_verbr_FCEV_J_H2/100)*(_verh_H2_accu_J)*Q42)</f>
        <v>0</v>
      </c>
      <c r="CB42" s="887">
        <f>(Efac_die_WTW*(gem_verbr_die_J/100)*$E42*M42)+(Efac_benz_WTW*(gem_verbr_benz_J/100)*$E42*N42)+(Efac_CNG_berekening_WTW*(gem_verbr_CNG_J/100)*$E42*O42)+(Efac_elek_berekening_WTW*(gem_verbr_BEV_J/100)*$E42*P42)+(Efac_elek_berekening_WTW*(gem_verbr_FCEV_J_Elek/100)*(100%-_verh_H2_accu_J)*Q42)+(Efac_H2_berekening_WTW*(gem_verbr_FCEV_J_H2/100)*(_verh_H2_accu_J)*Q42)</f>
        <v>0</v>
      </c>
      <c r="CC42" s="888">
        <f>IF($L42=0,0,(CB42*looptijd)/($L42*$E42*looptijd))</f>
        <v>0</v>
      </c>
    </row>
    <row r="43" spans="1:81">
      <c r="A43" s="891"/>
      <c r="B43" s="867" t="s">
        <v>159</v>
      </c>
      <c r="C43" s="868" t="s">
        <v>1695</v>
      </c>
      <c r="D43" s="868"/>
      <c r="E43" s="872">
        <v>75000</v>
      </c>
      <c r="F43" s="873"/>
      <c r="G43" s="870">
        <f t="shared" si="0"/>
        <v>0</v>
      </c>
      <c r="H43" s="868">
        <v>0</v>
      </c>
      <c r="I43" s="868">
        <v>0</v>
      </c>
      <c r="J43" s="872">
        <v>0</v>
      </c>
      <c r="K43" s="873"/>
      <c r="L43" s="870">
        <f t="shared" si="1"/>
        <v>0</v>
      </c>
      <c r="M43" s="868">
        <v>0</v>
      </c>
      <c r="N43" s="868">
        <v>0</v>
      </c>
      <c r="O43" s="868">
        <v>0</v>
      </c>
      <c r="P43" s="868">
        <v>0</v>
      </c>
      <c r="Q43" s="874">
        <v>0</v>
      </c>
      <c r="S43" s="875">
        <f>(L43*E43*looptijd)</f>
        <v>0</v>
      </c>
      <c r="U43" s="876">
        <f>(Netto_cat_die_J*H43)+(Netto_cat_benz_J*I43)+(Netto_cat_CNG_J*J43)</f>
        <v>0</v>
      </c>
      <c r="V43" s="877">
        <f>IF($G43=0,0,U43/($E43*$G43*looptijd))</f>
        <v>0</v>
      </c>
      <c r="W43" s="878">
        <f>IF(BPM_belasting="ja",(BPM_die_J*H43)+(BPM_benz_J*I43)+(BPM_CNG_J*J43),0)</f>
        <v>0</v>
      </c>
      <c r="X43" s="877">
        <f>IF($G43=0,0,W43/($E43*looptijd*$G43))</f>
        <v>0</v>
      </c>
      <c r="Y43" s="879">
        <f t="shared" si="4"/>
        <v>0</v>
      </c>
      <c r="Z43" s="879">
        <f t="shared" si="5"/>
        <v>0</v>
      </c>
      <c r="AA43" s="879">
        <f>IF(BTW_verrekening="ja",((U43+W43-AW43))/2*Rente_financiering,((U43+W43+Y43-AW43)/2)*Rente_financiering)</f>
        <v>0</v>
      </c>
      <c r="AB43" s="880">
        <f>IF(G43=0,0,AA43*looptijd/($E43*looptijd*$G43))</f>
        <v>0</v>
      </c>
      <c r="AD43" s="876">
        <f>(Netto_cat_die_J*M43)+(Netto_cat_benz_J*N43)+(Netto_cat_CNG_J*O43)+(Netto_cat_BEV_J*P43)+(Netto_cat_FCEV_J*Q43)</f>
        <v>0</v>
      </c>
      <c r="AE43" s="877">
        <f>IF($L43=0,0,AD43/($E43*$L43*looptijd))</f>
        <v>0</v>
      </c>
      <c r="AF43" s="878">
        <f>IF(BPM_belasting="ja",(BPM_benz_A*N43)+(BPM_CNG_A*O43)+(P43*BPM_BEV)+(Q43*BPM_FCEV),0)</f>
        <v>0</v>
      </c>
      <c r="AG43" s="878">
        <f>IF($L43=0,0,AF43/($E43*looptijd*$L43))</f>
        <v>0</v>
      </c>
      <c r="AH43" s="878">
        <f>BTW*AD43</f>
        <v>0</v>
      </c>
      <c r="AI43" s="878">
        <f>SUM(AD43:AH43)</f>
        <v>0</v>
      </c>
      <c r="AJ43" s="878">
        <f>IF('2. Invoer parameters'!$C$10="ja",MIA_BEV_J*P43,0)</f>
        <v>0</v>
      </c>
      <c r="AK43" s="882">
        <f>IF($L43=0,0,AJ43/($E43*looptijd*$L43))</f>
        <v>0</v>
      </c>
      <c r="AL43" s="881">
        <f>IF(BPM_belasting="nee",(((AD43-AJ43)-BK43)/2)*Rente_financiering,(((AD43-AJ43+AF43)-BL43)/2)*Rente_financiering)</f>
        <v>0</v>
      </c>
      <c r="AM43" s="880">
        <f>IF($L43=0,0,AL43*looptijd/($E43*looptijd*$L43))</f>
        <v>0</v>
      </c>
      <c r="AO43" s="876">
        <f>(H43*verz_die_J)+(I43*verz_benz_J)+(J43*verz_CNG_J)</f>
        <v>0</v>
      </c>
      <c r="AP43" s="877">
        <f>IF($G43=0,0,(AO43*12*looptijd)/($E43*looptijd*$G43))</f>
        <v>0</v>
      </c>
      <c r="AQ43" s="878">
        <f>(input_MRB_die_J*$H43)+(input_MRB_benz_J*$I43)+(input_MRB_CNG_J*J43)</f>
        <v>0</v>
      </c>
      <c r="AR43" s="877">
        <f>IF($G43=0,0,AQ43/($E43*looptijd*$G43))</f>
        <v>0</v>
      </c>
      <c r="AS43" s="878">
        <f>($E43*H43*(gem_verbr_die_J/100)*prijs_die)+($E43*I43*(gem_verbr_benz_J/100)*prijs_benz)+($E43*J43*(gem_verbr_CNG_J/100)*prijs_CNG)</f>
        <v>0</v>
      </c>
      <c r="AT43" s="877">
        <f>IF($G43=0,0,(AS43*looptijd)/(looptijd*$E43*$G43))</f>
        <v>0</v>
      </c>
      <c r="AU43" s="878">
        <f>($E43*H43*Onderh_die_J_hoog_km)+($E43*I43*Onderh_benz_J_hoog_km)+($E43*J43*Onderh_CNG_J_hoog_km)</f>
        <v>0</v>
      </c>
      <c r="AV43" s="877">
        <f>IF($G43=0,0,(AU43*looptijd)/(looptijd*$E43*$G43))</f>
        <v>0</v>
      </c>
      <c r="AW43" s="878">
        <f>Rest_perc*SUM(U43:W43)</f>
        <v>0</v>
      </c>
      <c r="AX43" s="881">
        <f>Rest_perc*SUM(U43:Y43)</f>
        <v>0</v>
      </c>
      <c r="AY43" s="878">
        <f>IF(BTW_verrekening="Ja",((U43+W43)-AW43)/(looptijd*12),((U43+W43+Y43)-AX43)/(looptijd*12))</f>
        <v>0</v>
      </c>
      <c r="AZ43" s="877">
        <f>IF($G43=0,0,(AY43*12*looptijd)/(looptijd*$E43*$G43))</f>
        <v>0</v>
      </c>
      <c r="BA43" s="883">
        <f>(_schadekosten_per_km*E43*G43)/12</f>
        <v>0</v>
      </c>
      <c r="BB43" s="884">
        <f>IF($G43=0,0,(BA43*12*looptijd)/($E43*$G43*looptijd))</f>
        <v>0</v>
      </c>
      <c r="BD43" s="876">
        <f>(M43*verz_die_J)+(N43*verz_benz_J)+(O43*verz_CNG_J)+(P43*verz_BEV_J)+(Q43*verz_FCEV_J)</f>
        <v>0</v>
      </c>
      <c r="BE43" s="877">
        <f>IF($L43=0,0,(BD43*12*looptijd)/($E43*looptijd*$L43))</f>
        <v>0</v>
      </c>
      <c r="BF43" s="878">
        <f>(MRB_die_J*M43)+(MRB_benz_J*N43)+(input_MRB_CNG_J*O43)+(input_MRB_BEV_J*P43)+(input_MRB_FCEV_J*Q43)</f>
        <v>0</v>
      </c>
      <c r="BG43" s="877">
        <f>IF($L43=0,0,BF43/($E43*looptijd*$L43))</f>
        <v>0</v>
      </c>
      <c r="BH43" s="878">
        <f>($E43*M43*(gem_verbr_die_J/100)*prijs_die)+($E43*N43*(gem_verbr_benz_J/100)*prijs_benz)+($E43*O43*(gem_verbr_CNG_J/100)*prijs_CNG)+($E43*P43*(gem_verbr_BEV_J/100)*prijs_elek_berekening)+($E43*Q43*(gem_verbr_FCEV_J_Elek/100)*prijs_elek_berekening*(100%-_verh_H2_accu_J))+($E43*Q43*(gem_verbr_FCEV_J_H2/100)*prijs_H2*(_verh_H2_accu_J))</f>
        <v>0</v>
      </c>
      <c r="BI43" s="877">
        <f>IF($L43=0,0,(BH43*looptijd)/(looptijd*$E43*$L43))</f>
        <v>0</v>
      </c>
      <c r="BJ43" s="885"/>
      <c r="BK43" s="878">
        <f>Rest_perc_ZE*(AD43+AF43)</f>
        <v>0</v>
      </c>
      <c r="BL43" s="878">
        <f>Rest_perc_ZE*(AD43+AF43+AH43)</f>
        <v>0</v>
      </c>
      <c r="BM43" s="885"/>
      <c r="BN43" s="878">
        <f>($E43*M43*Onderh_die_J_hoog_km)+($E43*N43*Onderh_benz_J_hoog_km)+($E43*O43*Onderh_CNG_J_hoog_km)+($E43*P43*Onderh_BEV_J_hoog_km)+($E43*Q43*Onderh_FCEV_J_hoog_km)</f>
        <v>0</v>
      </c>
      <c r="BO43" s="877">
        <f>IF($L43=0,0,(BN43*looptijd)/(looptijd*$E43*$L43))</f>
        <v>0</v>
      </c>
      <c r="BP43" s="878"/>
      <c r="BQ43" s="878">
        <f>IF(BTW_verrekening="Ja",((AD43+AF43-AJ43)-BK43)/(looptijd*12),((AD43+AF43+AH43-AJ43)-BL43)/(looptijd*12))</f>
        <v>0</v>
      </c>
      <c r="BR43" s="877">
        <f>IF($G43=0,0,(BQ43*12*looptijd)/(looptijd*$E43*$G43))</f>
        <v>0</v>
      </c>
      <c r="BS43" s="885"/>
      <c r="BT43" s="883">
        <f>(_schadekosten_per_km*E43*L43)/12</f>
        <v>0</v>
      </c>
      <c r="BU43" s="884">
        <f>IF($L43=0,0,(BT43*12*looptijd)/($E43*$L43*looptijd))</f>
        <v>0</v>
      </c>
      <c r="BV43" s="881"/>
      <c r="BW43" s="886">
        <f>(Efac_die_TTW*(gem_verbr_die_J/100)*$E43*H43)+(Efac_benz_TTW*(gem_verbr_benz_J/100)*$E43*I43)+(Efac_CNG_berekening_TTW*(gem_verbr_CNG_J/100)*$E43*J43)</f>
        <v>0</v>
      </c>
      <c r="BX43" s="887">
        <f>(Efac_die_WTW*(gem_verbr_die_J/100)*$E43*H43)+(Efac_benz_WTW*(gem_verbr_benz_J/100)*$E43*I43)+(Efac_CNG_berekening_WTW*(gem_verbr_CNG_J/100)*$E43*J43)</f>
        <v>0</v>
      </c>
      <c r="BY43" s="888">
        <f>IF($G43=0,0,(BX43*looptijd)/($E43*$G43*looptijd))</f>
        <v>0</v>
      </c>
      <c r="BZ43" s="889"/>
      <c r="CA43" s="886">
        <f>(Efac_die_TTW*(gem_verbr_die_J/100)*$E43*M43)+(Efac_benz_TTW*(gem_verbr_benz_J/100)*$E43*N43)+(Efac_CNG_berekening_TTW*(gem_verbr_CNG_J/100)*$E43*O43)+(Efac_elek_berekening_TTW*(gem_verbr_BEV_J/100)*$E43*P43)+(Efac_elek_berekening_TTW*(gem_verbr_FCEV_J_Elek/100)*(100%-_verh_H2_accu_J)*Q43)+(Efac_H2_berekening_TTW*(gem_verbr_FCEV_J_H2/100)*(_verh_H2_accu_J)*Q43)</f>
        <v>0</v>
      </c>
      <c r="CB43" s="887">
        <f>(Efac_die_WTW*(gem_verbr_die_J/100)*$E43*M43)+(Efac_benz_WTW*(gem_verbr_benz_J/100)*$E43*N43)+(Efac_CNG_berekening_WTW*(gem_verbr_CNG_J/100)*$E43*O43)+(Efac_elek_berekening_WTW*(gem_verbr_BEV_J/100)*$E43*P43)+(Efac_elek_berekening_WTW*(gem_verbr_FCEV_J_Elek/100)*(100%-_verh_H2_accu_J)*Q43)+(Efac_H2_berekening_WTW*(gem_verbr_FCEV_J_H2/100)*(_verh_H2_accu_J)*Q43)</f>
        <v>0</v>
      </c>
      <c r="CC43" s="888">
        <f>IF($L43=0,0,(CB43*looptijd)/($L43*$E43*looptijd))</f>
        <v>0</v>
      </c>
    </row>
    <row r="44" spans="1:81">
      <c r="A44" s="891"/>
      <c r="B44" s="867"/>
      <c r="C44" s="868"/>
      <c r="D44" s="868"/>
      <c r="E44" s="872"/>
      <c r="F44" s="873"/>
      <c r="G44" s="870"/>
      <c r="H44" s="868"/>
      <c r="I44" s="868"/>
      <c r="J44" s="872"/>
      <c r="K44" s="873"/>
      <c r="L44" s="870"/>
      <c r="M44" s="868"/>
      <c r="N44" s="868"/>
      <c r="O44" s="868"/>
      <c r="P44" s="868"/>
      <c r="Q44" s="872"/>
      <c r="S44" s="875"/>
      <c r="U44" s="876"/>
      <c r="V44" s="877"/>
      <c r="W44" s="878"/>
      <c r="X44" s="877"/>
      <c r="Y44" s="879"/>
      <c r="Z44" s="879"/>
      <c r="AA44" s="879"/>
      <c r="AB44" s="880"/>
      <c r="AD44" s="876"/>
      <c r="AE44" s="877"/>
      <c r="AF44" s="878"/>
      <c r="AG44" s="878"/>
      <c r="AH44" s="878"/>
      <c r="AI44" s="878"/>
      <c r="AJ44" s="878"/>
      <c r="AK44" s="882"/>
      <c r="AL44" s="881"/>
      <c r="AM44" s="880"/>
      <c r="AO44" s="876"/>
      <c r="AP44" s="877"/>
      <c r="AQ44" s="878"/>
      <c r="AR44" s="877"/>
      <c r="AS44" s="878"/>
      <c r="AT44" s="877"/>
      <c r="AU44" s="878"/>
      <c r="AV44" s="877"/>
      <c r="AW44" s="878"/>
      <c r="AX44" s="881"/>
      <c r="AY44" s="878"/>
      <c r="AZ44" s="877"/>
      <c r="BA44" s="883"/>
      <c r="BB44" s="884"/>
      <c r="BD44" s="876"/>
      <c r="BE44" s="877"/>
      <c r="BF44" s="878"/>
      <c r="BG44" s="877"/>
      <c r="BH44" s="878"/>
      <c r="BI44" s="877"/>
      <c r="BJ44" s="885"/>
      <c r="BK44" s="878"/>
      <c r="BL44" s="878"/>
      <c r="BM44" s="885"/>
      <c r="BN44" s="878"/>
      <c r="BO44" s="877"/>
      <c r="BP44" s="878"/>
      <c r="BQ44" s="878"/>
      <c r="BR44" s="877"/>
      <c r="BS44" s="885"/>
      <c r="BT44" s="883"/>
      <c r="BU44" s="884"/>
      <c r="BV44" s="881"/>
      <c r="BW44" s="886"/>
      <c r="BX44" s="887"/>
      <c r="BY44" s="888"/>
      <c r="BZ44" s="889"/>
      <c r="CA44" s="886"/>
      <c r="CB44" s="887"/>
      <c r="CC44" s="888"/>
    </row>
    <row r="45" spans="1:81">
      <c r="A45" s="891"/>
      <c r="B45" s="867" t="s">
        <v>896</v>
      </c>
      <c r="C45" s="868" t="s">
        <v>748</v>
      </c>
      <c r="D45" s="868"/>
      <c r="E45" s="869">
        <f>$E$3</f>
        <v>10000</v>
      </c>
      <c r="F45" s="873"/>
      <c r="G45" s="870">
        <f t="shared" si="0"/>
        <v>0</v>
      </c>
      <c r="H45" s="868">
        <f t="array" ref="H45:H49">TRANSPOSE('1a. Invoer - BESTAAND'!J11:N11)</f>
        <v>0</v>
      </c>
      <c r="I45" s="868">
        <f t="array" ref="I45:I49">TRANSPOSE('1a. Invoer - BESTAAND'!E11:I11)</f>
        <v>0</v>
      </c>
      <c r="J45" s="872">
        <f t="array" ref="J45:J49">TRANSPOSE('1a. Invoer - BESTAAND'!E40:I40)</f>
        <v>0</v>
      </c>
      <c r="K45" s="873"/>
      <c r="L45" s="870">
        <f t="shared" si="1"/>
        <v>0</v>
      </c>
      <c r="M45" s="868">
        <v>0</v>
      </c>
      <c r="N45" s="868">
        <v>0</v>
      </c>
      <c r="O45" s="868">
        <v>0</v>
      </c>
      <c r="P45" s="868">
        <f t="array" ref="P45:P49">TRANSPOSE('1b. Invoer - NIEUW'!E13:I13)</f>
        <v>0</v>
      </c>
      <c r="Q45" s="874">
        <v>0</v>
      </c>
      <c r="S45" s="875">
        <f>(L45*E45*looptijd)</f>
        <v>0</v>
      </c>
      <c r="U45" s="876">
        <f>(Netto_cat_die_K*H45)+(Netto_cat_benz_K*I45)+(Netto_cat_CNG_K*J45)</f>
        <v>0</v>
      </c>
      <c r="V45" s="877">
        <f>IF($G45=0,0,U45/($E45*$G45*looptijd))</f>
        <v>0</v>
      </c>
      <c r="W45" s="878">
        <f>IF(BPM_belasting="ja",(BPM_die_K*H45)+(BPM_benz_K*I45)+(BPM_CNG_K*J45),0)</f>
        <v>0</v>
      </c>
      <c r="X45" s="877">
        <f>IF($G45=0,0,W45/($E45*looptijd*$G45))</f>
        <v>0</v>
      </c>
      <c r="Y45" s="879">
        <f>BTW*U45</f>
        <v>0</v>
      </c>
      <c r="Z45" s="879">
        <f t="shared" si="5"/>
        <v>0</v>
      </c>
      <c r="AA45" s="879">
        <f>IF(BTW_verrekening="ja",((U45+W45-AW45))/2*Rente_financiering,((U45+W45+Y45-AW45)/2)*Rente_financiering)</f>
        <v>0</v>
      </c>
      <c r="AB45" s="880">
        <f>IF(G45=0,0,AA45*looptijd/($E45*looptijd*$G45))</f>
        <v>0</v>
      </c>
      <c r="AD45" s="876">
        <f>(Netto_cat_die_K*M45)+(Netto_cat_benz_K*N45)+(Netto_cat_CNG_K*O45)+(Netto_cat_BEV_K*P45)+(Netto_cat_FCEV_K*Q45)</f>
        <v>0</v>
      </c>
      <c r="AE45" s="877">
        <f>IF($L45=0,0,AD45/($E45*$L45*looptijd))</f>
        <v>0</v>
      </c>
      <c r="AF45" s="878">
        <f>IF(BPM_belasting="ja",(BPM_benz_A*N45)+(BPM_CNG_A*O45)+(P45*BPM_BEV)+(Q45*BPM_FCEV),0)</f>
        <v>0</v>
      </c>
      <c r="AG45" s="878">
        <f>IF($L45=0,0,AF45/($E45*looptijd*$L45))</f>
        <v>0</v>
      </c>
      <c r="AH45" s="878">
        <f>BTW*AD45</f>
        <v>0</v>
      </c>
      <c r="AI45" s="878">
        <f>SUM(AD45:AH45)</f>
        <v>0</v>
      </c>
      <c r="AJ45" s="878">
        <f>IF('2. Invoer parameters'!$C$10="ja",MIA_BEV_K*P45,0)</f>
        <v>0</v>
      </c>
      <c r="AK45" s="882">
        <f>IF($L45=0,0,AJ45/($E45*looptijd*$L45))</f>
        <v>0</v>
      </c>
      <c r="AL45" s="881">
        <f>IF(BPM_belasting="nee",(((AD45-AJ45)-BK45)/2)*Rente_financiering,(((AD45-AJ45+AF45)-BL45)/2)*Rente_financiering)</f>
        <v>0</v>
      </c>
      <c r="AM45" s="880">
        <f>IF($L45=0,0,AL45*looptijd/($E45*looptijd*$L45))</f>
        <v>0</v>
      </c>
      <c r="AO45" s="876">
        <f>(H45*verz_die_K)+(I45*verz_benz_K)+(J45*verz_CNG_K)</f>
        <v>0</v>
      </c>
      <c r="AP45" s="877">
        <f>IF($G45=0,0,(AO45*12*looptijd)/($E45*looptijd*$G45))</f>
        <v>0</v>
      </c>
      <c r="AQ45" s="878">
        <f>(input_MRB_die_K*$H45)+(input_MRB_benz_K*$I45)+(input_MRB_CNG_K*J45)</f>
        <v>0</v>
      </c>
      <c r="AR45" s="877">
        <f>IF($G45=0,0,AQ45/($E45*looptijd*$G45))</f>
        <v>0</v>
      </c>
      <c r="AS45" s="878">
        <f>($E45*H45*(gem_verbr_die_K/100)*prijs_die)+($E45*I45*(gem_verbr_benz_K/100)*prijs_benz)+($E45*J45*(gem_verbr_CNG_K/100)*prijs_CNG)</f>
        <v>0</v>
      </c>
      <c r="AT45" s="877">
        <f>IF($G45=0,0,(AS45*looptijd)/(looptijd*$E45*$G45))</f>
        <v>0</v>
      </c>
      <c r="AU45" s="878">
        <f>($E45*H45*Onderh_die_K_hoog_km)+($E45*I45*Onderh_benz_K_hoog_km)+($E45*J45*Onderh_CNG_K_hoog_km)</f>
        <v>0</v>
      </c>
      <c r="AV45" s="877">
        <f>IF($G45=0,0,(AU45*looptijd)/(looptijd*$E45*$G45))</f>
        <v>0</v>
      </c>
      <c r="AW45" s="878">
        <f>Rest_perc*SUM(U45:W45)</f>
        <v>0</v>
      </c>
      <c r="AX45" s="881">
        <f>Rest_perc*SUM(U45:Y45)</f>
        <v>0</v>
      </c>
      <c r="AY45" s="878">
        <f>IF(BTW_verrekening="Ja",((U45+W45)-AW45)/(looptijd*12),((U45+W45+Y45)-AX45)/(looptijd*12))</f>
        <v>0</v>
      </c>
      <c r="AZ45" s="877">
        <f>IF($G45=0,0,(AY45*12*looptijd)/(looptijd*$E45*$G45))</f>
        <v>0</v>
      </c>
      <c r="BA45" s="883">
        <f>(_schadekosten_per_km*E45*G45)/12</f>
        <v>0</v>
      </c>
      <c r="BB45" s="884">
        <f>IF($G45=0,0,(BA45*12*looptijd)/($E45*$G45*looptijd))</f>
        <v>0</v>
      </c>
      <c r="BD45" s="876">
        <f>(M45*verz_die_K)+(N45*verz_benz_K)+(O45*verz_CNG_K)+(P45*verz_BEV_K)+(Q45*verz_FCEV_K)</f>
        <v>0</v>
      </c>
      <c r="BE45" s="877">
        <f>IF($L45=0,0,(BD45*12*looptijd)/($E45*looptijd*$L45))</f>
        <v>0</v>
      </c>
      <c r="BF45" s="878">
        <f>(input_MRB_die_K*M45)+(input_MRB_benz_K*N45)+(input_MRB_CNG_K*O45)+(input_MRB_BEV_K*P45)+(input_MRB_FCEV_K*Q45)</f>
        <v>0</v>
      </c>
      <c r="BG45" s="877">
        <f>IF($L45=0,0,BF45/($E45*looptijd*$L45))</f>
        <v>0</v>
      </c>
      <c r="BH45" s="878">
        <f>($E45*M45*(gem_verbr_die_K/100)*prijs_die)+($E45*N45*(gem_verbr_benz_K/100)*prijs_benz)+($E45*O45*(gem_verbr_CNG_K/100)*prijs_CNG)+($E45*P45*(gem_verbr_BEV_K/100)*prijs_elek_berekening)+($E45*Q45*(gem_verbr_FCEV_K_Elek/100)*prijs_elek_berekening*(100%-_verh_H2_accu_K))+($E45*Q45*(gem_verbr_FCEV_K_H2/100)*prijs_H2*(_verh_H2_accu_K))</f>
        <v>0</v>
      </c>
      <c r="BI45" s="877">
        <f>IF($L45=0,0,(BH45*looptijd)/(looptijd*$E45*$L45))</f>
        <v>0</v>
      </c>
      <c r="BJ45" s="885"/>
      <c r="BK45" s="878">
        <f>Rest_perc_ZE*(AD45+AF45)</f>
        <v>0</v>
      </c>
      <c r="BL45" s="878">
        <f>Rest_perc_ZE*(AD45+AF45+AH45)</f>
        <v>0</v>
      </c>
      <c r="BM45" s="885"/>
      <c r="BN45" s="878">
        <f>($E45*M45*Onderh_die_K)+($E45*N45*Onderh_benz_K)+($E45*O45*Onderh_CNG_K)+($E45*P45*Onderh_BEV_K)+($E45*Q45*Onderh_FCEV_K)</f>
        <v>0</v>
      </c>
      <c r="BO45" s="877">
        <f>IF($L45=0,0,(BN45*looptijd)/(looptijd*$E45*$L45))</f>
        <v>0</v>
      </c>
      <c r="BP45" s="878"/>
      <c r="BQ45" s="878">
        <f>IF(BTW_verrekening="Ja",((AD45+AF45-AJ45)-BK45)/(looptijd*12),((AD45+AF45+AH45-AJ45)-BL45)/(looptijd*12))</f>
        <v>0</v>
      </c>
      <c r="BR45" s="877">
        <f>IF($G45=0,0,(BQ45*12*looptijd)/(looptijd*$E45*$G45))</f>
        <v>0</v>
      </c>
      <c r="BS45" s="885"/>
      <c r="BT45" s="883">
        <f>(_schadekosten_per_km*E45*L45)/12</f>
        <v>0</v>
      </c>
      <c r="BU45" s="884">
        <f>IF($L45=0,0,(BT45*12*looptijd)/($E45*$L45*looptijd))</f>
        <v>0</v>
      </c>
      <c r="BV45" s="881"/>
      <c r="BW45" s="886">
        <f>(Efac_die_TTW*(gem_verbr_die_K/100)*$E45*H45)+(Efac_benz_TTW*(gem_verbr_benz_J/100)*$E45*I45)+(Efac_CNG_berekening_TTW*(gem_verbr_CNG_J/100)*$E45*J45)</f>
        <v>0</v>
      </c>
      <c r="BX45" s="887">
        <f>(Efac_die_WTW*(gem_verbr_die_K/100)*$E45*H45)+(Efac_benz_WTW*(gem_verbr_benz_J/100)*$E45*I45)+(Efac_CNG_berekening_WTW*(gem_verbr_CNG_J/100)*$E45*J45)</f>
        <v>0</v>
      </c>
      <c r="BY45" s="888">
        <f>IF($G45=0,0,(BX45*looptijd)/($E45*$G45*looptijd))</f>
        <v>0</v>
      </c>
      <c r="BZ45" s="889"/>
      <c r="CA45" s="886">
        <f>(Efac_die_TTW*(gem_verbr_die_K/100)*$E45*M45)+(Efac_benz_TTW*(gem_verbr_benz_K/100)*$E45*N45)+(Efac_CNG_berekening_TTW*(gem_verbr_CNG_K/100)*$E45*O45)+(Efac_elek_berekening_TTW*(gem_verbr_BEV_K/100)*$E45*P45)+(Efac_elek_berekening_TTW*(gem_verbr_FCEV_K_Elek/100)*(100%-_verh_H2_accu_K)*Q45)+(Efac_H2_berekening_TTW*(gem_verbr_FCEV_K_H2/100)*(_verh_H2_accu_K)*Q45)</f>
        <v>0</v>
      </c>
      <c r="CB45" s="887">
        <f>(Efac_die_WTW*(gem_verbr_die_K/100)*$E45*M45)+(Efac_benz_WTW*(gem_verbr_benz_K/100)*$E45*N45)+(Efac_CNG_berekening_WTW*(gem_verbr_CNG_K/100)*$E45*O45)+(Efac_elek_berekening_WTW*(gem_verbr_BEV_K/100)*$E45*P45)+(Efac_elek_berekening_WTW*(gem_verbr_FCEV_K_Elek/100)*(100%-_verh_H2_accu_K)*Q45)+(Efac_H2_berekening_WTW*(gem_verbr_FCEV_K_H2/100)*(_verh_H2_accu_K)*Q45)</f>
        <v>0</v>
      </c>
      <c r="CC45" s="888">
        <f>IF($L45=0,0,(CB45*looptijd)/($L45*$E45*looptijd))</f>
        <v>0</v>
      </c>
    </row>
    <row r="46" spans="1:81">
      <c r="A46" s="891"/>
      <c r="B46" s="867" t="s">
        <v>896</v>
      </c>
      <c r="C46" s="868" t="s">
        <v>749</v>
      </c>
      <c r="D46" s="868"/>
      <c r="E46" s="869">
        <f>$E$4</f>
        <v>15000</v>
      </c>
      <c r="F46" s="873"/>
      <c r="G46" s="870">
        <f t="shared" si="0"/>
        <v>0</v>
      </c>
      <c r="H46" s="868">
        <v>0</v>
      </c>
      <c r="I46" s="868">
        <v>0</v>
      </c>
      <c r="J46" s="872">
        <v>0</v>
      </c>
      <c r="K46" s="873"/>
      <c r="L46" s="870">
        <f t="shared" si="1"/>
        <v>0</v>
      </c>
      <c r="M46" s="868">
        <v>0</v>
      </c>
      <c r="N46" s="868">
        <v>0</v>
      </c>
      <c r="O46" s="868">
        <v>0</v>
      </c>
      <c r="P46" s="868">
        <v>0</v>
      </c>
      <c r="Q46" s="874">
        <v>0</v>
      </c>
      <c r="S46" s="875">
        <f>(L46*E46*looptijd)</f>
        <v>0</v>
      </c>
      <c r="U46" s="876">
        <f>(Netto_cat_die_K*H46)+(Netto_cat_benz_K*I46)+(Netto_cat_CNG_K*J46)</f>
        <v>0</v>
      </c>
      <c r="V46" s="877">
        <f>IF($G46=0,0,U46/($E46*$G46*looptijd))</f>
        <v>0</v>
      </c>
      <c r="W46" s="878">
        <f>IF(BPM_belasting="ja",(BPM_die_K*H46)+(BPM_benz_K*I46)+(BPM_CNG_K*J46),0)</f>
        <v>0</v>
      </c>
      <c r="X46" s="877">
        <f>IF($G46=0,0,W46/($E46*looptijd*$G46))</f>
        <v>0</v>
      </c>
      <c r="Y46" s="879">
        <f>BTW*U46</f>
        <v>0</v>
      </c>
      <c r="Z46" s="879">
        <f t="shared" si="5"/>
        <v>0</v>
      </c>
      <c r="AA46" s="879">
        <f>IF(BTW_verrekening="ja",((U46+W46-AW46))/2*Rente_financiering,((U46+W46+Y46-AW46)/2)*Rente_financiering)</f>
        <v>0</v>
      </c>
      <c r="AB46" s="880">
        <f>IF(G46=0,0,AA46*looptijd/($E46*looptijd*$G46))</f>
        <v>0</v>
      </c>
      <c r="AD46" s="876">
        <f>(Netto_cat_die_K*M46)+(Netto_cat_benz_K*N46)+(Netto_cat_CNG_K*O46)+(Netto_cat_BEV_K*P46)+(Netto_cat_FCEV_K*Q46)</f>
        <v>0</v>
      </c>
      <c r="AE46" s="877">
        <f>IF($L46=0,0,AD46/($E46*$L46*looptijd))</f>
        <v>0</v>
      </c>
      <c r="AF46" s="878">
        <f>IF(BPM_belasting="ja",(BPM_benz_A*N46)+(BPM_CNG_A*O46)+(P46*BPM_BEV)+(Q46*BPM_FCEV),0)</f>
        <v>0</v>
      </c>
      <c r="AG46" s="878">
        <f>IF($L46=0,0,AF46/($E46*looptijd*$L46))</f>
        <v>0</v>
      </c>
      <c r="AH46" s="878">
        <f>BTW*AD46</f>
        <v>0</v>
      </c>
      <c r="AI46" s="878">
        <f>SUM(AD46:AH46)</f>
        <v>0</v>
      </c>
      <c r="AJ46" s="878">
        <f>IF('2. Invoer parameters'!$C$10="ja",MIA_BEV_K*P46,0)</f>
        <v>0</v>
      </c>
      <c r="AK46" s="882">
        <f>IF($L46=0,0,AJ46/($E46*looptijd*$L46))</f>
        <v>0</v>
      </c>
      <c r="AL46" s="881">
        <f>IF(BPM_belasting="nee",(((AD46-AJ46)-BK46)/2)*Rente_financiering,(((AD46-AJ46+AF46)-BL46)/2)*Rente_financiering)</f>
        <v>0</v>
      </c>
      <c r="AM46" s="880">
        <f>IF($L46=0,0,AL46*looptijd/($E46*looptijd*$L46))</f>
        <v>0</v>
      </c>
      <c r="AO46" s="876">
        <f>(H46*verz_die_K)+(I46*verz_benz_K)+(J46*verz_CNG_K)</f>
        <v>0</v>
      </c>
      <c r="AP46" s="877">
        <f>IF($G46=0,0,(AO46*12*looptijd)/($E46*looptijd*$G46))</f>
        <v>0</v>
      </c>
      <c r="AQ46" s="878">
        <f>(input_MRB_die_K*$H46)+(input_MRB_benz_K*$I46)+(input_MRB_CNG_K*J46)</f>
        <v>0</v>
      </c>
      <c r="AR46" s="877">
        <f>IF($G46=0,0,AQ46/($E46*looptijd*$G46))</f>
        <v>0</v>
      </c>
      <c r="AS46" s="878">
        <f>($E46*H46*(gem_verbr_die_K/100)*prijs_die)+($E46*I46*(gem_verbr_benz_K/100)*prijs_benz)+($E46*J46*(gem_verbr_CNG_K/100)*prijs_CNG)</f>
        <v>0</v>
      </c>
      <c r="AT46" s="877">
        <f>IF($G46=0,0,(AS46*looptijd)/(looptijd*$E46*$G46))</f>
        <v>0</v>
      </c>
      <c r="AU46" s="878">
        <f>($E46*H46*Onderh_die_K_hoog_km)+($E46*I46*Onderh_benz_K_hoog_km)+($E46*J46*Onderh_CNG_K_hoog_km)</f>
        <v>0</v>
      </c>
      <c r="AV46" s="877">
        <f>IF($G46=0,0,(AU46*looptijd)/(looptijd*$E46*$G46))</f>
        <v>0</v>
      </c>
      <c r="AW46" s="878">
        <f>Rest_perc*SUM(U46:W46)</f>
        <v>0</v>
      </c>
      <c r="AX46" s="881">
        <f>Rest_perc*SUM(U46:Y46)</f>
        <v>0</v>
      </c>
      <c r="AY46" s="878">
        <f>IF(BTW_verrekening="Ja",((U46+W46)-AW46)/(looptijd*12),((U46+W46+Y46)-AX46)/(looptijd*12))</f>
        <v>0</v>
      </c>
      <c r="AZ46" s="877">
        <f>IF($G46=0,0,(AY46*12*looptijd)/(looptijd*$E46*$G46))</f>
        <v>0</v>
      </c>
      <c r="BA46" s="883">
        <f>(_schadekosten_per_km*E46*G46)/12</f>
        <v>0</v>
      </c>
      <c r="BB46" s="884">
        <f>IF($G46=0,0,(BA46*12*looptijd)/($E46*$G46*looptijd))</f>
        <v>0</v>
      </c>
      <c r="BD46" s="876">
        <f>(M46*verz_die_K)+(N46*verz_benz_K)+(O46*verz_CNG_K)+(P46*verz_BEV_K)+(Q46*verz_FCEV_K)</f>
        <v>0</v>
      </c>
      <c r="BE46" s="877">
        <f>IF($L46=0,0,(BD46*12*looptijd)/($E46*looptijd*$L46))</f>
        <v>0</v>
      </c>
      <c r="BF46" s="878">
        <f>(input_MRB_die_K*M46)+(input_MRB_benz_K*N46)+(input_MRB_CNG_K*O46)+(input_MRB_BEV_K*P46)+(input_MRB_FCEV_K*Q46)</f>
        <v>0</v>
      </c>
      <c r="BG46" s="877">
        <f>IF($L46=0,0,BF46/($E46*looptijd*$L46))</f>
        <v>0</v>
      </c>
      <c r="BH46" s="878">
        <f>($E46*M46*(gem_verbr_die_K/100)*prijs_die)+($E46*N46*(gem_verbr_benz_K/100)*prijs_benz)+($E46*O46*(gem_verbr_CNG_K/100)*prijs_CNG)+($E46*P46*(gem_verbr_BEV_K/100)*prijs_elek_berekening)+($E46*Q46*(gem_verbr_FCEV_K_Elek/100)*prijs_elek_berekening*(100%-_verh_H2_accu_K))+($E46*Q46*(gem_verbr_FCEV_K_H2/100)*prijs_H2*(_verh_H2_accu_K))</f>
        <v>0</v>
      </c>
      <c r="BI46" s="877">
        <f>IF($L46=0,0,(BH46*looptijd)/(looptijd*$E46*$L46))</f>
        <v>0</v>
      </c>
      <c r="BJ46" s="885"/>
      <c r="BK46" s="878">
        <f>Rest_perc_ZE*(AD46+AF46)</f>
        <v>0</v>
      </c>
      <c r="BL46" s="878">
        <f>Rest_perc_ZE*(AD46+AF46+AH46)</f>
        <v>0</v>
      </c>
      <c r="BM46" s="885"/>
      <c r="BN46" s="878">
        <f>($E46*M46*Onderh_die_K)+($E46*N46*Onderh_benz_K)+($E46*O46*Onderh_CNG_K)+($E46*P46*Onderh_BEV_K)+($E46*Q46*Onderh_FCEV_K)</f>
        <v>0</v>
      </c>
      <c r="BO46" s="877">
        <f>IF($L46=0,0,(BN46*looptijd)/(looptijd*$E46*$L46))</f>
        <v>0</v>
      </c>
      <c r="BP46" s="878"/>
      <c r="BQ46" s="878">
        <f>IF(BTW_verrekening="Ja",((AD46+AF46-AJ46)-BK46)/(looptijd*12),((AD46+AF46+AH46-AJ46)-BL46)/(looptijd*12))</f>
        <v>0</v>
      </c>
      <c r="BR46" s="877">
        <f>IF($G46=0,0,(BQ46*12*looptijd)/(looptijd*$E46*$G46))</f>
        <v>0</v>
      </c>
      <c r="BS46" s="885"/>
      <c r="BT46" s="883">
        <f>(_schadekosten_per_km*E46*L46)/12</f>
        <v>0</v>
      </c>
      <c r="BU46" s="884">
        <f>IF($L46=0,0,(BT46*12*looptijd)/($E46*$L46*looptijd))</f>
        <v>0</v>
      </c>
      <c r="BV46" s="881"/>
      <c r="BW46" s="886">
        <f>(Efac_die_TTW*(gem_verbr_die_K/100)*$E46*H46)+(Efac_benz_TTW*(gem_verbr_benz_J/100)*$E46*I46)+(Efac_CNG_berekening_TTW*(gem_verbr_CNG_J/100)*$E46*J46)</f>
        <v>0</v>
      </c>
      <c r="BX46" s="887">
        <f>(Efac_die_WTW*(gem_verbr_die_K/100)*$E46*H46)+(Efac_benz_WTW*(gem_verbr_benz_J/100)*$E46*I46)+(Efac_CNG_berekening_WTW*(gem_verbr_CNG_J/100)*$E46*J46)</f>
        <v>0</v>
      </c>
      <c r="BY46" s="888">
        <f>IF($G46=0,0,(BX46*looptijd)/($E46*$G46*looptijd))</f>
        <v>0</v>
      </c>
      <c r="BZ46" s="889"/>
      <c r="CA46" s="886">
        <f>(Efac_die_TTW*(gem_verbr_die_K/100)*$E46*M46)+(Efac_benz_TTW*(gem_verbr_benz_K/100)*$E46*N46)+(Efac_CNG_berekening_TTW*(gem_verbr_CNG_K/100)*$E46*O46)+(Efac_elek_berekening_TTW*(gem_verbr_BEV_K/100)*$E46*P46)+(Efac_elek_berekening_TTW*(gem_verbr_FCEV_K_Elek/100)*(100%-_verh_H2_accu_K)*Q46)+(Efac_H2_berekening_TTW*(gem_verbr_FCEV_K_H2/100)*(_verh_H2_accu_K)*Q46)</f>
        <v>0</v>
      </c>
      <c r="CB46" s="887">
        <f>(Efac_die_WTW*(gem_verbr_die_K/100)*$E46*M46)+(Efac_benz_WTW*(gem_verbr_benz_K/100)*$E46*N46)+(Efac_CNG_berekening_WTW*(gem_verbr_CNG_K/100)*$E46*O46)+(Efac_elek_berekening_WTW*(gem_verbr_BEV_K/100)*$E46*P46)+(Efac_elek_berekening_WTW*(gem_verbr_FCEV_K_Elek/100)*(100%-_verh_H2_accu_K)*Q46)+(Efac_H2_berekening_WTW*(gem_verbr_FCEV_K_H2/100)*(_verh_H2_accu_K)*Q46)</f>
        <v>0</v>
      </c>
      <c r="CC46" s="888">
        <f>IF($L46=0,0,(CB46*looptijd)/($L46*$E46*looptijd))</f>
        <v>0</v>
      </c>
    </row>
    <row r="47" spans="1:81">
      <c r="A47" s="891"/>
      <c r="B47" s="867" t="s">
        <v>896</v>
      </c>
      <c r="C47" s="868" t="s">
        <v>750</v>
      </c>
      <c r="D47" s="868"/>
      <c r="E47" s="869">
        <f>$E$5</f>
        <v>25000</v>
      </c>
      <c r="F47" s="873"/>
      <c r="G47" s="870">
        <f t="shared" si="0"/>
        <v>0</v>
      </c>
      <c r="H47" s="868">
        <v>0</v>
      </c>
      <c r="I47" s="868">
        <v>0</v>
      </c>
      <c r="J47" s="872">
        <v>0</v>
      </c>
      <c r="K47" s="873"/>
      <c r="L47" s="870">
        <f t="shared" si="1"/>
        <v>0</v>
      </c>
      <c r="M47" s="868">
        <v>0</v>
      </c>
      <c r="N47" s="868">
        <v>0</v>
      </c>
      <c r="O47" s="868">
        <v>0</v>
      </c>
      <c r="P47" s="868">
        <v>0</v>
      </c>
      <c r="Q47" s="874">
        <v>0</v>
      </c>
      <c r="S47" s="875">
        <f>(L47*E47*looptijd)</f>
        <v>0</v>
      </c>
      <c r="U47" s="876">
        <f>(Netto_cat_die_K*H47)+(Netto_cat_benz_K*I47)+(Netto_cat_CNG_K*J47)</f>
        <v>0</v>
      </c>
      <c r="V47" s="877">
        <f>IF($G47=0,0,U47/($E47*$G47*looptijd))</f>
        <v>0</v>
      </c>
      <c r="W47" s="878">
        <f>IF(BPM_belasting="ja",(BPM_die_K*H47)+(BPM_benz_K*I47)+(BPM_CNG_K*J47),0)</f>
        <v>0</v>
      </c>
      <c r="X47" s="877">
        <f>IF($G47=0,0,W47/($E47*looptijd*$G47))</f>
        <v>0</v>
      </c>
      <c r="Y47" s="879">
        <f>BTW*U47</f>
        <v>0</v>
      </c>
      <c r="Z47" s="879">
        <f t="shared" si="5"/>
        <v>0</v>
      </c>
      <c r="AA47" s="879">
        <f>IF(BTW_verrekening="ja",((U47+W47-AW47))/2*Rente_financiering,((U47+W47+Y47-AW47)/2)*Rente_financiering)</f>
        <v>0</v>
      </c>
      <c r="AB47" s="880">
        <f>IF(G47=0,0,AA47*looptijd/($E47*looptijd*$G47))</f>
        <v>0</v>
      </c>
      <c r="AD47" s="876">
        <f>(Netto_cat_die_K*M47)+(Netto_cat_benz_K*N47)+(Netto_cat_CNG_K*O47)+(Netto_cat_BEV_K*P47)+(Netto_cat_FCEV_K*Q47)</f>
        <v>0</v>
      </c>
      <c r="AE47" s="877">
        <f>IF($L47=0,0,AD47/($E47*$L47*looptijd))</f>
        <v>0</v>
      </c>
      <c r="AF47" s="878">
        <f>IF(BPM_belasting="ja",(BPM_benz_A*N47)+(BPM_CNG_A*O47)+(P47*BPM_BEV)+(Q47*BPM_FCEV),0)</f>
        <v>0</v>
      </c>
      <c r="AG47" s="878">
        <f>IF($L47=0,0,AF47/($E47*looptijd*$L47))</f>
        <v>0</v>
      </c>
      <c r="AH47" s="878">
        <f>BTW*AD47</f>
        <v>0</v>
      </c>
      <c r="AI47" s="878">
        <f>SUM(AD47:AH47)</f>
        <v>0</v>
      </c>
      <c r="AJ47" s="878">
        <f>IF('2. Invoer parameters'!$C$10="ja",MIA_BEV_K*P47,0)</f>
        <v>0</v>
      </c>
      <c r="AK47" s="882">
        <f>IF($L47=0,0,AJ47/($E47*looptijd*$L47))</f>
        <v>0</v>
      </c>
      <c r="AL47" s="881">
        <f>IF(BPM_belasting="nee",(((AD47-AJ47)-BK47)/2)*Rente_financiering,(((AD47-AJ47+AF47)-BL47)/2)*Rente_financiering)</f>
        <v>0</v>
      </c>
      <c r="AM47" s="880">
        <f>IF($L47=0,0,AL47*looptijd/($E47*looptijd*$L47))</f>
        <v>0</v>
      </c>
      <c r="AO47" s="876">
        <f>(H47*verz_die_K)+(I47*verz_benz_K)+(J47*verz_CNG_K)</f>
        <v>0</v>
      </c>
      <c r="AP47" s="877">
        <f>IF($G47=0,0,(AO47*12*looptijd)/($E47*looptijd*$G47))</f>
        <v>0</v>
      </c>
      <c r="AQ47" s="878">
        <f>(input_MRB_die_K*$H47)+(input_MRB_benz_K*$I47)+(input_MRB_CNG_K*J47)</f>
        <v>0</v>
      </c>
      <c r="AR47" s="877">
        <f>IF($G47=0,0,AQ47/($E47*looptijd*$G47))</f>
        <v>0</v>
      </c>
      <c r="AS47" s="878">
        <f>($E47*H47*(gem_verbr_die_K/100)*prijs_die)+($E47*I47*(gem_verbr_benz_K/100)*prijs_benz)+($E47*J47*(gem_verbr_CNG_K/100)*prijs_CNG)</f>
        <v>0</v>
      </c>
      <c r="AT47" s="877">
        <f>IF($G47=0,0,(AS47*looptijd)/(looptijd*$E47*$G47))</f>
        <v>0</v>
      </c>
      <c r="AU47" s="878">
        <f>($E47*H47*Onderh_die_K_hoog_km)+($E47*I47*Onderh_benz_K_hoog_km)+($E47*J47*Onderh_CNG_K_hoog_km)</f>
        <v>0</v>
      </c>
      <c r="AV47" s="877">
        <f>IF($G47=0,0,(AU47*looptijd)/(looptijd*$E47*$G47))</f>
        <v>0</v>
      </c>
      <c r="AW47" s="878">
        <f>Rest_perc*SUM(U47:W47)</f>
        <v>0</v>
      </c>
      <c r="AX47" s="881">
        <f>Rest_perc*SUM(U47:Y47)</f>
        <v>0</v>
      </c>
      <c r="AY47" s="878">
        <f>IF(BTW_verrekening="Ja",((U47+W47)-AW47)/(looptijd*12),((U47+W47+Y47)-AX47)/(looptijd*12))</f>
        <v>0</v>
      </c>
      <c r="AZ47" s="877">
        <f>IF($G47=0,0,(AY47*12*looptijd)/(looptijd*$E47*$G47))</f>
        <v>0</v>
      </c>
      <c r="BA47" s="883">
        <f>(_schadekosten_per_km*E47*G47)/12</f>
        <v>0</v>
      </c>
      <c r="BB47" s="884">
        <f>IF($G47=0,0,(BA47*12*looptijd)/($E47*$G47*looptijd))</f>
        <v>0</v>
      </c>
      <c r="BD47" s="876">
        <f>(M47*verz_die_K)+(N47*verz_benz_K)+(O47*verz_CNG_K)+(P47*verz_BEV_K)+(Q47*verz_FCEV_K)</f>
        <v>0</v>
      </c>
      <c r="BE47" s="877">
        <f>IF($L47=0,0,(BD47*12*looptijd)/($E47*looptijd*$L47))</f>
        <v>0</v>
      </c>
      <c r="BF47" s="878">
        <f>(input_MRB_die_K*M47)+(input_MRB_benz_K*N47)+(input_MRB_CNG_K*O47)+(input_MRB_BEV_K*P47)+(input_MRB_FCEV_K*Q47)</f>
        <v>0</v>
      </c>
      <c r="BG47" s="877">
        <f>IF($L47=0,0,BF47/($E47*looptijd*$L47))</f>
        <v>0</v>
      </c>
      <c r="BH47" s="878">
        <f>($E47*M47*(gem_verbr_die_K/100)*prijs_die)+($E47*N47*(gem_verbr_benz_K/100)*prijs_benz)+($E47*O47*(gem_verbr_CNG_K/100)*prijs_CNG)+($E47*P47*(gem_verbr_BEV_K/100)*prijs_elek_berekening)+($E47*Q47*(gem_verbr_FCEV_K_Elek/100)*prijs_elek_berekening*(100%-_verh_H2_accu_K))+($E47*Q47*(gem_verbr_FCEV_K_H2/100)*prijs_H2*(_verh_H2_accu_K))</f>
        <v>0</v>
      </c>
      <c r="BI47" s="877">
        <f>IF($L47=0,0,(BH47*looptijd)/(looptijd*$E47*$L47))</f>
        <v>0</v>
      </c>
      <c r="BJ47" s="885"/>
      <c r="BK47" s="878">
        <f>Rest_perc_ZE*(AD47+AF47)</f>
        <v>0</v>
      </c>
      <c r="BL47" s="878">
        <f>Rest_perc_ZE*(AD47+AF47+AH47)</f>
        <v>0</v>
      </c>
      <c r="BM47" s="885"/>
      <c r="BN47" s="878">
        <f>($E47*M47*Onderh_die_K)+($E47*N47*Onderh_benz_K)+($E47*O47*Onderh_CNG_K)+($E47*P47*Onderh_BEV_K)+($E47*Q47*Onderh_FCEV_K)</f>
        <v>0</v>
      </c>
      <c r="BO47" s="877">
        <f>IF($L47=0,0,(BN47*looptijd)/(looptijd*$E47*$L47))</f>
        <v>0</v>
      </c>
      <c r="BP47" s="878"/>
      <c r="BQ47" s="878">
        <f>IF(BTW_verrekening="Ja",((AD47+AF47-AJ47)-BK47)/(looptijd*12),((AD47+AF47+AH47-AJ47)-BL47)/(looptijd*12))</f>
        <v>0</v>
      </c>
      <c r="BR47" s="877">
        <f>IF($G47=0,0,(BQ47*12*looptijd)/(looptijd*$E47*$G47))</f>
        <v>0</v>
      </c>
      <c r="BS47" s="885"/>
      <c r="BT47" s="883">
        <f>(_schadekosten_per_km*E47*L47)/12</f>
        <v>0</v>
      </c>
      <c r="BU47" s="884">
        <f>IF($L47=0,0,(BT47*12*looptijd)/($E47*$L47*looptijd))</f>
        <v>0</v>
      </c>
      <c r="BV47" s="881"/>
      <c r="BW47" s="886">
        <f>(Efac_die_TTW*(gem_verbr_die_K/100)*$E47*H47)+(Efac_benz_TTW*(gem_verbr_benz_J/100)*$E47*I47)+(Efac_CNG_berekening_TTW*(gem_verbr_CNG_J/100)*$E47*J47)</f>
        <v>0</v>
      </c>
      <c r="BX47" s="887">
        <f>(Efac_die_WTW*(gem_verbr_die_K/100)*$E47*H47)+(Efac_benz_WTW*(gem_verbr_benz_J/100)*$E47*I47)+(Efac_CNG_berekening_WTW*(gem_verbr_CNG_J/100)*$E47*J47)</f>
        <v>0</v>
      </c>
      <c r="BY47" s="888">
        <f>IF($G47=0,0,(BX47*looptijd)/($E47*$G47*looptijd))</f>
        <v>0</v>
      </c>
      <c r="BZ47" s="889"/>
      <c r="CA47" s="886">
        <f>(Efac_die_TTW*(gem_verbr_die_K/100)*$E47*M47)+(Efac_benz_TTW*(gem_verbr_benz_K/100)*$E47*N47)+(Efac_CNG_berekening_TTW*(gem_verbr_CNG_K/100)*$E47*O47)+(Efac_elek_berekening_TTW*(gem_verbr_BEV_K/100)*$E47*P47)+(Efac_elek_berekening_TTW*(gem_verbr_FCEV_K_Elek/100)*(100%-_verh_H2_accu_K)*Q47)+(Efac_H2_berekening_TTW*(gem_verbr_FCEV_K_H2/100)*(_verh_H2_accu_K)*Q47)</f>
        <v>0</v>
      </c>
      <c r="CB47" s="887">
        <f>(Efac_die_WTW*(gem_verbr_die_K/100)*$E47*M47)+(Efac_benz_WTW*(gem_verbr_benz_K/100)*$E47*N47)+(Efac_CNG_berekening_WTW*(gem_verbr_CNG_K/100)*$E47*O47)+(Efac_elek_berekening_WTW*(gem_verbr_BEV_K/100)*$E47*P47)+(Efac_elek_berekening_WTW*(gem_verbr_FCEV_K_Elek/100)*(100%-_verh_H2_accu_K)*Q47)+(Efac_H2_berekening_WTW*(gem_verbr_FCEV_K_H2/100)*(_verh_H2_accu_K)*Q47)</f>
        <v>0</v>
      </c>
      <c r="CC47" s="888">
        <f>IF($L47=0,0,(CB47*looptijd)/($L47*$E47*looptijd))</f>
        <v>0</v>
      </c>
    </row>
    <row r="48" spans="1:81">
      <c r="A48" s="891"/>
      <c r="B48" s="867" t="s">
        <v>896</v>
      </c>
      <c r="C48" s="868" t="s">
        <v>752</v>
      </c>
      <c r="D48" s="868"/>
      <c r="E48" s="872">
        <v>50000</v>
      </c>
      <c r="F48" s="873"/>
      <c r="G48" s="870">
        <f t="shared" si="0"/>
        <v>0</v>
      </c>
      <c r="H48" s="868">
        <v>0</v>
      </c>
      <c r="I48" s="868">
        <v>0</v>
      </c>
      <c r="J48" s="872">
        <v>0</v>
      </c>
      <c r="K48" s="873"/>
      <c r="L48" s="870">
        <f t="shared" si="1"/>
        <v>0</v>
      </c>
      <c r="M48" s="868">
        <v>0</v>
      </c>
      <c r="N48" s="868">
        <v>0</v>
      </c>
      <c r="O48" s="868">
        <v>0</v>
      </c>
      <c r="P48" s="868">
        <v>0</v>
      </c>
      <c r="Q48" s="874">
        <v>0</v>
      </c>
      <c r="S48" s="875">
        <f>(L48*E48*looptijd)</f>
        <v>0</v>
      </c>
      <c r="U48" s="876">
        <f>(Netto_cat_die_K*H48)+(Netto_cat_benz_K*I48)+(Netto_cat_CNG_K*J48)</f>
        <v>0</v>
      </c>
      <c r="V48" s="877">
        <f>IF($G48=0,0,U48/($E48*$G48*looptijd))</f>
        <v>0</v>
      </c>
      <c r="W48" s="878">
        <f>IF(BPM_belasting="ja",(BPM_die_K*H48)+(BPM_benz_K*I48)+(BPM_CNG_K*J48),0)</f>
        <v>0</v>
      </c>
      <c r="X48" s="877">
        <f>IF($G48=0,0,W48/($E48*looptijd*$G48))</f>
        <v>0</v>
      </c>
      <c r="Y48" s="879">
        <f>BTW*U48</f>
        <v>0</v>
      </c>
      <c r="Z48" s="879">
        <f t="shared" si="5"/>
        <v>0</v>
      </c>
      <c r="AA48" s="879">
        <f>IF(BTW_verrekening="ja",((U48+W48-AW48))/2*Rente_financiering,((U48+W48+Y48-AW48)/2)*Rente_financiering)</f>
        <v>0</v>
      </c>
      <c r="AB48" s="880">
        <f>IF(G48=0,0,AA48*looptijd/($E48*looptijd*$G48))</f>
        <v>0</v>
      </c>
      <c r="AD48" s="876">
        <f>(Netto_cat_die_K*M48)+(Netto_cat_benz_K*N48)+(Netto_cat_CNG_K*O48)+(Netto_cat_BEV_K*P48)+(Netto_cat_FCEV_K*Q48)</f>
        <v>0</v>
      </c>
      <c r="AE48" s="877">
        <f>IF($L48=0,0,AD48/($E48*$L48*looptijd))</f>
        <v>0</v>
      </c>
      <c r="AF48" s="878">
        <f>IF(BPM_belasting="ja",(BPM_benz_A*N48)+(BPM_CNG_A*O48)+(P48*BPM_BEV)+(Q48*BPM_FCEV),0)</f>
        <v>0</v>
      </c>
      <c r="AG48" s="878">
        <f>IF($L48=0,0,AF48/($E48*looptijd*$L48))</f>
        <v>0</v>
      </c>
      <c r="AH48" s="878">
        <f>BTW*AD48</f>
        <v>0</v>
      </c>
      <c r="AI48" s="878">
        <f>SUM(AD48:AH48)</f>
        <v>0</v>
      </c>
      <c r="AJ48" s="878">
        <f>IF('2. Invoer parameters'!$C$10="ja",MIA_BEV_K*P48,0)</f>
        <v>0</v>
      </c>
      <c r="AK48" s="882">
        <f>IF($L48=0,0,AJ48/($E48*looptijd*$L48))</f>
        <v>0</v>
      </c>
      <c r="AL48" s="881">
        <f>IF(BPM_belasting="nee",(((AD48-AJ48)-BK48)/2)*Rente_financiering,(((AD48-AJ48+AF48)-BL48)/2)*Rente_financiering)</f>
        <v>0</v>
      </c>
      <c r="AM48" s="880">
        <f>IF($L48=0,0,AL48*looptijd/($E48*looptijd*$L48))</f>
        <v>0</v>
      </c>
      <c r="AO48" s="876">
        <f>(H48*verz_die_K)+(I48*verz_benz_K)+(J48*verz_CNG_K)</f>
        <v>0</v>
      </c>
      <c r="AP48" s="877">
        <f>IF($G48=0,0,(AO48*12*looptijd)/($E48*looptijd*$G48))</f>
        <v>0</v>
      </c>
      <c r="AQ48" s="878">
        <f>(input_MRB_die_K*$H48)+(input_MRB_benz_K*$I48)+(input_MRB_CNG_K*J48)</f>
        <v>0</v>
      </c>
      <c r="AR48" s="877">
        <f>IF($G48=0,0,AQ48/($E48*looptijd*$G48))</f>
        <v>0</v>
      </c>
      <c r="AS48" s="878">
        <f>($E48*H48*(gem_verbr_die_K/100)*prijs_die)+($E48*I48*(gem_verbr_benz_K/100)*prijs_benz)+($E48*J48*(gem_verbr_CNG_K/100)*prijs_CNG)</f>
        <v>0</v>
      </c>
      <c r="AT48" s="877">
        <f>IF($G48=0,0,(AS48*looptijd)/(looptijd*$E48*$G48))</f>
        <v>0</v>
      </c>
      <c r="AU48" s="878">
        <f>($E48*H48*Onderh_die_K_hoog_km)+($E48*I48*Onderh_benz_K_hoog_km)+($E48*J48*Onderh_CNG_K_hoog_km)</f>
        <v>0</v>
      </c>
      <c r="AV48" s="877">
        <f>IF($G48=0,0,(AU48*looptijd)/(looptijd*$E48*$G48))</f>
        <v>0</v>
      </c>
      <c r="AW48" s="878">
        <f>Rest_perc*SUM(U48:W48)</f>
        <v>0</v>
      </c>
      <c r="AX48" s="881">
        <f>Rest_perc*SUM(U48:Y48)</f>
        <v>0</v>
      </c>
      <c r="AY48" s="878">
        <f>IF(BTW_verrekening="Ja",((U48+W48)-AW48)/(looptijd*12),((U48+W48+Y48)-AX48)/(looptijd*12))</f>
        <v>0</v>
      </c>
      <c r="AZ48" s="877">
        <f>IF($G48=0,0,(AY48*12*looptijd)/(looptijd*$E48*$G48))</f>
        <v>0</v>
      </c>
      <c r="BA48" s="883">
        <f>(_schadekosten_per_km*E48*G48)/12</f>
        <v>0</v>
      </c>
      <c r="BB48" s="884">
        <f>IF($G48=0,0,(BA48*12*looptijd)/($E48*$G48*looptijd))</f>
        <v>0</v>
      </c>
      <c r="BD48" s="876">
        <f>(M48*verz_die_K)+(N48*verz_benz_K)+(O48*verz_CNG_K)+(P48*verz_BEV_K)+(Q48*verz_FCEV_K)</f>
        <v>0</v>
      </c>
      <c r="BE48" s="877">
        <f>IF($L48=0,0,(BD48*12*looptijd)/($E48*looptijd*$L48))</f>
        <v>0</v>
      </c>
      <c r="BF48" s="878">
        <f>(input_MRB_die_K*M48)+(input_MRB_benz_K*N48)+(input_MRB_CNG_K*O48)+(input_MRB_BEV_K*P48)+(input_MRB_FCEV_K*Q48)</f>
        <v>0</v>
      </c>
      <c r="BG48" s="877">
        <f>IF($L48=0,0,BF48/($E48*looptijd*$L48))</f>
        <v>0</v>
      </c>
      <c r="BH48" s="878">
        <f>($E48*M48*(gem_verbr_die_K/100)*prijs_die)+($E48*N48*(gem_verbr_benz_K/100)*prijs_benz)+($E48*O48*(gem_verbr_CNG_K/100)*prijs_CNG)+($E48*P48*(gem_verbr_BEV_K/100)*prijs_elek_berekening)+($E48*Q48*(gem_verbr_FCEV_K_Elek/100)*prijs_elek_berekening*(100%-_verh_H2_accu_K))+($E48*Q48*(gem_verbr_FCEV_K_H2/100)*prijs_H2*(_verh_H2_accu_K))</f>
        <v>0</v>
      </c>
      <c r="BI48" s="877">
        <f>IF($L48=0,0,(BH48*looptijd)/(looptijd*$E48*$L48))</f>
        <v>0</v>
      </c>
      <c r="BJ48" s="885"/>
      <c r="BK48" s="878">
        <f>Rest_perc_ZE*(AD48+AF48)</f>
        <v>0</v>
      </c>
      <c r="BL48" s="878">
        <f>Rest_perc_ZE*(AD48+AF48+AH48)</f>
        <v>0</v>
      </c>
      <c r="BM48" s="885"/>
      <c r="BN48" s="878">
        <f>($E48*M48*Onderh_die_K_hoog_km)+($E48*N48*Onderh_benz_K_hoog_km)+($E48*O48*Onderh_CNG_K_hoog_km)+($E48*P48*Onderh_BEV_K_hoog_km)+($E48*Q48*Onderh_FCEV_K_hoog_km)</f>
        <v>0</v>
      </c>
      <c r="BO48" s="877">
        <f>IF($L48=0,0,(BN48*looptijd)/(looptijd*$E48*$L48))</f>
        <v>0</v>
      </c>
      <c r="BP48" s="878"/>
      <c r="BQ48" s="878">
        <f>IF(BTW_verrekening="Ja",((AD48+AF48-AJ48)-BK48)/(looptijd*12),((AD48+AF48+AH48-AJ48)-BL48)/(looptijd*12))</f>
        <v>0</v>
      </c>
      <c r="BR48" s="877">
        <f>IF($G48=0,0,(BQ48*12*looptijd)/(looptijd*$E48*$G48))</f>
        <v>0</v>
      </c>
      <c r="BS48" s="885"/>
      <c r="BT48" s="883">
        <f>(_schadekosten_per_km*E48*L48)/12</f>
        <v>0</v>
      </c>
      <c r="BU48" s="884">
        <f>IF($L48=0,0,(BT48*12*looptijd)/($E48*$L48*looptijd))</f>
        <v>0</v>
      </c>
      <c r="BV48" s="881"/>
      <c r="BW48" s="886">
        <f>(Efac_die_TTW*(gem_verbr_die_K/100)*$E48*H48)+(Efac_benz_TTW*(gem_verbr_benz_J/100)*$E48*I48)+(Efac_CNG_berekening_TTW*(gem_verbr_CNG_J/100)*$E48*J48)</f>
        <v>0</v>
      </c>
      <c r="BX48" s="887">
        <f>(Efac_die_WTW*(gem_verbr_die_K/100)*$E48*H48)+(Efac_benz_WTW*(gem_verbr_benz_J/100)*$E48*I48)+(Efac_CNG_berekening_WTW*(gem_verbr_CNG_J/100)*$E48*J48)</f>
        <v>0</v>
      </c>
      <c r="BY48" s="888">
        <f>IF($G48=0,0,(BX48*looptijd)/($E48*$G48*looptijd))</f>
        <v>0</v>
      </c>
      <c r="BZ48" s="889"/>
      <c r="CA48" s="886">
        <f>(Efac_die_TTW*(gem_verbr_die_K/100)*$E48*M48)+(Efac_benz_TTW*(gem_verbr_benz_K/100)*$E48*N48)+(Efac_CNG_berekening_TTW*(gem_verbr_CNG_K/100)*$E48*O48)+(Efac_elek_berekening_TTW*(gem_verbr_BEV_K/100)*$E48*P48)+(Efac_elek_berekening_TTW*(gem_verbr_FCEV_K_Elek/100)*(100%-_verh_H2_accu_K)*Q48)+(Efac_H2_berekening_TTW*(gem_verbr_FCEV_K_H2/100)*(_verh_H2_accu_K)*Q48)</f>
        <v>0</v>
      </c>
      <c r="CB48" s="887">
        <f>(Efac_die_WTW*(gem_verbr_die_K/100)*$E48*M48)+(Efac_benz_WTW*(gem_verbr_benz_K/100)*$E48*N48)+(Efac_CNG_berekening_WTW*(gem_verbr_CNG_K/100)*$E48*O48)+(Efac_elek_berekening_WTW*(gem_verbr_BEV_K/100)*$E48*P48)+(Efac_elek_berekening_WTW*(gem_verbr_FCEV_K_Elek/100)*(100%-_verh_H2_accu_K)*Q48)+(Efac_H2_berekening_WTW*(gem_verbr_FCEV_K_H2/100)*(_verh_H2_accu_K)*Q48)</f>
        <v>0</v>
      </c>
      <c r="CC48" s="888">
        <f>IF($L48=0,0,(CB48*looptijd)/($L48*$E48*looptijd))</f>
        <v>0</v>
      </c>
    </row>
    <row r="49" spans="1:81">
      <c r="A49" s="891"/>
      <c r="B49" s="867" t="s">
        <v>896</v>
      </c>
      <c r="C49" s="868" t="s">
        <v>1695</v>
      </c>
      <c r="D49" s="868"/>
      <c r="E49" s="872">
        <v>75000</v>
      </c>
      <c r="F49" s="873"/>
      <c r="G49" s="870">
        <f t="shared" si="0"/>
        <v>0</v>
      </c>
      <c r="H49" s="868">
        <v>0</v>
      </c>
      <c r="I49" s="868">
        <v>0</v>
      </c>
      <c r="J49" s="872">
        <v>0</v>
      </c>
      <c r="K49" s="873"/>
      <c r="L49" s="870">
        <f t="shared" si="1"/>
        <v>0</v>
      </c>
      <c r="M49" s="868">
        <v>0</v>
      </c>
      <c r="N49" s="868">
        <v>0</v>
      </c>
      <c r="O49" s="868">
        <v>0</v>
      </c>
      <c r="P49" s="868">
        <v>0</v>
      </c>
      <c r="Q49" s="874">
        <v>0</v>
      </c>
      <c r="S49" s="875">
        <f>(L49*E49*looptijd)</f>
        <v>0</v>
      </c>
      <c r="U49" s="876">
        <f>(Netto_cat_die_K*H49)+(Netto_cat_benz_K*I49)+(Netto_cat_CNG_K*J49)</f>
        <v>0</v>
      </c>
      <c r="V49" s="877">
        <f>IF($G49=0,0,U49/($E49*$G49*looptijd))</f>
        <v>0</v>
      </c>
      <c r="W49" s="878">
        <f>IF(BPM_belasting="ja",(BPM_die_K*H49)+(BPM_benz_K*I49)+(BPM_CNG_K*J49),0)</f>
        <v>0</v>
      </c>
      <c r="X49" s="877">
        <f>IF($G49=0,0,W49/($E49*looptijd*$G49))</f>
        <v>0</v>
      </c>
      <c r="Y49" s="879">
        <f>BTW*U49</f>
        <v>0</v>
      </c>
      <c r="Z49" s="879">
        <f t="shared" si="5"/>
        <v>0</v>
      </c>
      <c r="AA49" s="879">
        <f>IF(BTW_verrekening="ja",((U49+W49-AW49))/2*Rente_financiering,((U49+W49+Y49-AW49)/2)*Rente_financiering)</f>
        <v>0</v>
      </c>
      <c r="AB49" s="880">
        <f>IF(G49=0,0,AA49*looptijd/($E49*looptijd*$G49))</f>
        <v>0</v>
      </c>
      <c r="AD49" s="876">
        <f>(Netto_cat_die_K*M49)+(Netto_cat_benz_K*N49)+(Netto_cat_CNG_K*O49)+(Netto_cat_BEV_K*P49)+(Netto_cat_FCEV_K*Q49)</f>
        <v>0</v>
      </c>
      <c r="AE49" s="877">
        <f>IF($L49=0,0,AD49/($E49*$L49*looptijd))</f>
        <v>0</v>
      </c>
      <c r="AF49" s="878">
        <f>IF(BPM_belasting="ja",(BPM_benz_A*N49)+(BPM_CNG_A*O49)+(P49*BPM_BEV)+(Q49*BPM_FCEV),0)</f>
        <v>0</v>
      </c>
      <c r="AG49" s="878">
        <f>IF($L49=0,0,AF49/($E49*looptijd*$L49))</f>
        <v>0</v>
      </c>
      <c r="AH49" s="878">
        <f>BTW*AD49</f>
        <v>0</v>
      </c>
      <c r="AI49" s="878">
        <f>SUM(AD49:AH49)</f>
        <v>0</v>
      </c>
      <c r="AJ49" s="878">
        <f>IF('2. Invoer parameters'!$C$10="ja",MIA_BEV_K*P49,0)</f>
        <v>0</v>
      </c>
      <c r="AK49" s="882">
        <f>IF($L49=0,0,AJ49/($E49*looptijd*$L49))</f>
        <v>0</v>
      </c>
      <c r="AL49" s="881">
        <f>IF(BPM_belasting="nee",(((AD49-AJ49)-BK49)/2)*Rente_financiering,(((AD49-AJ49+AF49)-BL49)/2)*Rente_financiering)</f>
        <v>0</v>
      </c>
      <c r="AM49" s="880">
        <f>IF($L49=0,0,AL49*looptijd/($E49*looptijd*$L49))</f>
        <v>0</v>
      </c>
      <c r="AO49" s="876">
        <f>(H49*verz_die_K)+(I49*verz_benz_K)+(J49*verz_CNG_K)</f>
        <v>0</v>
      </c>
      <c r="AP49" s="877">
        <f>IF($G49=0,0,(AO49*12*looptijd)/($E49*looptijd*$G49))</f>
        <v>0</v>
      </c>
      <c r="AQ49" s="878">
        <f>(input_MRB_die_K*$H49)+(input_MRB_benz_K*$I49)+(input_MRB_CNG_K*J49)</f>
        <v>0</v>
      </c>
      <c r="AR49" s="877">
        <f>IF($G49=0,0,AQ49/($E49*looptijd*$G49))</f>
        <v>0</v>
      </c>
      <c r="AS49" s="878">
        <f>($E49*H49*(gem_verbr_die_K/100)*prijs_die)+($E49*I49*(gem_verbr_benz_K/100)*prijs_benz)+($E49*J49*(gem_verbr_CNG_K/100)*prijs_CNG)</f>
        <v>0</v>
      </c>
      <c r="AT49" s="877">
        <f>IF($G49=0,0,(AS49*looptijd)/(looptijd*$E49*$G49))</f>
        <v>0</v>
      </c>
      <c r="AU49" s="878">
        <f>($E49*H49*Onderh_die_K_hoog_km)+($E49*I49*Onderh_benz_K_hoog_km)+($E49*J49*Onderh_CNG_K_hoog_km)</f>
        <v>0</v>
      </c>
      <c r="AV49" s="877">
        <f>IF($G49=0,0,(AU49*looptijd)/(looptijd*$E49*$G49))</f>
        <v>0</v>
      </c>
      <c r="AW49" s="878">
        <f>Rest_perc*SUM(U49:W49)</f>
        <v>0</v>
      </c>
      <c r="AX49" s="881">
        <f>Rest_perc*SUM(U49:Y49)</f>
        <v>0</v>
      </c>
      <c r="AY49" s="878">
        <f>IF(BTW_verrekening="Ja",((U49+W49)-AW49)/(looptijd*12),((U49+W49+Y49)-AX49)/(looptijd*12))</f>
        <v>0</v>
      </c>
      <c r="AZ49" s="877">
        <f>IF($G49=0,0,(AY49*12*looptijd)/(looptijd*$E49*$G49))</f>
        <v>0</v>
      </c>
      <c r="BA49" s="883">
        <f>(_schadekosten_per_km*E49*G49)/12</f>
        <v>0</v>
      </c>
      <c r="BB49" s="884">
        <f>IF($G49=0,0,(BA49*12*looptijd)/($E49*$G49*looptijd))</f>
        <v>0</v>
      </c>
      <c r="BD49" s="876">
        <f>(M49*verz_die_K)+(N49*verz_benz_K)+(O49*verz_CNG_K)+(P49*verz_BEV_K)+(Q49*verz_FCEV_K)</f>
        <v>0</v>
      </c>
      <c r="BE49" s="877">
        <f>IF($L49=0,0,(BD49*12*looptijd)/($E49*looptijd*$L49))</f>
        <v>0</v>
      </c>
      <c r="BF49" s="878">
        <f>(input_MRB_die_K*M49)+(input_MRB_benz_K*N49)+(input_MRB_CNG_K*O49)+(input_MRB_BEV_K*P49)+(input_MRB_FCEV_K*Q49)</f>
        <v>0</v>
      </c>
      <c r="BG49" s="877">
        <f>IF($L49=0,0,BF49/($E49*looptijd*$L49))</f>
        <v>0</v>
      </c>
      <c r="BH49" s="878">
        <f>($E49*M49*(gem_verbr_die_K/100)*prijs_die)+($E49*N49*(gem_verbr_benz_K/100)*prijs_benz)+($E49*O49*(gem_verbr_CNG_K/100)*prijs_CNG)+($E49*P49*(gem_verbr_BEV_K/100)*prijs_elek_berekening)+($E49*Q49*(gem_verbr_FCEV_K_Elek/100)*prijs_elek_berekening*(100%-_verh_H2_accu_K))+($E49*Q49*(gem_verbr_FCEV_K_H2/100)*prijs_H2*(_verh_H2_accu_K))</f>
        <v>0</v>
      </c>
      <c r="BI49" s="877">
        <f>IF($L49=0,0,(BH49*looptijd)/(looptijd*$E49*$L49))</f>
        <v>0</v>
      </c>
      <c r="BJ49" s="885"/>
      <c r="BK49" s="878">
        <f>Rest_perc_ZE*(AD49+AF49)</f>
        <v>0</v>
      </c>
      <c r="BL49" s="878">
        <f>Rest_perc_ZE*(AD49+AF49+AH49)</f>
        <v>0</v>
      </c>
      <c r="BM49" s="885"/>
      <c r="BN49" s="878">
        <f>($E49*M49*Onderh_die_K_hoog_km)+($E49*N49*Onderh_benz_K_hoog_km)+($E49*O49*Onderh_CNG_K_hoog_km)+($E49*P49*Onderh_BEV_K_hoog_km)+($E49*Q49*Onderh_FCEV_K_hoog_km)</f>
        <v>0</v>
      </c>
      <c r="BO49" s="877">
        <f>IF($L49=0,0,(BN49*looptijd)/(looptijd*$E49*$L49))</f>
        <v>0</v>
      </c>
      <c r="BP49" s="878"/>
      <c r="BQ49" s="878">
        <f>IF(BTW_verrekening="Ja",((AD49+AF49-AJ49)-BK49)/(looptijd*12),((AD49+AF49+AH49-AJ49)-BL49)/(looptijd*12))</f>
        <v>0</v>
      </c>
      <c r="BR49" s="877">
        <f>IF($G49=0,0,(BQ49*12*looptijd)/(looptijd*$E49*$G49))</f>
        <v>0</v>
      </c>
      <c r="BS49" s="885"/>
      <c r="BT49" s="883">
        <f>(_schadekosten_per_km*E49*L49)/12</f>
        <v>0</v>
      </c>
      <c r="BU49" s="884">
        <f>IF($L49=0,0,(BT49*12*looptijd)/($E49*$L49*looptijd))</f>
        <v>0</v>
      </c>
      <c r="BV49" s="881"/>
      <c r="BW49" s="886">
        <f>(Efac_die_TTW*(gem_verbr_die_K/100)*$E49*H49)+(Efac_benz_TTW*(gem_verbr_benz_J/100)*$E49*I49)+(Efac_CNG_berekening_TTW*(gem_verbr_CNG_J/100)*$E49*J49)</f>
        <v>0</v>
      </c>
      <c r="BX49" s="887">
        <f>(Efac_die_WTW*(gem_verbr_die_K/100)*$E49*H49)+(Efac_benz_WTW*(gem_verbr_benz_J/100)*$E49*I49)+(Efac_CNG_berekening_WTW*(gem_verbr_CNG_J/100)*$E49*J49)</f>
        <v>0</v>
      </c>
      <c r="BY49" s="888">
        <f>IF($G49=0,0,(BX49*looptijd)/($E49*$G49*looptijd))</f>
        <v>0</v>
      </c>
      <c r="BZ49" s="889"/>
      <c r="CA49" s="886">
        <f>(Efac_die_TTW*(gem_verbr_die_K/100)*$E49*M49)+(Efac_benz_TTW*(gem_verbr_benz_K/100)*$E49*N49)+(Efac_CNG_berekening_TTW*(gem_verbr_CNG_K/100)*$E49*O49)+(Efac_elek_berekening_TTW*(gem_verbr_BEV_K/100)*$E49*P49)+(Efac_elek_berekening_TTW*(gem_verbr_FCEV_K_Elek/100)*(100%-_verh_H2_accu_K)*Q49)+(Efac_H2_berekening_TTW*(gem_verbr_FCEV_K_H2/100)*(_verh_H2_accu_K)*Q49)</f>
        <v>0</v>
      </c>
      <c r="CB49" s="887">
        <f>(Efac_die_WTW*(gem_verbr_die_K/100)*$E49*M49)+(Efac_benz_WTW*(gem_verbr_benz_K/100)*$E49*N49)+(Efac_CNG_berekening_WTW*(gem_verbr_CNG_K/100)*$E49*O49)+(Efac_elek_berekening_WTW*(gem_verbr_BEV_K/100)*$E49*P49)+(Efac_elek_berekening_WTW*(gem_verbr_FCEV_K_Elek/100)*(100%-_verh_H2_accu_K)*Q49)+(Efac_H2_berekening_WTW*(gem_verbr_FCEV_K_H2/100)*(_verh_H2_accu_K)*Q49)</f>
        <v>0</v>
      </c>
      <c r="CC49" s="888">
        <f>IF($L49=0,0,(CB49*looptijd)/($L49*$E49*looptijd))</f>
        <v>0</v>
      </c>
    </row>
    <row r="50" spans="1:81">
      <c r="A50" s="891"/>
      <c r="B50" s="867"/>
      <c r="C50" s="868"/>
      <c r="D50" s="868"/>
      <c r="E50" s="872"/>
      <c r="F50" s="873"/>
      <c r="G50" s="870"/>
      <c r="H50" s="868"/>
      <c r="I50" s="868"/>
      <c r="J50" s="872"/>
      <c r="K50" s="873"/>
      <c r="L50" s="870"/>
      <c r="M50" s="868"/>
      <c r="N50" s="868"/>
      <c r="O50" s="868"/>
      <c r="P50" s="868"/>
      <c r="Q50" s="872"/>
      <c r="S50" s="875"/>
      <c r="U50" s="867"/>
      <c r="V50" s="877"/>
      <c r="W50" s="889"/>
      <c r="X50" s="877"/>
      <c r="Y50" s="879"/>
      <c r="Z50" s="879"/>
      <c r="AA50" s="879"/>
      <c r="AB50" s="880"/>
      <c r="AD50" s="867"/>
      <c r="AE50" s="877"/>
      <c r="AF50" s="878"/>
      <c r="AG50" s="878"/>
      <c r="AH50" s="878"/>
      <c r="AI50" s="878"/>
      <c r="AJ50" s="878"/>
      <c r="AK50" s="882"/>
      <c r="AL50" s="881"/>
      <c r="AM50" s="880"/>
      <c r="AO50" s="867"/>
      <c r="AP50" s="877"/>
      <c r="AQ50" s="889"/>
      <c r="AR50" s="877"/>
      <c r="AS50" s="889"/>
      <c r="AT50" s="877"/>
      <c r="AU50" s="889"/>
      <c r="AV50" s="877"/>
      <c r="AW50" s="878"/>
      <c r="AX50" s="881"/>
      <c r="AY50" s="878"/>
      <c r="AZ50" s="877"/>
      <c r="BA50" s="883"/>
      <c r="BB50" s="884"/>
      <c r="BD50" s="876"/>
      <c r="BE50" s="877"/>
      <c r="BF50" s="889"/>
      <c r="BG50" s="877"/>
      <c r="BH50" s="889"/>
      <c r="BI50" s="877"/>
      <c r="BJ50" s="892"/>
      <c r="BK50" s="878"/>
      <c r="BL50" s="878"/>
      <c r="BM50" s="885"/>
      <c r="BN50" s="889"/>
      <c r="BO50" s="877"/>
      <c r="BP50" s="889"/>
      <c r="BQ50" s="878"/>
      <c r="BR50" s="877"/>
      <c r="BS50" s="885"/>
      <c r="BT50" s="883"/>
      <c r="BU50" s="884"/>
      <c r="BV50" s="881"/>
      <c r="BW50" s="867"/>
      <c r="BX50" s="889"/>
      <c r="BY50" s="888"/>
      <c r="BZ50" s="889"/>
      <c r="CA50" s="886"/>
      <c r="CB50" s="889"/>
      <c r="CC50" s="888"/>
    </row>
    <row r="51" spans="1:81" ht="16" customHeight="1">
      <c r="A51" s="891">
        <v>31</v>
      </c>
      <c r="B51" s="867" t="s">
        <v>28</v>
      </c>
      <c r="C51" s="868" t="s">
        <v>748</v>
      </c>
      <c r="D51" s="868"/>
      <c r="E51" s="869">
        <f>$E$3</f>
        <v>10000</v>
      </c>
      <c r="G51" s="870">
        <f t="shared" si="0"/>
        <v>0</v>
      </c>
      <c r="H51" s="868">
        <f t="array" ref="H51:H55">TRANSPOSE('1a. Invoer - BESTAAND'!J12:N12)</f>
        <v>0</v>
      </c>
      <c r="I51" s="868">
        <f t="array" ref="I51:I55">TRANSPOSE('1a. Invoer - BESTAAND'!E12:I12)</f>
        <v>0</v>
      </c>
      <c r="J51" s="872">
        <f t="array" ref="J51:J55">TRANSPOSE('1a. Invoer - BESTAAND'!E41:I41
)</f>
        <v>0</v>
      </c>
      <c r="K51" s="873"/>
      <c r="L51" s="870">
        <f t="shared" si="1"/>
        <v>0</v>
      </c>
      <c r="M51" s="868">
        <v>0</v>
      </c>
      <c r="N51" s="868">
        <v>0</v>
      </c>
      <c r="O51" s="868">
        <v>0</v>
      </c>
      <c r="P51" s="868">
        <f t="array" ref="P51:P55">TRANSPOSE('1b. Invoer - NIEUW'!E14:I14)</f>
        <v>0</v>
      </c>
      <c r="Q51" s="872">
        <f t="array" ref="Q51:Q55">TRANSPOSE('1b. Invoer - NIEUW'!J14:N14)</f>
        <v>0</v>
      </c>
      <c r="S51" s="875">
        <f>(L51*E51*looptijd)</f>
        <v>0</v>
      </c>
      <c r="U51" s="876">
        <f>(Netto_cat_die_L*H51)+(Netto_cat_benz_L*I51)+(Netto_cat_CNG_L*J51)</f>
        <v>0</v>
      </c>
      <c r="V51" s="877">
        <f>IF($G51=0,0,U51/($E51*$G51*looptijd))</f>
        <v>0</v>
      </c>
      <c r="W51" s="878">
        <f>IF(BPM_belasting="ja",(BPM_die_L*H51)+(BPM_benz_L*I51)+(BPM_CNG_L*J51),0)</f>
        <v>0</v>
      </c>
      <c r="X51" s="877">
        <f>IF($G51=0,0,W51/($E51*looptijd*$G51))</f>
        <v>0</v>
      </c>
      <c r="Y51" s="879">
        <f>BTW*U51</f>
        <v>0</v>
      </c>
      <c r="Z51" s="879">
        <f>SUM(U51:Y51)</f>
        <v>0</v>
      </c>
      <c r="AA51" s="879">
        <f>IF(BTW_verrekening="ja",((U51+W51-AW51))/2*Rente_financiering,((U51+W51+Y51-AW51)/2)*Rente_financiering)</f>
        <v>0</v>
      </c>
      <c r="AB51" s="880">
        <f>IF(G51=0,0,AA51*looptijd/($E51*looptijd*$G51))</f>
        <v>0</v>
      </c>
      <c r="AD51" s="876">
        <f>(Netto_cat_die_L*M51)+(Netto_cat_benz_L*N51)+(Netto_cat_CNG_L*O51)+(Netto_cat_BEV_L*P51)+(Netto_cat_FCEV_L*Q51)</f>
        <v>0</v>
      </c>
      <c r="AE51" s="877">
        <f>IF($L51=0,0,AD51/($E51*$L51*looptijd))</f>
        <v>0</v>
      </c>
      <c r="AF51" s="878">
        <f>IF(BPM_belasting="ja",(BPM_benz_A*N51)+(BPM_CNG_A*O51)+(P51*BPM_BEV)+(Q51*BPM_FCEV),0)</f>
        <v>0</v>
      </c>
      <c r="AG51" s="878">
        <f>IF($L51=0,0,AF51/($E51*looptijd*$L51))</f>
        <v>0</v>
      </c>
      <c r="AH51" s="878">
        <f>BTW*AD51</f>
        <v>0</v>
      </c>
      <c r="AI51" s="878">
        <f>SUM(AD51:AH51)</f>
        <v>0</v>
      </c>
      <c r="AJ51" s="878">
        <f>IF('2. Invoer parameters'!$C$10="ja",MIA_BEV_L*P51,0)</f>
        <v>0</v>
      </c>
      <c r="AK51" s="882">
        <f>IF($L51=0,0,AJ51/($E51*looptijd*$L51))</f>
        <v>0</v>
      </c>
      <c r="AL51" s="881">
        <f>IF(BPM_belasting="nee",(((AD51-AJ51)-BK51)/2)*Rente_financiering,(((AD51-AJ51+AF51)-BL51)/2)*Rente_financiering)</f>
        <v>0</v>
      </c>
      <c r="AM51" s="880">
        <f>IF($L51=0,0,AL51*looptijd/($E51*looptijd*$L51))</f>
        <v>0</v>
      </c>
      <c r="AO51" s="876">
        <f>(H51*verz_die_L)+(I51*verz_benz_L)+(J51*verz_CNG_L)</f>
        <v>0</v>
      </c>
      <c r="AP51" s="877">
        <f>IF($G51=0,0,(AO51*12*looptijd)/($E51*looptijd*$G51))</f>
        <v>0</v>
      </c>
      <c r="AQ51" s="878">
        <f>(input_MRB_die_L*$H51)+(input_MRB_benz_L*$I51)+(input_MRB_CNG_L*J51)</f>
        <v>0</v>
      </c>
      <c r="AR51" s="877">
        <f>IF($G51=0,0,AQ51/($E51*looptijd*$G51))</f>
        <v>0</v>
      </c>
      <c r="AS51" s="878">
        <f>($E51*H51*(gem_verbr_die_L/100)*prijs_die)+($E51*I51*(gem_verbr_benz_L/100)*prijs_benz)+($E51*J51*(gem_verbr_CNG_L/100)*prijs_CNG)</f>
        <v>0</v>
      </c>
      <c r="AT51" s="877">
        <f>IF($G51=0,0,(AS51*looptijd)/(looptijd*$E51*$G51))</f>
        <v>0</v>
      </c>
      <c r="AU51" s="878">
        <f>($E51*H51*Onderh_die_L)+($E51*I51*Onderh_benz_L)+($E51*J51*Onderh_CNG_L)</f>
        <v>0</v>
      </c>
      <c r="AV51" s="877">
        <f>IF($G51=0,0,(AU51*looptijd)/(looptijd*$E51*$G51))</f>
        <v>0</v>
      </c>
      <c r="AW51" s="878">
        <f>Rest_perc*SUM(U51:W51)</f>
        <v>0</v>
      </c>
      <c r="AX51" s="881">
        <f>Rest_perc*SUM(U51:Y51)</f>
        <v>0</v>
      </c>
      <c r="AY51" s="878">
        <f>IF(BTW_verrekening="Ja",((U51+W51)-AW51)/(looptijd*12),((U51+W51+Y51)-AX51)/(looptijd*12))</f>
        <v>0</v>
      </c>
      <c r="AZ51" s="877">
        <f>IF($G51=0,0,(AY51*12*looptijd)/(looptijd*$E51*$G51))</f>
        <v>0</v>
      </c>
      <c r="BA51" s="883">
        <f>(_schadekosten_per_km*E51*G51)/12</f>
        <v>0</v>
      </c>
      <c r="BB51" s="884">
        <f>IF($G51=0,0,(BA51*12*looptijd)/($E51*$G51*looptijd))</f>
        <v>0</v>
      </c>
      <c r="BD51" s="876">
        <f>(M51*verz_die_L)+(N51*verz_benz_L)+(O51*verz_CNG_L)+(P51*verz_BEV_L)+(Q51*verz_FCEV_L)</f>
        <v>0</v>
      </c>
      <c r="BE51" s="877">
        <f>IF($L51=0,0,(BD51*12*looptijd)/($E51*looptijd*$L51))</f>
        <v>0</v>
      </c>
      <c r="BF51" s="878">
        <f>(MRB_die_L*M51)+(MRB_benz_L*N51)+(input_MRB_CNG_L*O51)+(input_MRB_BEV_L*P51)+(input_MRB_FCEV_L*Q51)</f>
        <v>0</v>
      </c>
      <c r="BG51" s="877">
        <f>IF($L51=0,0,BF51/($E51*looptijd*$L51))</f>
        <v>0</v>
      </c>
      <c r="BH51" s="878">
        <f>($E51*M51*(gem_verbr_die_L/100)*prijs_die)+($E51*N51*(gem_verbr_benz_L/100)*prijs_benz)+($E51*O51*(gem_verbr_CNG_L/100)*prijs_CNG)+($E51*P51*(gem_verbr_BEV_L/100)*prijs_elek_berekening)+($E51*Q51*(gem_verbr_FCEV_L_Elek/100)*prijs_elek_berekening*(100%-_verh_H2_accu_L))+($E45*Q51*(gem_verbr_FCEV_L_H2/100)*prijs_H2*(_verh_H2_accu_L))</f>
        <v>0</v>
      </c>
      <c r="BI51" s="877">
        <f>IF($L51=0,0,(BH51*looptijd)/(looptijd*$E51*$L51))</f>
        <v>0</v>
      </c>
      <c r="BJ51" s="885"/>
      <c r="BK51" s="878">
        <f>Rest_perc_ZE*(AD51+AF51)</f>
        <v>0</v>
      </c>
      <c r="BL51" s="878">
        <f>Rest_perc_ZE*(AD51+AF51+AH51)</f>
        <v>0</v>
      </c>
      <c r="BM51" s="885"/>
      <c r="BN51" s="878">
        <f>($E51*M51*Onderh_die_L)+($E51*N51*Onderh_benz_L)+($E51*O51*Onderh_CNG_L)+($E51*P51*Onderh_BEV_L)+($E51*Q51*Onderh_FCEV_L)</f>
        <v>0</v>
      </c>
      <c r="BO51" s="877">
        <f>IF($L51=0,0,(BN51*looptijd)/(looptijd*$E51*$L51))</f>
        <v>0</v>
      </c>
      <c r="BP51" s="878"/>
      <c r="BQ51" s="878">
        <f>IF(BTW_verrekening="Ja",((AD51+AF51-AJ51)-BK51)/(looptijd*12),((AD51+AF51+AH51-AJ51)-BL51)/(looptijd*12))</f>
        <v>0</v>
      </c>
      <c r="BR51" s="877">
        <f>IF($G51=0,0,(BQ51*12*looptijd)/(looptijd*$E51*$G51))</f>
        <v>0</v>
      </c>
      <c r="BS51" s="885"/>
      <c r="BT51" s="883">
        <f>(_schadekosten_per_km*E51*L51)/12</f>
        <v>0</v>
      </c>
      <c r="BU51" s="884">
        <f>IF($L51=0,0,(BT51*12*looptijd)/($E51*$L51*looptijd))</f>
        <v>0</v>
      </c>
      <c r="BV51" s="881"/>
      <c r="BW51" s="886">
        <f>(Efac_die_TTW*(gem_verbr_die_L/100)*$E51*H51)+(Efac_benz_TTW*(gem_verbr_benz_L/100)*$E51*I51)+(Efac_CNG_berekening_TTW*(gem_verbr_CNG_L/100)*$E51*J51)</f>
        <v>0</v>
      </c>
      <c r="BX51" s="887">
        <f>(Efac_die_WTW*(gem_verbr_die_L/100)*$E51*H51)+(Efac_benz_WTW*(gem_verbr_benz_L/100)*$E51*I51)+(Efac_CNG_berekening_WTW*(gem_verbr_CNG_L/100)*$E51*J51)</f>
        <v>0</v>
      </c>
      <c r="BY51" s="888">
        <f>IF($G51=0,0,(BX51*looptijd)/($E51*$G51*looptijd))</f>
        <v>0</v>
      </c>
      <c r="BZ51" s="889"/>
      <c r="CA51" s="886">
        <f>(Efac_die_TTW*(gem_verbr_die_L/100)*$E51*M51)+(Efac_benz_TTW*(gem_verbr_benz_L/100)*$E51*N51)+(Efac_CNG_berekening_TTW*(gem_verbr_CNG_L/100)*$E51*O51)+(Efac_elek_berekening_TTW*(gem_verbr_BEV_L/100)*$E51*P51)+(Efac_elek_berekening_TTW*(gem_verbr_FCEV_L_Elek/100)*(100%-_verh_H2_accu_L)*Q51)+(Efac_H2_berekening_TTW*(gem_verbr_FCEV_L_H2/100)*(_verh_H2_accu_L)*Q51)</f>
        <v>0</v>
      </c>
      <c r="CB51" s="887">
        <f>(Efac_die_WTW*(gem_verbr_die_L/100)*$E51*M51)+(Efac_benz_WTW*(gem_verbr_benz_L/100)*$E51*N51)+(Efac_CNG_berekening_WTW*(gem_verbr_CNG_L/100)*$E51*O51)+(Efac_elek_berekening_WTW*(gem_verbr_BEV_L/100)*$E51*P51)+(Efac_elek_berekening_WTW*(gem_verbr_FCEV_L_Elek/100)*(100%-_verh_H2_accu_L)*Q51)+(Efac_H2_berekening_WTW*(gem_verbr_FCEV_L_H2/100)*(_verh_H2_accu_L)*Q51)</f>
        <v>0</v>
      </c>
      <c r="CC51" s="888">
        <f>IF($L51=0,0,(CB51*looptijd)/($L51*$E51*looptijd))</f>
        <v>0</v>
      </c>
    </row>
    <row r="52" spans="1:81" ht="16" customHeight="1">
      <c r="A52" s="891">
        <v>32</v>
      </c>
      <c r="B52" s="867" t="s">
        <v>28</v>
      </c>
      <c r="C52" s="868" t="s">
        <v>749</v>
      </c>
      <c r="D52" s="868"/>
      <c r="E52" s="869">
        <f>$E$4</f>
        <v>15000</v>
      </c>
      <c r="G52" s="870">
        <f t="shared" si="0"/>
        <v>0</v>
      </c>
      <c r="H52" s="868">
        <v>0</v>
      </c>
      <c r="I52" s="868">
        <v>0</v>
      </c>
      <c r="J52" s="872">
        <v>0</v>
      </c>
      <c r="K52" s="873"/>
      <c r="L52" s="870">
        <f t="shared" si="1"/>
        <v>0</v>
      </c>
      <c r="M52" s="868">
        <v>0</v>
      </c>
      <c r="N52" s="868">
        <v>0</v>
      </c>
      <c r="O52" s="868">
        <v>0</v>
      </c>
      <c r="P52" s="868">
        <v>0</v>
      </c>
      <c r="Q52" s="872">
        <v>0</v>
      </c>
      <c r="S52" s="875">
        <f>(L52*E52*looptijd)</f>
        <v>0</v>
      </c>
      <c r="U52" s="876">
        <f>(Netto_cat_die_L*H52)+(Netto_cat_benz_L*I52)+(Netto_cat_CNG_L*J52)</f>
        <v>0</v>
      </c>
      <c r="V52" s="877">
        <f>IF($G52=0,0,U52/($E52*$G52*looptijd))</f>
        <v>0</v>
      </c>
      <c r="W52" s="878">
        <f>IF(BPM_belasting="ja",(BPM_die_L*H52)+(BPM_benz_L*I52)+(BPM_CNG_L*J52),0)</f>
        <v>0</v>
      </c>
      <c r="X52" s="877">
        <f>IF($G52=0,0,W52/($E52*looptijd*$G52))</f>
        <v>0</v>
      </c>
      <c r="Y52" s="879">
        <f>BTW*U52</f>
        <v>0</v>
      </c>
      <c r="Z52" s="879">
        <f>SUM(U52:Y52)</f>
        <v>0</v>
      </c>
      <c r="AA52" s="879">
        <f>IF(BTW_verrekening="ja",((U52+W52-AW52))/2*Rente_financiering,((U52+W52+Y52-AW52)/2)*Rente_financiering)</f>
        <v>0</v>
      </c>
      <c r="AB52" s="880">
        <f>IF(G52=0,0,AA52*looptijd/($E52*looptijd*$G52))</f>
        <v>0</v>
      </c>
      <c r="AD52" s="876">
        <f>(Netto_cat_die_L*M52)+(Netto_cat_benz_L*N52)+(Netto_cat_CNG_L*O52)+(Netto_cat_BEV_L*P52)+(Netto_cat_FCEV_L*Q52)</f>
        <v>0</v>
      </c>
      <c r="AE52" s="877">
        <f>IF($L52=0,0,AD52/($E52*$L52*looptijd))</f>
        <v>0</v>
      </c>
      <c r="AF52" s="878">
        <f>IF(BPM_belasting="ja",(BPM_benz_A*N52)+(BPM_CNG_A*O52)+(P52*BPM_BEV)+(Q52*BPM_FCEV),0)</f>
        <v>0</v>
      </c>
      <c r="AG52" s="878">
        <f>IF($L52=0,0,AF52/($E52*looptijd*$L52))</f>
        <v>0</v>
      </c>
      <c r="AH52" s="878">
        <f>BTW*AD52</f>
        <v>0</v>
      </c>
      <c r="AI52" s="878">
        <f>SUM(AD52:AH52)</f>
        <v>0</v>
      </c>
      <c r="AJ52" s="878">
        <f>IF('2. Invoer parameters'!$C$10="ja",MIA_BEV_L*P52,0)</f>
        <v>0</v>
      </c>
      <c r="AK52" s="882">
        <f>IF($L52=0,0,AJ52/($E52*looptijd*$L52))</f>
        <v>0</v>
      </c>
      <c r="AL52" s="881">
        <f>IF(BPM_belasting="nee",(((AD52-AJ52)-BK52)/2)*Rente_financiering,(((AD52-AJ52+AF52)-BL52)/2)*Rente_financiering)</f>
        <v>0</v>
      </c>
      <c r="AM52" s="880">
        <f>IF($L52=0,0,AL52*looptijd/($E52*looptijd*$L52))</f>
        <v>0</v>
      </c>
      <c r="AO52" s="876">
        <f>(H52*verz_die_L)+(I52*verz_benz_L)+(J52*verz_CNG_L)</f>
        <v>0</v>
      </c>
      <c r="AP52" s="877">
        <f>IF($G52=0,0,(AO52*12*looptijd)/($E52*looptijd*$G52))</f>
        <v>0</v>
      </c>
      <c r="AQ52" s="878">
        <f>(input_MRB_die_L*$H52)+(input_MRB_benz_L*$I52)+(input_MRB_CNG_L*J52)</f>
        <v>0</v>
      </c>
      <c r="AR52" s="877">
        <f>IF($G52=0,0,AQ52/($E52*looptijd*$G52))</f>
        <v>0</v>
      </c>
      <c r="AS52" s="878">
        <f>($E52*H52*(gem_verbr_die_L/100)*prijs_die)+($E52*I52*(gem_verbr_benz_L/100)*prijs_benz)+($E52*J52*(gem_verbr_CNG_L/100)*prijs_CNG)</f>
        <v>0</v>
      </c>
      <c r="AT52" s="877">
        <f>IF($G52=0,0,(AS52*looptijd)/(looptijd*$E52*$G52))</f>
        <v>0</v>
      </c>
      <c r="AU52" s="878">
        <f>($E52*H52*Onderh_die_L)+($E52*I52*Onderh_benz_L)+($E52*J52*Onderh_CNG_L)</f>
        <v>0</v>
      </c>
      <c r="AV52" s="877">
        <f>IF($G52=0,0,(AU52*looptijd)/(looptijd*$E52*$G52))</f>
        <v>0</v>
      </c>
      <c r="AW52" s="878">
        <f>Rest_perc*SUM(U52:W52)</f>
        <v>0</v>
      </c>
      <c r="AX52" s="881">
        <f>Rest_perc*SUM(U52:Y52)</f>
        <v>0</v>
      </c>
      <c r="AY52" s="878">
        <f>IF(BTW_verrekening="Ja",((U52+W52)-AW52)/(looptijd*12),((U52+W52+Y52)-AX52)/(looptijd*12))</f>
        <v>0</v>
      </c>
      <c r="AZ52" s="877">
        <f>IF($G52=0,0,(AY52*12*looptijd)/(looptijd*$E52*$G52))</f>
        <v>0</v>
      </c>
      <c r="BA52" s="883">
        <f>(_schadekosten_per_km*E52*G52)/12</f>
        <v>0</v>
      </c>
      <c r="BB52" s="884">
        <f>IF($G52=0,0,(BA52*12*looptijd)/($E52*$G52*looptijd))</f>
        <v>0</v>
      </c>
      <c r="BD52" s="876">
        <f>(M52*verz_die_L)+(N52*verz_benz_L)+(O52*verz_CNG_L)+(P52*verz_BEV_L)+(Q52*verz_FCEV_L)</f>
        <v>0</v>
      </c>
      <c r="BE52" s="877">
        <f>IF($L52=0,0,(BD52*12*looptijd)/($E52*looptijd*$L52))</f>
        <v>0</v>
      </c>
      <c r="BF52" s="878">
        <f>(MRB_die_L*M52)+(MRB_benz_L*N52)+(input_MRB_CNG_L*O52)+(input_MRB_BEV_L*P52)+(input_MRB_FCEV_L*Q52)</f>
        <v>0</v>
      </c>
      <c r="BG52" s="877">
        <f>IF($L52=0,0,BF52/($E52*looptijd*$L52))</f>
        <v>0</v>
      </c>
      <c r="BH52" s="878">
        <f>($E52*M52*(gem_verbr_die_L/100)*prijs_die)+($E52*N52*(gem_verbr_benz_L/100)*prijs_benz)+($E52*O52*(gem_verbr_CNG_L/100)*prijs_CNG)+($E52*P52*(gem_verbr_BEV_L/100)*prijs_elek_berekening)+($E52*Q52*(gem_verbr_FCEV_L_Elek/100)*prijs_elek_berekening*(100%-_verh_H2_accu_L))+($E46*Q52*(gem_verbr_FCEV_L_H2/100)*prijs_H2*(_verh_H2_accu_L))</f>
        <v>0</v>
      </c>
      <c r="BI52" s="877">
        <f>IF($L52=0,0,(BH52*looptijd)/(looptijd*$E52*$L52))</f>
        <v>0</v>
      </c>
      <c r="BJ52" s="885"/>
      <c r="BK52" s="878">
        <f>Rest_perc_ZE*(AD52+AF52)</f>
        <v>0</v>
      </c>
      <c r="BL52" s="878">
        <f>Rest_perc_ZE*(AD52+AF52+AH52)</f>
        <v>0</v>
      </c>
      <c r="BM52" s="885"/>
      <c r="BN52" s="878">
        <f>($E52*M52*Onderh_die_L)+($E52*N52*Onderh_benz_L)+($E52*O52*Onderh_CNG_L)+($E52*P52*Onderh_BEV_L)+($E52*Q52*Onderh_FCEV_L)</f>
        <v>0</v>
      </c>
      <c r="BO52" s="877">
        <f>IF($L52=0,0,(BN52*looptijd)/(looptijd*$E52*$L52))</f>
        <v>0</v>
      </c>
      <c r="BP52" s="878"/>
      <c r="BQ52" s="878">
        <f>IF(BTW_verrekening="Ja",((AD52+AF52-AJ52)-BK52)/(looptijd*12),((AD52+AF52+AH52-AJ52)-BL52)/(looptijd*12))</f>
        <v>0</v>
      </c>
      <c r="BR52" s="877">
        <f>IF($G52=0,0,(BQ52*12*looptijd)/(looptijd*$E52*$G52))</f>
        <v>0</v>
      </c>
      <c r="BS52" s="885"/>
      <c r="BT52" s="883">
        <f>(_schadekosten_per_km*E52*L52)/12</f>
        <v>0</v>
      </c>
      <c r="BU52" s="884">
        <f>IF($L52=0,0,(BT52*12*looptijd)/($E52*$L52*looptijd))</f>
        <v>0</v>
      </c>
      <c r="BV52" s="881"/>
      <c r="BW52" s="886">
        <f>(Efac_die_TTW*(gem_verbr_die_L/100)*$E52*H52)+(Efac_benz_TTW*(gem_verbr_benz_L/100)*$E52*I52)+(Efac_CNG_berekening_TTW*(gem_verbr_CNG_L/100)*$E52*J52)</f>
        <v>0</v>
      </c>
      <c r="BX52" s="887">
        <f>(Efac_die_WTW*(gem_verbr_die_L/100)*$E52*H52)+(Efac_benz_WTW*(gem_verbr_benz_L/100)*$E52*I52)+(Efac_CNG_berekening_WTW*(gem_verbr_CNG_L/100)*$E52*J52)</f>
        <v>0</v>
      </c>
      <c r="BY52" s="888">
        <f>IF($G52=0,0,(BX52*looptijd)/($E52*$G52*looptijd))</f>
        <v>0</v>
      </c>
      <c r="BZ52" s="889"/>
      <c r="CA52" s="886">
        <f>(Efac_die_TTW*(gem_verbr_die_L/100)*$E52*M52)+(Efac_benz_TTW*(gem_verbr_benz_L/100)*$E52*N52)+(Efac_CNG_berekening_TTW*(gem_verbr_CNG_L/100)*$E52*O52)+(Efac_elek_berekening_TTW*(gem_verbr_BEV_L/100)*$E52*P52)+(Efac_elek_berekening_TTW*(gem_verbr_FCEV_L_Elek/100)*(100%-_verh_H2_accu_L)*Q52)+(Efac_H2_berekening_TTW*(gem_verbr_FCEV_L_H2/100)*(_verh_H2_accu_L)*Q52)</f>
        <v>0</v>
      </c>
      <c r="CB52" s="887">
        <f>(Efac_die_WTW*(gem_verbr_die_L/100)*$E52*M52)+(Efac_benz_WTW*(gem_verbr_benz_L/100)*$E52*N52)+(Efac_CNG_berekening_WTW*(gem_verbr_CNG_L/100)*$E52*O52)+(Efac_elek_berekening_WTW*(gem_verbr_BEV_L/100)*$E52*P52)+(Efac_elek_berekening_WTW*(gem_verbr_FCEV_L_Elek/100)*(100%-_verh_H2_accu_L)*Q52)+(Efac_H2_berekening_WTW*(gem_verbr_FCEV_L_H2/100)*(_verh_H2_accu_L)*Q52)</f>
        <v>0</v>
      </c>
      <c r="CC52" s="888">
        <f>IF($L52=0,0,(CB52*looptijd)/($L52*$E52*looptijd))</f>
        <v>0</v>
      </c>
    </row>
    <row r="53" spans="1:81">
      <c r="A53" s="891">
        <v>33</v>
      </c>
      <c r="B53" s="867" t="s">
        <v>28</v>
      </c>
      <c r="C53" s="868" t="s">
        <v>750</v>
      </c>
      <c r="D53" s="868"/>
      <c r="E53" s="869">
        <f>$E$5</f>
        <v>25000</v>
      </c>
      <c r="G53" s="870">
        <f t="shared" si="0"/>
        <v>0</v>
      </c>
      <c r="H53" s="868">
        <v>0</v>
      </c>
      <c r="I53" s="868">
        <v>0</v>
      </c>
      <c r="J53" s="872">
        <v>0</v>
      </c>
      <c r="K53" s="873"/>
      <c r="L53" s="870">
        <f t="shared" si="1"/>
        <v>0</v>
      </c>
      <c r="M53" s="868">
        <v>0</v>
      </c>
      <c r="N53" s="868">
        <v>0</v>
      </c>
      <c r="O53" s="868">
        <v>0</v>
      </c>
      <c r="P53" s="868">
        <v>0</v>
      </c>
      <c r="Q53" s="872">
        <v>0</v>
      </c>
      <c r="S53" s="875">
        <f>(L53*E53*looptijd)</f>
        <v>0</v>
      </c>
      <c r="U53" s="876">
        <f>(Netto_cat_die_L*H53)+(Netto_cat_benz_L*I53)+(Netto_cat_CNG_L*J53)</f>
        <v>0</v>
      </c>
      <c r="V53" s="877">
        <f>IF($G53=0,0,U53/($E53*$G53*looptijd))</f>
        <v>0</v>
      </c>
      <c r="W53" s="878">
        <f>IF(BPM_belasting="ja",(BPM_die_L*H53)+(BPM_benz_L*I53)+(BPM_CNG_L*J53),0)</f>
        <v>0</v>
      </c>
      <c r="X53" s="877">
        <f>IF($G53=0,0,W53/($E53*looptijd*$G53))</f>
        <v>0</v>
      </c>
      <c r="Y53" s="879">
        <f>BTW*U53</f>
        <v>0</v>
      </c>
      <c r="Z53" s="879">
        <f>SUM(U53:Y53)</f>
        <v>0</v>
      </c>
      <c r="AA53" s="879">
        <f>IF(BTW_verrekening="ja",((U53+W53-AW53))/2*Rente_financiering,((U53+W53+Y53-AW53)/2)*Rente_financiering)</f>
        <v>0</v>
      </c>
      <c r="AB53" s="880">
        <f>IF(G53=0,0,AA53*looptijd/($E53*looptijd*$G53))</f>
        <v>0</v>
      </c>
      <c r="AD53" s="876">
        <f>(Netto_cat_die_L*M53)+(Netto_cat_benz_L*N53)+(Netto_cat_CNG_L*O53)+(Netto_cat_BEV_L*P53)+(Netto_cat_FCEV_L*Q53)</f>
        <v>0</v>
      </c>
      <c r="AE53" s="877">
        <f>IF($L53=0,0,AD53/($E53*$L53*looptijd))</f>
        <v>0</v>
      </c>
      <c r="AF53" s="878">
        <f>IF(BPM_belasting="ja",(BPM_benz_A*N53)+(BPM_CNG_A*O53)+(P53*BPM_BEV)+(Q53*BPM_FCEV),0)</f>
        <v>0</v>
      </c>
      <c r="AG53" s="878">
        <f>IF($L53=0,0,AF53/($E53*looptijd*$L53))</f>
        <v>0</v>
      </c>
      <c r="AH53" s="878">
        <f>BTW*AD53</f>
        <v>0</v>
      </c>
      <c r="AI53" s="878">
        <f>SUM(AD53:AH53)</f>
        <v>0</v>
      </c>
      <c r="AJ53" s="878">
        <f>IF('2. Invoer parameters'!$C$10="ja",MIA_BEV_L*P53,0)</f>
        <v>0</v>
      </c>
      <c r="AK53" s="882">
        <f>IF($L53=0,0,AJ53/($E53*looptijd*$L53))</f>
        <v>0</v>
      </c>
      <c r="AL53" s="881">
        <f>IF(BPM_belasting="nee",(((AD53-AJ53)-BK53)/2)*Rente_financiering,(((AD53-AJ53+AF53)-BL53)/2)*Rente_financiering)</f>
        <v>0</v>
      </c>
      <c r="AM53" s="880">
        <f>IF($L53=0,0,AL53*looptijd/($E53*looptijd*$L53))</f>
        <v>0</v>
      </c>
      <c r="AO53" s="876">
        <f>(H53*verz_die_L)+(I53*verz_benz_L)+(J53*verz_CNG_L)</f>
        <v>0</v>
      </c>
      <c r="AP53" s="877">
        <f>IF($G53=0,0,(AO53*12*looptijd)/($E53*looptijd*$G53))</f>
        <v>0</v>
      </c>
      <c r="AQ53" s="878">
        <f>(input_MRB_die_L*$H53)+(input_MRB_benz_L*$I53)+(input_MRB_CNG_L*J53)</f>
        <v>0</v>
      </c>
      <c r="AR53" s="877">
        <f>IF($G53=0,0,AQ53/($E53*looptijd*$G53))</f>
        <v>0</v>
      </c>
      <c r="AS53" s="878">
        <f>($E53*H53*(gem_verbr_die_L/100)*prijs_die)+($E53*I53*(gem_verbr_benz_L/100)*prijs_benz)+($E53*J53*(gem_verbr_CNG_L/100)*prijs_CNG)</f>
        <v>0</v>
      </c>
      <c r="AT53" s="877">
        <f>IF($G53=0,0,(AS53*looptijd)/(looptijd*$E53*$G53))</f>
        <v>0</v>
      </c>
      <c r="AU53" s="878">
        <f>($E53*H53*Onderh_die_L)+($E53*I53*Onderh_benz_L)+($E53*J53*Onderh_CNG_L)</f>
        <v>0</v>
      </c>
      <c r="AV53" s="877">
        <f>IF($G53=0,0,(AU53*looptijd)/(looptijd*$E53*$G53))</f>
        <v>0</v>
      </c>
      <c r="AW53" s="878">
        <f>Rest_perc*SUM(U53:W53)</f>
        <v>0</v>
      </c>
      <c r="AX53" s="881">
        <f>Rest_perc*SUM(U53:Y53)</f>
        <v>0</v>
      </c>
      <c r="AY53" s="878">
        <f>IF(BTW_verrekening="Ja",((U53+W53)-AW53)/(looptijd*12),((U53+W53+Y53)-AX53)/(looptijd*12))</f>
        <v>0</v>
      </c>
      <c r="AZ53" s="877">
        <f>IF($G53=0,0,(AY53*12*looptijd)/(looptijd*$E53*$G53))</f>
        <v>0</v>
      </c>
      <c r="BA53" s="883">
        <f>(_schadekosten_per_km*E53*G53)/12</f>
        <v>0</v>
      </c>
      <c r="BB53" s="884">
        <f>IF($G53=0,0,(BA53*12*looptijd)/($E53*$G53*looptijd))</f>
        <v>0</v>
      </c>
      <c r="BD53" s="876">
        <f>(M53*verz_die_L)+(N53*verz_benz_L)+(O53*verz_CNG_L)+(P53*verz_BEV_L)+(Q53*verz_FCEV_L)</f>
        <v>0</v>
      </c>
      <c r="BE53" s="877">
        <f>IF($L53=0,0,(BD53*12*looptijd)/($E53*looptijd*$L53))</f>
        <v>0</v>
      </c>
      <c r="BF53" s="878">
        <f>(MRB_die_L*M53)+(MRB_benz_L*N53)+(input_MRB_CNG_L*O53)+(input_MRB_BEV_L*P53)+(input_MRB_FCEV_L*Q53)</f>
        <v>0</v>
      </c>
      <c r="BG53" s="877">
        <f>IF($L53=0,0,BF53/($E53*looptijd*$L53))</f>
        <v>0</v>
      </c>
      <c r="BH53" s="878">
        <f>($E53*M53*(gem_verbr_die_L/100)*prijs_die)+($E53*N53*(gem_verbr_benz_L/100)*prijs_benz)+($E53*O53*(gem_verbr_CNG_L/100)*prijs_CNG)+($E53*P53*(gem_verbr_BEV_L/100)*prijs_elek_berekening)+($E53*Q53*(gem_verbr_FCEV_L_Elek/100)*prijs_elek_berekening*(100%-_verh_H2_accu_L))+($E47*Q53*(gem_verbr_FCEV_L_H2/100)*prijs_H2*(_verh_H2_accu_L))</f>
        <v>0</v>
      </c>
      <c r="BI53" s="877">
        <f>IF($L53=0,0,(BH53*looptijd)/(looptijd*$E53*$L53))</f>
        <v>0</v>
      </c>
      <c r="BJ53" s="885"/>
      <c r="BK53" s="878">
        <f>Rest_perc_ZE*(AD53+AF53)</f>
        <v>0</v>
      </c>
      <c r="BL53" s="878">
        <f>Rest_perc_ZE*(AD53+AF53+AH53)</f>
        <v>0</v>
      </c>
      <c r="BM53" s="885"/>
      <c r="BN53" s="878">
        <f>($E53*M53*Onderh_die_L)+($E53*N53*Onderh_benz_L)+($E53*O53*Onderh_CNG_L)+($E53*P53*Onderh_BEV_L)+($E53*Q53*Onderh_FCEV_L)</f>
        <v>0</v>
      </c>
      <c r="BO53" s="877">
        <f>IF($L53=0,0,(BN53*looptijd)/(looptijd*$E53*$L53))</f>
        <v>0</v>
      </c>
      <c r="BP53" s="878"/>
      <c r="BQ53" s="878">
        <f>IF(BTW_verrekening="Ja",((AD53+AF53-AJ53)-BK53)/(looptijd*12),((AD53+AF53+AH53-AJ53)-BL53)/(looptijd*12))</f>
        <v>0</v>
      </c>
      <c r="BR53" s="877">
        <f>IF($G53=0,0,(BQ53*12*looptijd)/(looptijd*$E53*$G53))</f>
        <v>0</v>
      </c>
      <c r="BS53" s="885"/>
      <c r="BT53" s="883">
        <f>(_schadekosten_per_km*E53*L53)/12</f>
        <v>0</v>
      </c>
      <c r="BU53" s="884">
        <f>IF($L53=0,0,(BT53*12*looptijd)/($E53*$L53*looptijd))</f>
        <v>0</v>
      </c>
      <c r="BV53" s="881"/>
      <c r="BW53" s="886">
        <f>(Efac_die_TTW*(gem_verbr_die_L/100)*$E53*H53)+(Efac_benz_TTW*(gem_verbr_benz_L/100)*$E53*I53)+(Efac_CNG_berekening_TTW*(gem_verbr_CNG_L/100)*$E53*J53)</f>
        <v>0</v>
      </c>
      <c r="BX53" s="887">
        <f>(Efac_die_WTW*(gem_verbr_die_L/100)*$E53*H53)+(Efac_benz_WTW*(gem_verbr_benz_L/100)*$E53*I53)+(Efac_CNG_berekening_WTW*(gem_verbr_CNG_L/100)*$E53*J53)</f>
        <v>0</v>
      </c>
      <c r="BY53" s="888">
        <f>IF($G53=0,0,(BX53*looptijd)/($E53*$G53*looptijd))</f>
        <v>0</v>
      </c>
      <c r="BZ53" s="889"/>
      <c r="CA53" s="886">
        <f>(Efac_die_TTW*(gem_verbr_die_L/100)*$E53*M53)+(Efac_benz_TTW*(gem_verbr_benz_L/100)*$E53*N53)+(Efac_CNG_berekening_TTW*(gem_verbr_CNG_L/100)*$E53*O53)+(Efac_elek_berekening_TTW*(gem_verbr_BEV_L/100)*$E53*P53)+(Efac_elek_berekening_TTW*(gem_verbr_FCEV_L_Elek/100)*(100%-_verh_H2_accu_L)*Q53)+(Efac_H2_berekening_TTW*(gem_verbr_FCEV_L_H2/100)*(_verh_H2_accu_L)*Q53)</f>
        <v>0</v>
      </c>
      <c r="CB53" s="887">
        <f>(Efac_die_WTW*(gem_verbr_die_L/100)*$E53*M53)+(Efac_benz_WTW*(gem_verbr_benz_L/100)*$E53*N53)+(Efac_CNG_berekening_WTW*(gem_verbr_CNG_L/100)*$E53*O53)+(Efac_elek_berekening_WTW*(gem_verbr_BEV_L/100)*$E53*P53)+(Efac_elek_berekening_WTW*(gem_verbr_FCEV_L_Elek/100)*(100%-_verh_H2_accu_L)*Q53)+(Efac_H2_berekening_WTW*(gem_verbr_FCEV_L_H2/100)*(_verh_H2_accu_L)*Q53)</f>
        <v>0</v>
      </c>
      <c r="CC53" s="888">
        <f>IF($L53=0,0,(CB53*looptijd)/($L53*$E53*looptijd))</f>
        <v>0</v>
      </c>
    </row>
    <row r="54" spans="1:81" ht="16" customHeight="1">
      <c r="A54" s="891">
        <v>34</v>
      </c>
      <c r="B54" s="867" t="s">
        <v>28</v>
      </c>
      <c r="C54" s="868" t="s">
        <v>752</v>
      </c>
      <c r="D54" s="868"/>
      <c r="E54" s="872">
        <v>50000</v>
      </c>
      <c r="F54" s="873"/>
      <c r="G54" s="870">
        <f t="shared" si="0"/>
        <v>0</v>
      </c>
      <c r="H54" s="868">
        <v>0</v>
      </c>
      <c r="I54" s="868">
        <v>0</v>
      </c>
      <c r="J54" s="872">
        <v>0</v>
      </c>
      <c r="K54" s="873"/>
      <c r="L54" s="870">
        <f t="shared" si="1"/>
        <v>0</v>
      </c>
      <c r="M54" s="868">
        <v>0</v>
      </c>
      <c r="N54" s="868">
        <v>0</v>
      </c>
      <c r="O54" s="868">
        <v>0</v>
      </c>
      <c r="P54" s="868">
        <v>0</v>
      </c>
      <c r="Q54" s="872">
        <v>0</v>
      </c>
      <c r="S54" s="875">
        <f>(L54*E54*looptijd)</f>
        <v>0</v>
      </c>
      <c r="U54" s="876">
        <f>(Netto_cat_die_L*H54)+(Netto_cat_benz_L*I54)+(Netto_cat_CNG_L*J54)</f>
        <v>0</v>
      </c>
      <c r="V54" s="877">
        <f>IF($G54=0,0,U54/($E54*$G54*looptijd))</f>
        <v>0</v>
      </c>
      <c r="W54" s="878">
        <f>IF(BPM_belasting="ja",(BPM_die_L*H54)+(BPM_benz_L*I54)+(BPM_CNG_L*J54),0)</f>
        <v>0</v>
      </c>
      <c r="X54" s="877">
        <f>IF($G54=0,0,W54/($E54*looptijd*$G54))</f>
        <v>0</v>
      </c>
      <c r="Y54" s="879">
        <f>BTW*U54</f>
        <v>0</v>
      </c>
      <c r="Z54" s="879">
        <f>SUM(U54:Y54)</f>
        <v>0</v>
      </c>
      <c r="AA54" s="879">
        <f>IF(BTW_verrekening="ja",((U54+W54-AW54))/2*Rente_financiering,((U54+W54+Y54-AW54)/2)*Rente_financiering)</f>
        <v>0</v>
      </c>
      <c r="AB54" s="880">
        <f>IF(G54=0,0,AA54*looptijd/($E54*looptijd*$G54))</f>
        <v>0</v>
      </c>
      <c r="AD54" s="876">
        <f>(Netto_cat_die_L*M54)+(Netto_cat_benz_L*N54)+(Netto_cat_CNG_L*O54)+(Netto_cat_BEV_L*P54)+(Netto_cat_FCEV_L*Q54)</f>
        <v>0</v>
      </c>
      <c r="AE54" s="877">
        <f>IF($L54=0,0,AD54/($E54*$L54*looptijd))</f>
        <v>0</v>
      </c>
      <c r="AF54" s="878">
        <f>IF(BPM_belasting="ja",(BPM_benz_A*N54)+(BPM_CNG_A*O54)+(P54*BPM_BEV)+(Q54*BPM_FCEV),0)</f>
        <v>0</v>
      </c>
      <c r="AG54" s="878">
        <f>IF($L54=0,0,AF54/($E54*looptijd*$L54))</f>
        <v>0</v>
      </c>
      <c r="AH54" s="878">
        <f>BTW*AD54</f>
        <v>0</v>
      </c>
      <c r="AI54" s="878">
        <f>SUM(AD54:AH54)</f>
        <v>0</v>
      </c>
      <c r="AJ54" s="878">
        <f>IF('2. Invoer parameters'!$C$10="ja",MIA_BEV_L*P54,0)</f>
        <v>0</v>
      </c>
      <c r="AK54" s="882">
        <f>IF($L54=0,0,AJ54/($E54*looptijd*$L54))</f>
        <v>0</v>
      </c>
      <c r="AL54" s="881">
        <f>IF(BPM_belasting="nee",(((AD54-AJ54)-BK54)/2)*Rente_financiering,(((AD54-AJ54+AF54)-BL54)/2)*Rente_financiering)</f>
        <v>0</v>
      </c>
      <c r="AM54" s="880">
        <f>IF($L54=0,0,AL54*looptijd/($E54*looptijd*$L54))</f>
        <v>0</v>
      </c>
      <c r="AO54" s="876">
        <f>(H54*verz_die_L)+(I54*verz_benz_L)+(J54*verz_CNG_L)</f>
        <v>0</v>
      </c>
      <c r="AP54" s="877">
        <f>IF($G54=0,0,(AO54*12*looptijd)/($E54*looptijd*$G54))</f>
        <v>0</v>
      </c>
      <c r="AQ54" s="878">
        <f>(input_MRB_die_L*$H54)+(input_MRB_benz_L*$I54)+(input_MRB_CNG_L*J54)</f>
        <v>0</v>
      </c>
      <c r="AR54" s="877">
        <f>IF($G54=0,0,AQ54/($E54*looptijd*$G54))</f>
        <v>0</v>
      </c>
      <c r="AS54" s="878">
        <f>($E54*H54*(gem_verbr_die_L/100)*prijs_die)+($E54*I54*(gem_verbr_benz_L/100)*prijs_benz)+($E54*J54*(gem_verbr_CNG_L/100)*prijs_CNG)</f>
        <v>0</v>
      </c>
      <c r="AT54" s="877">
        <f>IF($G54=0,0,(AS54*looptijd)/(looptijd*$E54*$G54))</f>
        <v>0</v>
      </c>
      <c r="AU54" s="878">
        <f>($E54*H54*Onderh_die_L_hoog_km)+($E54*I54*Onderh_benz_L_hoog_km)+($E54*J54*Onderh_CNG_L_hoog_km)</f>
        <v>0</v>
      </c>
      <c r="AV54" s="877">
        <f>IF($G54=0,0,(AU54*looptijd)/(looptijd*$E54*$G54))</f>
        <v>0</v>
      </c>
      <c r="AW54" s="878">
        <f>Rest_perc*SUM(U54:W54)</f>
        <v>0</v>
      </c>
      <c r="AX54" s="881">
        <f>Rest_perc*SUM(U54:Y54)</f>
        <v>0</v>
      </c>
      <c r="AY54" s="878">
        <f>IF(BTW_verrekening="Ja",((U54+W54)-AW54)/(looptijd*12),((U54+W54+Y54)-AX54)/(looptijd*12))</f>
        <v>0</v>
      </c>
      <c r="AZ54" s="877">
        <f>IF($G54=0,0,(AY54*12*looptijd)/(looptijd*$E54*$G54))</f>
        <v>0</v>
      </c>
      <c r="BA54" s="883">
        <f>(_schadekosten_per_km*E54*G54)/12</f>
        <v>0</v>
      </c>
      <c r="BB54" s="884">
        <f>IF($G54=0,0,(BA54*12*looptijd)/($E54*$G54*looptijd))</f>
        <v>0</v>
      </c>
      <c r="BD54" s="876">
        <f>(M54*verz_die_L)+(N54*verz_benz_L)+(O54*verz_CNG_L)+(P54*verz_BEV_L)+(Q54*verz_FCEV_L)</f>
        <v>0</v>
      </c>
      <c r="BE54" s="877">
        <f>IF($L54=0,0,(BD54*12*looptijd)/($E54*looptijd*$L54))</f>
        <v>0</v>
      </c>
      <c r="BF54" s="878">
        <f>(MRB_die_L*M54)+(MRB_benz_L*N54)+(input_MRB_CNG_L*O54)+(input_MRB_BEV_L*P54)+(input_MRB_FCEV_L*Q54)</f>
        <v>0</v>
      </c>
      <c r="BG54" s="877">
        <f>IF($L54=0,0,BF54/($E54*looptijd*$L54))</f>
        <v>0</v>
      </c>
      <c r="BH54" s="878">
        <f>($E54*M54*(gem_verbr_die_L/100)*prijs_die)+($E54*N54*(gem_verbr_benz_L/100)*prijs_benz)+($E54*O54*(gem_verbr_CNG_L/100)*prijs_CNG)+($E54*P54*(gem_verbr_BEV_L/100)*prijs_elek_berekening)+($E54*Q54*(gem_verbr_FCEV_L_Elek/100)*prijs_elek_berekening*(100%-_verh_H2_accu_L))+($E48*Q54*(gem_verbr_FCEV_L_H2/100)*prijs_H2*(_verh_H2_accu_L))</f>
        <v>0</v>
      </c>
      <c r="BI54" s="877">
        <f>IF($L54=0,0,(BH54*looptijd)/(looptijd*$E54*$L54))</f>
        <v>0</v>
      </c>
      <c r="BJ54" s="885"/>
      <c r="BK54" s="878">
        <f>Rest_perc_ZE*(AD54+AF54)</f>
        <v>0</v>
      </c>
      <c r="BL54" s="878">
        <f>Rest_perc_ZE*(AD54+AF54+AH54)</f>
        <v>0</v>
      </c>
      <c r="BM54" s="885"/>
      <c r="BN54" s="878">
        <f>($E54*M54*Onderh_die_L_hoog_km)+($E54*N54*Onderh_benz_L_hoog_km)+($E54*O54*Onderh_CNG_L_hoog_km)+($E54*P54*Onderh_BEV_L_hoog_km)+($E54*Q54*Onderh_FCEV_L_hoog_km)</f>
        <v>0</v>
      </c>
      <c r="BO54" s="877">
        <f>IF($L54=0,0,(BN54*looptijd)/(looptijd*$E54*$L54))</f>
        <v>0</v>
      </c>
      <c r="BP54" s="878"/>
      <c r="BQ54" s="878">
        <f>IF(BTW_verrekening="Ja",((AD54+AF54-AJ54)-BK54)/(looptijd*12),((AD54+AF54+AH54-AJ54)-BL54)/(looptijd*12))</f>
        <v>0</v>
      </c>
      <c r="BR54" s="877">
        <f>IF($G54=0,0,(BQ54*12*looptijd)/(looptijd*$E54*$G54))</f>
        <v>0</v>
      </c>
      <c r="BS54" s="885"/>
      <c r="BT54" s="883">
        <f>(_schadekosten_per_km*E54*L54)/12</f>
        <v>0</v>
      </c>
      <c r="BU54" s="884">
        <f>IF($L54=0,0,(BT54*12*looptijd)/($E54*$L54*looptijd))</f>
        <v>0</v>
      </c>
      <c r="BV54" s="881"/>
      <c r="BW54" s="886">
        <f>(Efac_die_TTW*(gem_verbr_die_L/100)*$E54*H54)+(Efac_benz_TTW*(gem_verbr_benz_L/100)*$E54*I54)+(Efac_CNG_berekening_TTW*(gem_verbr_CNG_L/100)*$E54*J54)</f>
        <v>0</v>
      </c>
      <c r="BX54" s="887">
        <f>(Efac_die_WTW*(gem_verbr_die_L/100)*$E54*H54)+(Efac_benz_WTW*(gem_verbr_benz_L/100)*$E54*I54)+(Efac_CNG_berekening_WTW*(gem_verbr_CNG_L/100)*$E54*J54)</f>
        <v>0</v>
      </c>
      <c r="BY54" s="888">
        <f>IF($G54=0,0,(BX54*looptijd)/($E54*$G54*looptijd))</f>
        <v>0</v>
      </c>
      <c r="BZ54" s="889"/>
      <c r="CA54" s="886">
        <f>(Efac_die_TTW*(gem_verbr_die_L/100)*$E54*M54)+(Efac_benz_TTW*(gem_verbr_benz_L/100)*$E54*N54)+(Efac_CNG_berekening_TTW*(gem_verbr_CNG_L/100)*$E54*O54)+(Efac_elek_berekening_TTW*(gem_verbr_BEV_L/100)*$E54*P54)+(Efac_elek_berekening_TTW*(gem_verbr_FCEV_L_Elek/100)*(100%-_verh_H2_accu_L)*Q54)+(Efac_H2_berekening_TTW*(gem_verbr_FCEV_L_H2/100)*(_verh_H2_accu_L)*Q54)</f>
        <v>0</v>
      </c>
      <c r="CB54" s="887">
        <f>(Efac_die_WTW*(gem_verbr_die_L/100)*$E54*M54)+(Efac_benz_WTW*(gem_verbr_benz_L/100)*$E54*N54)+(Efac_CNG_berekening_WTW*(gem_verbr_CNG_L/100)*$E54*O54)+(Efac_elek_berekening_WTW*(gem_verbr_BEV_L/100)*$E54*P54)+(Efac_elek_berekening_WTW*(gem_verbr_FCEV_L_Elek/100)*(100%-_verh_H2_accu_L)*Q54)+(Efac_H2_berekening_WTW*(gem_verbr_FCEV_L_H2/100)*(_verh_H2_accu_L)*Q54)</f>
        <v>0</v>
      </c>
      <c r="CC54" s="888">
        <f>IF($L54=0,0,(CB54*looptijd)/($L54*$E54*looptijd))</f>
        <v>0</v>
      </c>
    </row>
    <row r="55" spans="1:81" ht="16" customHeight="1">
      <c r="A55" s="891">
        <v>35</v>
      </c>
      <c r="B55" s="867" t="s">
        <v>28</v>
      </c>
      <c r="C55" s="868" t="s">
        <v>1695</v>
      </c>
      <c r="D55" s="868"/>
      <c r="E55" s="872">
        <v>75000</v>
      </c>
      <c r="F55" s="873"/>
      <c r="G55" s="870">
        <f t="shared" si="0"/>
        <v>0</v>
      </c>
      <c r="H55" s="868">
        <v>0</v>
      </c>
      <c r="I55" s="868">
        <v>0</v>
      </c>
      <c r="J55" s="872">
        <v>0</v>
      </c>
      <c r="K55" s="873"/>
      <c r="L55" s="870">
        <f t="shared" si="1"/>
        <v>0</v>
      </c>
      <c r="M55" s="868">
        <v>0</v>
      </c>
      <c r="N55" s="868">
        <v>0</v>
      </c>
      <c r="O55" s="868">
        <v>0</v>
      </c>
      <c r="P55" s="868">
        <v>0</v>
      </c>
      <c r="Q55" s="872">
        <v>0</v>
      </c>
      <c r="S55" s="875">
        <f>(L55*E55*looptijd)</f>
        <v>0</v>
      </c>
      <c r="U55" s="876">
        <f>(Netto_cat_die_L*H55)+(Netto_cat_benz_L*I55)+(Netto_cat_CNG_L*J55)</f>
        <v>0</v>
      </c>
      <c r="V55" s="877">
        <f>IF($G55=0,0,U55/($E55*$G55*looptijd))</f>
        <v>0</v>
      </c>
      <c r="W55" s="878">
        <f>IF(BPM_belasting="ja",(BPM_die_L*H55)+(BPM_benz_L*I55)+(BPM_CNG_L*J55),0)</f>
        <v>0</v>
      </c>
      <c r="X55" s="877">
        <f>IF($G55=0,0,W55/($E55*looptijd*$G55))</f>
        <v>0</v>
      </c>
      <c r="Y55" s="879">
        <f>BTW*U55</f>
        <v>0</v>
      </c>
      <c r="Z55" s="879">
        <f>SUM(U55:Y55)</f>
        <v>0</v>
      </c>
      <c r="AA55" s="879">
        <f>IF(BTW_verrekening="ja",((U55+W55-AW55))/2*Rente_financiering,((U55+W55+Y55-AW55)/2)*Rente_financiering)</f>
        <v>0</v>
      </c>
      <c r="AB55" s="880">
        <f>IF(G55=0,0,AA55*looptijd/($E55*looptijd*$G55))</f>
        <v>0</v>
      </c>
      <c r="AD55" s="876">
        <f>(Netto_cat_die_L*M55)+(Netto_cat_benz_L*N55)+(Netto_cat_CNG_L*O55)+(Netto_cat_BEV_L*P55)+(Netto_cat_FCEV_L*Q55)</f>
        <v>0</v>
      </c>
      <c r="AE55" s="877">
        <f>IF($L55=0,0,AD55/($E55*$L55*looptijd))</f>
        <v>0</v>
      </c>
      <c r="AF55" s="878">
        <f>IF(BPM_belasting="ja",(BPM_benz_A*N55)+(BPM_CNG_A*O55)+(P55*BPM_BEV)+(Q55*BPM_FCEV),0)</f>
        <v>0</v>
      </c>
      <c r="AG55" s="878">
        <f>IF($L55=0,0,AF55/($E55*looptijd*$L55))</f>
        <v>0</v>
      </c>
      <c r="AH55" s="878">
        <f>BTW*AD55</f>
        <v>0</v>
      </c>
      <c r="AI55" s="878">
        <f>SUM(AD55:AH55)</f>
        <v>0</v>
      </c>
      <c r="AJ55" s="878">
        <f>IF('2. Invoer parameters'!$C$10="ja",MIA_BEV_L*P55,0)</f>
        <v>0</v>
      </c>
      <c r="AK55" s="882">
        <f>IF($L55=0,0,AJ55/($E55*looptijd*$L55))</f>
        <v>0</v>
      </c>
      <c r="AL55" s="881">
        <f>IF(BPM_belasting="nee",(((AD55-AJ55)-BK55)/2)*Rente_financiering,(((AD55-AJ55+AF55)-BL55)/2)*Rente_financiering)</f>
        <v>0</v>
      </c>
      <c r="AM55" s="880">
        <f>IF($L55=0,0,AL55*looptijd/($E55*looptijd*$L55))</f>
        <v>0</v>
      </c>
      <c r="AO55" s="876">
        <f>(H55*verz_die_L)+(I55*verz_benz_L)+(J55*verz_CNG_L)</f>
        <v>0</v>
      </c>
      <c r="AP55" s="877">
        <f>IF($G55=0,0,(AO55*12*looptijd)/($E55*looptijd*$G55))</f>
        <v>0</v>
      </c>
      <c r="AQ55" s="878">
        <f>(input_MRB_die_L*$H55)+(input_MRB_benz_L*$I55)+(input_MRB_CNG_L*J55)</f>
        <v>0</v>
      </c>
      <c r="AR55" s="877">
        <f>IF($G55=0,0,AQ55/($E55*looptijd*$G55))</f>
        <v>0</v>
      </c>
      <c r="AS55" s="878">
        <f>($E55*H55*(gem_verbr_die_L/100)*prijs_die)+($E55*I55*(gem_verbr_benz_L/100)*prijs_benz)+($E55*J55*(gem_verbr_CNG_L/100)*prijs_CNG)</f>
        <v>0</v>
      </c>
      <c r="AT55" s="877">
        <f>IF($G55=0,0,(AS55*looptijd)/(looptijd*$E55*$G55))</f>
        <v>0</v>
      </c>
      <c r="AU55" s="878">
        <f>($E55*H55*Onderh_die_L_hoog_km)+($E55*I55*Onderh_benz_L_hoog_km)+($E55*J55*Onderh_CNG_L_hoog_km)</f>
        <v>0</v>
      </c>
      <c r="AV55" s="877">
        <f>IF($G55=0,0,(AU55*looptijd)/(looptijd*$E55*$G55))</f>
        <v>0</v>
      </c>
      <c r="AW55" s="878">
        <f>Rest_perc*SUM(U55:W55)</f>
        <v>0</v>
      </c>
      <c r="AX55" s="881">
        <f>Rest_perc*SUM(U55:Y55)</f>
        <v>0</v>
      </c>
      <c r="AY55" s="878">
        <f>IF(BTW_verrekening="Ja",((U55+W55)-AW55)/(looptijd*12),((U55+W55+Y55)-AX55)/(looptijd*12))</f>
        <v>0</v>
      </c>
      <c r="AZ55" s="877">
        <f>IF($G55=0,0,(AY55*12*looptijd)/(looptijd*$E55*$G55))</f>
        <v>0</v>
      </c>
      <c r="BA55" s="883">
        <f>(_schadekosten_per_km*E55*G55)/12</f>
        <v>0</v>
      </c>
      <c r="BB55" s="884">
        <f>IF($G55=0,0,(BA55*12*looptijd)/($E55*$G55*looptijd))</f>
        <v>0</v>
      </c>
      <c r="BD55" s="876">
        <f>(M55*verz_die_L)+(N55*verz_benz_L)+(O55*verz_CNG_L)+(P55*verz_BEV_L)+(Q55*verz_FCEV_L)</f>
        <v>0</v>
      </c>
      <c r="BE55" s="877">
        <f>IF($L55=0,0,(BD55*12*looptijd)/($E55*looptijd*$L55))</f>
        <v>0</v>
      </c>
      <c r="BF55" s="878">
        <f>(MRB_die_L*M55)+(MRB_benz_L*N55)+(input_MRB_CNG_L*O55)+(input_MRB_BEV_L*P55)+(input_MRB_FCEV_L*Q55)</f>
        <v>0</v>
      </c>
      <c r="BG55" s="877">
        <f>IF($L55=0,0,BF55/($E55*looptijd*$L55))</f>
        <v>0</v>
      </c>
      <c r="BH55" s="878">
        <f>($E55*M55*(gem_verbr_die_L/100)*prijs_die)+($E55*N55*(gem_verbr_benz_L/100)*prijs_benz)+($E55*O55*(gem_verbr_CNG_L/100)*prijs_CNG)+($E55*P55*(gem_verbr_BEV_L/100)*prijs_elek_berekening)+($E55*Q55*(gem_verbr_FCEV_L_Elek/100)*prijs_elek_berekening*(100%-_verh_H2_accu_L))+($E49*Q55*(gem_verbr_FCEV_L_H2/100)*prijs_H2*(_verh_H2_accu_L))</f>
        <v>0</v>
      </c>
      <c r="BI55" s="877">
        <f>IF($L55=0,0,(BH55*looptijd)/(looptijd*$E55*$L55))</f>
        <v>0</v>
      </c>
      <c r="BJ55" s="885"/>
      <c r="BK55" s="878">
        <f>Rest_perc_ZE*(AD55+AF55)</f>
        <v>0</v>
      </c>
      <c r="BL55" s="878">
        <f>Rest_perc_ZE*(AD55+AF55+AH55)</f>
        <v>0</v>
      </c>
      <c r="BM55" s="885"/>
      <c r="BN55" s="878">
        <f>($E55*M55*Onderh_die_L_hoog_km)+($E55*N55*Onderh_benz_L_hoog_km)+($E55*O55*Onderh_CNG_L_hoog_km)+($E55*P55*Onderh_BEV_L_hoog_km)+($E55*Q55*Onderh_FCEV_L_hoog_km)</f>
        <v>0</v>
      </c>
      <c r="BO55" s="877">
        <f>IF($L55=0,0,(BN55*looptijd)/(looptijd*$E55*$L55))</f>
        <v>0</v>
      </c>
      <c r="BP55" s="878"/>
      <c r="BQ55" s="878">
        <f>IF(BTW_verrekening="Ja",((AD55+AF55-AJ55)-BK55)/(looptijd*12),((AD55+AF55+AH55-AJ55)-BL55)/(looptijd*12))</f>
        <v>0</v>
      </c>
      <c r="BR55" s="877">
        <f>IF($G55=0,0,(BQ55*12*looptijd)/(looptijd*$E55*$G55))</f>
        <v>0</v>
      </c>
      <c r="BS55" s="885"/>
      <c r="BT55" s="883">
        <f>(_schadekosten_per_km*E55*L55)/12</f>
        <v>0</v>
      </c>
      <c r="BU55" s="884">
        <f>IF($L55=0,0,(BT55*12*looptijd)/($E55*$L55*looptijd))</f>
        <v>0</v>
      </c>
      <c r="BV55" s="881"/>
      <c r="BW55" s="886">
        <f>(Efac_die_TTW*(gem_verbr_die_L/100)*$E55*H55)+(Efac_benz_TTW*(gem_verbr_benz_L/100)*$E55*I55)+(Efac_CNG_berekening_TTW*(gem_verbr_CNG_L/100)*$E55*J55)</f>
        <v>0</v>
      </c>
      <c r="BX55" s="887">
        <f>(Efac_die_WTW*(gem_verbr_die_L/100)*$E55*H55)+(Efac_benz_WTW*(gem_verbr_benz_L/100)*$E55*I55)+(Efac_CNG_berekening_WTW*(gem_verbr_CNG_L/100)*$E55*J55)</f>
        <v>0</v>
      </c>
      <c r="BY55" s="888">
        <f>IF($G55=0,0,(BX55*looptijd)/($E55*$G55*looptijd))</f>
        <v>0</v>
      </c>
      <c r="BZ55" s="889"/>
      <c r="CA55" s="886">
        <f>(Efac_die_TTW*(gem_verbr_die_L/100)*$E55*M55)+(Efac_benz_TTW*(gem_verbr_benz_L/100)*$E55*N55)+(Efac_CNG_berekening_TTW*(gem_verbr_CNG_L/100)*$E55*O55)+(Efac_elek_berekening_TTW*(gem_verbr_BEV_L/100)*$E55*P55)+(Efac_elek_berekening_TTW*(gem_verbr_FCEV_L_Elek/100)*(100%-_verh_H2_accu_L)*Q55)+(Efac_H2_berekening_TTW*(gem_verbr_FCEV_L_H2/100)*(_verh_H2_accu_L)*Q55)</f>
        <v>0</v>
      </c>
      <c r="CB55" s="887">
        <f>(Efac_die_WTW*(gem_verbr_die_L/100)*$E55*M55)+(Efac_benz_WTW*(gem_verbr_benz_L/100)*$E55*N55)+(Efac_CNG_berekening_WTW*(gem_verbr_CNG_L/100)*$E55*O55)+(Efac_elek_berekening_WTW*(gem_verbr_BEV_L/100)*$E55*P55)+(Efac_elek_berekening_WTW*(gem_verbr_FCEV_L_Elek/100)*(100%-_verh_H2_accu_L)*Q55)+(Efac_H2_berekening_WTW*(gem_verbr_FCEV_L_H2/100)*(_verh_H2_accu_L)*Q55)</f>
        <v>0</v>
      </c>
      <c r="CC55" s="888">
        <f>IF($L55=0,0,(CB55*looptijd)/($L55*$E55*looptijd))</f>
        <v>0</v>
      </c>
    </row>
    <row r="56" spans="1:81">
      <c r="B56" s="867"/>
      <c r="C56" s="889"/>
      <c r="D56" s="889"/>
      <c r="E56" s="869"/>
      <c r="G56" s="870"/>
      <c r="H56" s="868"/>
      <c r="I56" s="868"/>
      <c r="J56" s="872"/>
      <c r="K56" s="873"/>
      <c r="L56" s="870"/>
      <c r="M56" s="868"/>
      <c r="N56" s="868"/>
      <c r="O56" s="868"/>
      <c r="P56" s="868"/>
      <c r="Q56" s="872"/>
      <c r="S56" s="875"/>
      <c r="U56" s="867"/>
      <c r="V56" s="877"/>
      <c r="W56" s="889"/>
      <c r="X56" s="877"/>
      <c r="Y56" s="879"/>
      <c r="Z56" s="879"/>
      <c r="AA56" s="879"/>
      <c r="AB56" s="880"/>
      <c r="AD56" s="867"/>
      <c r="AE56" s="877"/>
      <c r="AF56" s="878"/>
      <c r="AG56" s="878"/>
      <c r="AH56" s="878"/>
      <c r="AI56" s="878"/>
      <c r="AJ56" s="878"/>
      <c r="AK56" s="882"/>
      <c r="AL56" s="881"/>
      <c r="AM56" s="880"/>
      <c r="AO56" s="867"/>
      <c r="AP56" s="877"/>
      <c r="AQ56" s="889"/>
      <c r="AR56" s="877"/>
      <c r="AS56" s="889"/>
      <c r="AT56" s="877"/>
      <c r="AU56" s="889"/>
      <c r="AV56" s="877"/>
      <c r="AW56" s="878"/>
      <c r="AX56" s="881"/>
      <c r="AY56" s="878"/>
      <c r="AZ56" s="877"/>
      <c r="BA56" s="883"/>
      <c r="BB56" s="884"/>
      <c r="BD56" s="876"/>
      <c r="BE56" s="877"/>
      <c r="BF56" s="889"/>
      <c r="BG56" s="877"/>
      <c r="BH56" s="889"/>
      <c r="BI56" s="877"/>
      <c r="BJ56" s="892"/>
      <c r="BK56" s="878"/>
      <c r="BL56" s="878"/>
      <c r="BM56" s="885"/>
      <c r="BN56" s="889"/>
      <c r="BO56" s="877"/>
      <c r="BP56" s="889"/>
      <c r="BQ56" s="878"/>
      <c r="BR56" s="877"/>
      <c r="BS56" s="885"/>
      <c r="BT56" s="883"/>
      <c r="BU56" s="884"/>
      <c r="BV56" s="881"/>
      <c r="BW56" s="886"/>
      <c r="BX56" s="889"/>
      <c r="BY56" s="888"/>
      <c r="BZ56" s="889"/>
      <c r="CA56" s="886"/>
      <c r="CB56" s="889"/>
      <c r="CC56" s="888"/>
    </row>
    <row r="57" spans="1:81">
      <c r="A57" s="891">
        <v>36</v>
      </c>
      <c r="B57" s="867" t="s">
        <v>32</v>
      </c>
      <c r="C57" s="868" t="s">
        <v>748</v>
      </c>
      <c r="D57" s="868"/>
      <c r="E57" s="869">
        <f>$E$3</f>
        <v>10000</v>
      </c>
      <c r="G57" s="870">
        <f t="shared" si="0"/>
        <v>0</v>
      </c>
      <c r="H57" s="868">
        <f t="array" ref="H57:H61">TRANSPOSE('1a. Invoer - BESTAAND'!J13:N13)</f>
        <v>0</v>
      </c>
      <c r="I57" s="868">
        <f t="array" ref="I57:I61">TRANSPOSE('1a. Invoer - BESTAAND'!E13:I13)</f>
        <v>0</v>
      </c>
      <c r="J57" s="872">
        <f t="array" ref="J57:J61">TRANSPOSE('1a. Invoer - BESTAAND'!E42:I42
)</f>
        <v>0</v>
      </c>
      <c r="K57" s="873"/>
      <c r="L57" s="870">
        <f t="shared" si="1"/>
        <v>0</v>
      </c>
      <c r="M57" s="868">
        <v>0</v>
      </c>
      <c r="N57" s="868">
        <v>0</v>
      </c>
      <c r="O57" s="868">
        <v>0</v>
      </c>
      <c r="P57" s="868">
        <f t="array" ref="P57:P61">TRANSPOSE('1b. Invoer - NIEUW'!E15:I15)</f>
        <v>0</v>
      </c>
      <c r="Q57" s="874">
        <f t="array" ref="Q57:Q61">TRANSPOSE('1b. Invoer - NIEUW'!J15:N15)</f>
        <v>0</v>
      </c>
      <c r="S57" s="875">
        <f>(L57*E57*looptijd)</f>
        <v>0</v>
      </c>
      <c r="U57" s="876">
        <f>(Netto_cat_die_M*H57)+(Netto_cat_benz_M*I57)+(Netto_cat_CNG_M*J57)</f>
        <v>0</v>
      </c>
      <c r="V57" s="877">
        <f>IF($G57=0,0,U57/($E57*$G57*looptijd))</f>
        <v>0</v>
      </c>
      <c r="W57" s="878">
        <f>IF(BPM_belasting="ja",(BPM_die_M*H57)+(BPM_benz_M*I57)+(BPM_CNG_M*J57),0)</f>
        <v>0</v>
      </c>
      <c r="X57" s="877">
        <f>IF($G57=0,0,W57/($E57*looptijd*$G57))</f>
        <v>0</v>
      </c>
      <c r="Y57" s="879">
        <f>BTW*U57</f>
        <v>0</v>
      </c>
      <c r="Z57" s="879">
        <f>SUM(U57:Y57)</f>
        <v>0</v>
      </c>
      <c r="AA57" s="879">
        <f>IF(BTW_verrekening="ja",((U57+W57-AW57))/2*Rente_financiering,((U57+W57+Y57-AW57)/2)*Rente_financiering)</f>
        <v>0</v>
      </c>
      <c r="AB57" s="880">
        <f>IF(G57=0,0,AA57*looptijd/($E57*looptijd*$G57))</f>
        <v>0</v>
      </c>
      <c r="AD57" s="876">
        <f>(Netto_cat_die_M*M57)+(Netto_cat_benz_M*N57)+(Netto_cat_CNG_M*O57)+(Netto_cat_BEV_M*P57)+(Netto_cat_FCEV_M*Q57)</f>
        <v>0</v>
      </c>
      <c r="AE57" s="877">
        <f>IF($L57=0,0,AD57/($E57*$L57*looptijd))</f>
        <v>0</v>
      </c>
      <c r="AF57" s="878">
        <f>IF(BPM_belasting="ja",(BPM_benz_A*N57)+(BPM_CNG_A*O57)+(P57*BPM_BEV)+(Q57*BPM_FCEV),0)</f>
        <v>0</v>
      </c>
      <c r="AG57" s="878">
        <f>IF($L57=0,0,AF57/($E57*looptijd*$L57))</f>
        <v>0</v>
      </c>
      <c r="AH57" s="878">
        <f>BTW*AD57</f>
        <v>0</v>
      </c>
      <c r="AI57" s="878">
        <f>SUM(AD57:AH57)</f>
        <v>0</v>
      </c>
      <c r="AJ57" s="878">
        <f>IF('2. Invoer parameters'!$C$10="ja",MIA_BEV_M*P57,0)</f>
        <v>0</v>
      </c>
      <c r="AK57" s="882">
        <f>IF($L57=0,0,AJ57/($E57*looptijd*$L57))</f>
        <v>0</v>
      </c>
      <c r="AL57" s="881">
        <f>IF(BPM_belasting="nee",(((AD57-AJ57)-BK57)/2)*Rente_financiering,(((AD57-AJ57+AF57)-BL57)/2)*Rente_financiering)</f>
        <v>0</v>
      </c>
      <c r="AM57" s="880">
        <f>IF($L57=0,0,AL57*looptijd/($E57*looptijd*$L57))</f>
        <v>0</v>
      </c>
      <c r="AO57" s="876">
        <f>(H57*verz_die_M)+(I57*verz_benz_M)+(J57*verz_CNG_M)</f>
        <v>0</v>
      </c>
      <c r="AP57" s="877">
        <f>IF($G57=0,0,(AO57*12*looptijd)/($E57*looptijd*$G57))</f>
        <v>0</v>
      </c>
      <c r="AQ57" s="878">
        <f>(input_MRB_die_M*$H57)+(input_MRB_benz_M*$I57)+(input_MRB_CNG_M*J57)</f>
        <v>0</v>
      </c>
      <c r="AR57" s="877">
        <f>IF($G57=0,0,AQ57/($E57*looptijd*$G57))</f>
        <v>0</v>
      </c>
      <c r="AS57" s="878">
        <f>($E57*H57*(gem_verbr_die_M/100)*prijs_die)+($E57*I57*(gem_verbr_benz_M/100)*prijs_benz)+($E57*J57*(gem_verbr_CNG_M/100)*prijs_CNG)</f>
        <v>0</v>
      </c>
      <c r="AT57" s="877">
        <f>IF($G57=0,0,(AS57*looptijd)/(looptijd*$E57*$G57))</f>
        <v>0</v>
      </c>
      <c r="AU57" s="878">
        <f>($E57*H57*Onderh_die_M)+($E57*I57*Onderh_benz_M)+($E57*J57*Onderh_CNG_M)</f>
        <v>0</v>
      </c>
      <c r="AV57" s="877">
        <f>IF($G57=0,0,(AU57*looptijd)/(looptijd*$E57*$G57))</f>
        <v>0</v>
      </c>
      <c r="AW57" s="878">
        <f>Rest_perc*SUM(U57:W57)</f>
        <v>0</v>
      </c>
      <c r="AX57" s="881">
        <f>Rest_perc*SUM(U57:Y57)</f>
        <v>0</v>
      </c>
      <c r="AY57" s="878">
        <f>IF(BTW_verrekening="Ja",((U57+W57)-AW57)/(looptijd*12),((U57+W57+Y57)-AX57)/(looptijd*12))</f>
        <v>0</v>
      </c>
      <c r="AZ57" s="877">
        <f>IF($G57=0,0,(AY57*12*looptijd)/(looptijd*$E57*$G57))</f>
        <v>0</v>
      </c>
      <c r="BA57" s="883">
        <f>(_schadekosten_per_km*E57*G57)/12</f>
        <v>0</v>
      </c>
      <c r="BB57" s="884">
        <f>IF($G57=0,0,(BA57*12*looptijd)/($E57*$G57*looptijd))</f>
        <v>0</v>
      </c>
      <c r="BD57" s="876">
        <f>(M57*verz_die_M)+(N57*verz_benz_M)+(O57*verz_CNG_M)+(P57*verz_BEV_M)+(Q57*verz_FCEV_M)</f>
        <v>0</v>
      </c>
      <c r="BE57" s="877">
        <f>IF($L57=0,0,(BD57*12*looptijd)/($E57*looptijd*$L57))</f>
        <v>0</v>
      </c>
      <c r="BF57" s="878">
        <f>(MRB_die_M*M57)+(MRB_benz_M*N57)+(input_MRB_CNG_M*O57)+(input_MRB_BEV_M*P57)+(input_MRB_FCEV_M*Q57)</f>
        <v>0</v>
      </c>
      <c r="BG57" s="877">
        <f>IF($L57=0,0,BF57/($E57*looptijd*$L57))</f>
        <v>0</v>
      </c>
      <c r="BH57" s="878">
        <f>($E57*M57*(gem_verbr_die_M/100)*prijs_die)+($E57*N57*(gem_verbr_benz_M/100)*prijs_benz)+($E57*O57*(verbr_CNG_M/100)*prijs_CNG)+($E57*P57*(gem_verbr_BEV_M/100)*prijs_elek_berekening)+($E57*Q57*(gem_verbr_FCEV_M_Elek/100)*prijs_elek_berekening*(100%-_verh_H2_accu_M))+($E57*Q57*(gem_verbr_FCEV_M_H2/100)*prijs_H2*(_verh_H2_accu_M))</f>
        <v>0</v>
      </c>
      <c r="BI57" s="877">
        <f>IF($L57=0,0,(BH57*looptijd)/(looptijd*$E57*$L57))</f>
        <v>0</v>
      </c>
      <c r="BJ57" s="885"/>
      <c r="BK57" s="878">
        <f>Rest_perc_ZE*(AD57+AF57)</f>
        <v>0</v>
      </c>
      <c r="BL57" s="878">
        <f>Rest_perc_ZE*(AD57+AF57+AH57)</f>
        <v>0</v>
      </c>
      <c r="BM57" s="885"/>
      <c r="BN57" s="878">
        <f>($E57*M57*Onderh_die_M)+($E57*N57*Onderh_benz_M)+($E57*O57*Onderh_CNG_M)+($E57*P57*Onderh_BEV_M)+($E57*Q57*Onderh_FCEV_M)</f>
        <v>0</v>
      </c>
      <c r="BO57" s="877">
        <f>IF($L57=0,0,(BN57*looptijd)/(looptijd*$E57*$L57))</f>
        <v>0</v>
      </c>
      <c r="BP57" s="878"/>
      <c r="BQ57" s="878">
        <f>IF(BTW_verrekening="Ja",((AD57+AF57-AJ57)-BK57)/(looptijd*12),((AD57+AF57+AH57-AJ57)-BL57)/(looptijd*12))</f>
        <v>0</v>
      </c>
      <c r="BR57" s="877">
        <f>IF($G57=0,0,(BQ57*12*looptijd)/(looptijd*$E57*$G57))</f>
        <v>0</v>
      </c>
      <c r="BS57" s="885"/>
      <c r="BT57" s="883">
        <f>(_schadekosten_per_km*E57*L57)/12</f>
        <v>0</v>
      </c>
      <c r="BU57" s="884">
        <f>IF($L57=0,0,(BT57*12*looptijd)/($E57*$L57*looptijd))</f>
        <v>0</v>
      </c>
      <c r="BV57" s="881"/>
      <c r="BW57" s="886">
        <f>(Efac_die_TTW*(gem_verbr_die_M/100)*$E57*H57)+(Efac_benz_TTW*(gem_verbr_benz_M/100)*$E57*I57)+(Efac_CNG_berekening_TTW*(gem_verbr_CNG_M/100)*$E57*J57)</f>
        <v>0</v>
      </c>
      <c r="BX57" s="887">
        <f>(Efac_die_WTW*(gem_verbr_die_M/100)*$E57*H57)+(Efac_benz_WTW*(gem_verbr_benz_M/100)*$E57*I57)+(Efac_CNG_berekening_WTW*(gem_verbr_CNG_M/100)*$E57*J57)</f>
        <v>0</v>
      </c>
      <c r="BY57" s="888">
        <f>IF($G57=0,0,(BX57*looptijd)/($E57*$G57*looptijd))</f>
        <v>0</v>
      </c>
      <c r="BZ57" s="889"/>
      <c r="CA57" s="886">
        <f>(Efac_die_TTW*(gem_verbr_die_M/100)*$E57*M57)+(Efac_benz_TTW*(gem_verbr_benz_M/100)*$E57*N57)+(Efac_CNG_berekening_TTW*(gem_verbr_CNG_M/100)*$E57*O57)+(Efac_elek_berekening_TTW*(gem_verbr_BEV_M/100)*$E57*P57)+(Efac_elek_berekening_TTW*(gem_verbr_FCEV_M_Elek/100)*(100%-_verh_H2_accu_M)*Q57)+(Efac_H2_berekening_TTW*(gem_verbr_FCEV_M_H2/100)*(_verh_H2_accu_M)*Q57)</f>
        <v>0</v>
      </c>
      <c r="CB57" s="887">
        <f>(Efac_die_WTW*(gem_verbr_die_M/100)*$E57*M57)+(Efac_benz_WTW*(gem_verbr_benz_M/100)*$E57*N57)+(Efac_CNG_berekening_WTW*(gem_verbr_CNG_M/100)*$E57*O57)+(Efac_elek_berekening_WTW*(gem_verbr_BEV_M/100)*$E57*P57)+(Efac_elek_berekening_WTW*(gem_verbr_FCEV_M_Elek/100)*(100%-_verh_H2_accu_M)*Q57)+(Efac_H2_berekening_WTW*(gem_verbr_FCEV_M_H2/100)*(_verh_H2_accu_M)*Q57)</f>
        <v>0</v>
      </c>
      <c r="CC57" s="888">
        <f>IF($L57=0,0,(CB57*looptijd)/($L57*$E57*looptijd))</f>
        <v>0</v>
      </c>
    </row>
    <row r="58" spans="1:81">
      <c r="A58" s="891">
        <v>37</v>
      </c>
      <c r="B58" s="867" t="s">
        <v>32</v>
      </c>
      <c r="C58" s="868" t="s">
        <v>749</v>
      </c>
      <c r="D58" s="868"/>
      <c r="E58" s="869">
        <f>$E$4</f>
        <v>15000</v>
      </c>
      <c r="G58" s="870">
        <f t="shared" si="0"/>
        <v>0</v>
      </c>
      <c r="H58" s="868">
        <v>0</v>
      </c>
      <c r="I58" s="868">
        <v>0</v>
      </c>
      <c r="J58" s="872">
        <v>0</v>
      </c>
      <c r="K58" s="873"/>
      <c r="L58" s="870">
        <f t="shared" si="1"/>
        <v>0</v>
      </c>
      <c r="M58" s="868">
        <v>0</v>
      </c>
      <c r="N58" s="868">
        <v>0</v>
      </c>
      <c r="O58" s="868">
        <v>0</v>
      </c>
      <c r="P58" s="868">
        <v>0</v>
      </c>
      <c r="Q58" s="874">
        <v>0</v>
      </c>
      <c r="S58" s="875">
        <f>(L58*E58*looptijd)</f>
        <v>0</v>
      </c>
      <c r="U58" s="876">
        <f>(Netto_cat_die_M*H58)+(Netto_cat_benz_M*I58)+(Netto_cat_CNG_M*J58)</f>
        <v>0</v>
      </c>
      <c r="V58" s="877">
        <f>IF($G58=0,0,U58/($E58*$G58*looptijd))</f>
        <v>0</v>
      </c>
      <c r="W58" s="878">
        <f>IF(BPM_belasting="ja",(BPM_die_M*H58)+(BPM_benz_M*I58)+(BPM_CNG_M*J58),0)</f>
        <v>0</v>
      </c>
      <c r="X58" s="877">
        <f>IF($G58=0,0,W58/($E58*looptijd*$G58))</f>
        <v>0</v>
      </c>
      <c r="Y58" s="879">
        <f>BTW*U58</f>
        <v>0</v>
      </c>
      <c r="Z58" s="879">
        <f>SUM(U58:Y58)</f>
        <v>0</v>
      </c>
      <c r="AA58" s="879">
        <f>IF(BTW_verrekening="ja",((U58+W58-AW58))/2*Rente_financiering,((U58+W58+Y58-AW58)/2)*Rente_financiering)</f>
        <v>0</v>
      </c>
      <c r="AB58" s="880">
        <f>IF(G58=0,0,AA58*looptijd/($E58*looptijd*$G58))</f>
        <v>0</v>
      </c>
      <c r="AD58" s="876">
        <f>(Netto_cat_die_M*M58)+(Netto_cat_benz_M*N58)+(Netto_cat_CNG_M*O58)+(Netto_cat_BEV_M*P58)+(Netto_cat_FCEV_M*Q58)</f>
        <v>0</v>
      </c>
      <c r="AE58" s="877">
        <f>IF($L58=0,0,AD58/($E58*$L58*looptijd))</f>
        <v>0</v>
      </c>
      <c r="AF58" s="878">
        <f>IF(BPM_belasting="ja",(BPM_benz_A*N58)+(BPM_CNG_A*O58)+(P58*BPM_BEV)+(Q58*BPM_FCEV),0)</f>
        <v>0</v>
      </c>
      <c r="AG58" s="878">
        <f>IF($L58=0,0,AF58/($E58*looptijd*$L58))</f>
        <v>0</v>
      </c>
      <c r="AH58" s="878">
        <f>BTW*AD58</f>
        <v>0</v>
      </c>
      <c r="AI58" s="878">
        <f>SUM(AD58:AH58)</f>
        <v>0</v>
      </c>
      <c r="AJ58" s="878">
        <f>IF('2. Invoer parameters'!$C$10="ja",MIA_BEV_M*P58,0)</f>
        <v>0</v>
      </c>
      <c r="AK58" s="882">
        <f>IF($L58=0,0,AJ58/($E58*looptijd*$L58))</f>
        <v>0</v>
      </c>
      <c r="AL58" s="881">
        <f>IF(BPM_belasting="nee",(((AD58-AJ58)-BK58)/2)*Rente_financiering,(((AD58-AJ58+AF58)-BL58)/2)*Rente_financiering)</f>
        <v>0</v>
      </c>
      <c r="AM58" s="880">
        <f>IF($L58=0,0,AL58*looptijd/($E58*looptijd*$L58))</f>
        <v>0</v>
      </c>
      <c r="AO58" s="876">
        <f>(H58*verz_die_M)+(I58*verz_benz_M)+(J58*verz_CNG_M)</f>
        <v>0</v>
      </c>
      <c r="AP58" s="877">
        <f>IF($G58=0,0,(AO58*12*looptijd)/($E58*looptijd*$G58))</f>
        <v>0</v>
      </c>
      <c r="AQ58" s="878">
        <f>(input_MRB_die_M*$H58)+(input_MRB_benz_M*$I58)+(input_MRB_CNG_M*J58)</f>
        <v>0</v>
      </c>
      <c r="AR58" s="877">
        <f>IF($G58=0,0,AQ58/($E58*looptijd*$G58))</f>
        <v>0</v>
      </c>
      <c r="AS58" s="878">
        <f>($E58*H58*(gem_verbr_die_M/100)*prijs_die)+($E58*I58*(gem_verbr_benz_M/100)*prijs_benz)+($E58*J58*(gem_verbr_CNG_M/100)*prijs_CNG)</f>
        <v>0</v>
      </c>
      <c r="AT58" s="877">
        <f>IF($G58=0,0,(AS58*looptijd)/(looptijd*$E58*$G58))</f>
        <v>0</v>
      </c>
      <c r="AU58" s="878">
        <f>($E58*H58*Onderh_die_M)+($E58*I58*Onderh_benz_M)+($E58*J58*Onderh_CNG_M)</f>
        <v>0</v>
      </c>
      <c r="AV58" s="877">
        <f>IF($G58=0,0,(AU58*looptijd)/(looptijd*$E58*$G58))</f>
        <v>0</v>
      </c>
      <c r="AW58" s="878">
        <f>Rest_perc*SUM(U58:W58)</f>
        <v>0</v>
      </c>
      <c r="AX58" s="881">
        <f>Rest_perc*SUM(U58:Y58)</f>
        <v>0</v>
      </c>
      <c r="AY58" s="878">
        <f>IF(BTW_verrekening="Ja",((U58+W58)-AW58)/(looptijd*12),((U58+W58+Y58)-AX58)/(looptijd*12))</f>
        <v>0</v>
      </c>
      <c r="AZ58" s="877">
        <f>IF($G58=0,0,(AY58*12*looptijd)/(looptijd*$E58*$G58))</f>
        <v>0</v>
      </c>
      <c r="BA58" s="883">
        <f>(_schadekosten_per_km*E58*G58)/12</f>
        <v>0</v>
      </c>
      <c r="BB58" s="884">
        <f>IF($G58=0,0,(BA58*12*looptijd)/($E58*$G58*looptijd))</f>
        <v>0</v>
      </c>
      <c r="BD58" s="876">
        <f>(M58*verz_die_M)+(N58*verz_benz_M)+(O58*verz_CNG_M)+(P58*verz_BEV_M)+(Q58*verz_FCEV_M)</f>
        <v>0</v>
      </c>
      <c r="BE58" s="877">
        <f>IF($L58=0,0,(BD58*12*looptijd)/($E58*looptijd*$L58))</f>
        <v>0</v>
      </c>
      <c r="BF58" s="878">
        <f>(MRB_die_M*M58)+(MRB_benz_M*N58)+(input_MRB_CNG_M*O58)+(input_MRB_BEV_M*P58)+(input_MRB_FCEV_M*Q58)</f>
        <v>0</v>
      </c>
      <c r="BG58" s="877">
        <f>IF($L58=0,0,BF58/($E58*looptijd*$L58))</f>
        <v>0</v>
      </c>
      <c r="BH58" s="878">
        <f>($E58*M58*(gem_verbr_die_M/100)*prijs_die)+($E58*N58*(gem_verbr_benz_M/100)*prijs_benz)+($E58*O58*(verbr_CNG_M/100)*prijs_CNG)+($E58*P58*(gem_verbr_BEV_M/100)*prijs_elek_berekening)+($E58*Q58*(gem_verbr_FCEV_M_Elek/100)*prijs_elek_berekening*(100%-_verh_H2_accu_M))+($E58*Q58*(gem_verbr_FCEV_M_H2/100)*prijs_H2*(_verh_H2_accu_M))</f>
        <v>0</v>
      </c>
      <c r="BI58" s="877">
        <f>IF($L58=0,0,(BH58*looptijd)/(looptijd*$E58*$L58))</f>
        <v>0</v>
      </c>
      <c r="BJ58" s="885"/>
      <c r="BK58" s="878">
        <f>Rest_perc_ZE*(AD58+AF58)</f>
        <v>0</v>
      </c>
      <c r="BL58" s="878">
        <f>Rest_perc_ZE*(AD58+AF58+AH58)</f>
        <v>0</v>
      </c>
      <c r="BM58" s="885"/>
      <c r="BN58" s="878">
        <f>($E58*M58*Onderh_die_M)+($E58*N58*Onderh_benz_M)+($E58*O58*Onderh_CNG_M)+($E58*P58*Onderh_BEV_M)+($E58*Q58*Onderh_FCEV_M)</f>
        <v>0</v>
      </c>
      <c r="BO58" s="877">
        <f>IF($L58=0,0,(BN58*looptijd)/(looptijd*$E58*$L58))</f>
        <v>0</v>
      </c>
      <c r="BP58" s="878"/>
      <c r="BQ58" s="878">
        <f>IF(BTW_verrekening="Ja",((AD58+AF58-AJ58)-BK58)/(looptijd*12),((AD58+AF58+AH58-AJ58)-BL58)/(looptijd*12))</f>
        <v>0</v>
      </c>
      <c r="BR58" s="877">
        <f>IF($G58=0,0,(BQ58*12*looptijd)/(looptijd*$E58*$G58))</f>
        <v>0</v>
      </c>
      <c r="BS58" s="885"/>
      <c r="BT58" s="883">
        <f>(_schadekosten_per_km*E58*L58)/12</f>
        <v>0</v>
      </c>
      <c r="BU58" s="884">
        <f>IF($L58=0,0,(BT58*12*looptijd)/($E58*$L58*looptijd))</f>
        <v>0</v>
      </c>
      <c r="BV58" s="881"/>
      <c r="BW58" s="886">
        <f>(Efac_die_TTW*(gem_verbr_die_M/100)*$E58*H58)+(Efac_benz_TTW*(gem_verbr_benz_M/100)*$E58*I58)+(Efac_CNG_berekening_TTW*(gem_verbr_CNG_M/100)*$E58*J58)</f>
        <v>0</v>
      </c>
      <c r="BX58" s="887">
        <f>(Efac_die_WTW*(gem_verbr_die_M/100)*$E58*H58)+(Efac_benz_WTW*(gem_verbr_benz_M/100)*$E58*I58)+(Efac_CNG_berekening_WTW*(gem_verbr_CNG_M/100)*$E58*J58)</f>
        <v>0</v>
      </c>
      <c r="BY58" s="888">
        <f>IF($G58=0,0,(BX58*looptijd)/($E58*$G58*looptijd))</f>
        <v>0</v>
      </c>
      <c r="BZ58" s="889"/>
      <c r="CA58" s="886">
        <f>(Efac_die_TTW*(gem_verbr_die_M/100)*$E58*M58)+(Efac_benz_TTW*(gem_verbr_benz_M/100)*$E58*N58)+(Efac_CNG_berekening_TTW*(gem_verbr_CNG_M/100)*$E58*O58)+(Efac_elek_berekening_TTW*(gem_verbr_BEV_M/100)*$E58*P58)+(Efac_elek_berekening_TTW*(gem_verbr_FCEV_M_Elek/100)*(100%-_verh_H2_accu_M)*Q58)+(Efac_H2_berekening_TTW*(gem_verbr_FCEV_M_H2/100)*(_verh_H2_accu_M)*Q58)</f>
        <v>0</v>
      </c>
      <c r="CB58" s="887">
        <f>(Efac_die_WTW*(gem_verbr_die_M/100)*$E58*M58)+(Efac_benz_WTW*(gem_verbr_benz_M/100)*$E58*N58)+(Efac_CNG_berekening_WTW*(gem_verbr_CNG_M/100)*$E58*O58)+(Efac_elek_berekening_WTW*(gem_verbr_BEV_M/100)*$E58*P58)+(Efac_elek_berekening_WTW*(gem_verbr_FCEV_M_Elek/100)*(100%-_verh_H2_accu_M)*Q58)+(Efac_H2_berekening_WTW*(gem_verbr_FCEV_M_H2/100)*(_verh_H2_accu_M)*Q58)</f>
        <v>0</v>
      </c>
      <c r="CC58" s="888">
        <f>IF($L58=0,0,(CB58*looptijd)/($L58*$E58*looptijd))</f>
        <v>0</v>
      </c>
    </row>
    <row r="59" spans="1:81">
      <c r="A59" s="891">
        <v>38</v>
      </c>
      <c r="B59" s="867" t="s">
        <v>32</v>
      </c>
      <c r="C59" s="868" t="s">
        <v>750</v>
      </c>
      <c r="D59" s="868"/>
      <c r="E59" s="869">
        <f>$E$5</f>
        <v>25000</v>
      </c>
      <c r="G59" s="870">
        <f t="shared" si="0"/>
        <v>0</v>
      </c>
      <c r="H59" s="868">
        <v>0</v>
      </c>
      <c r="I59" s="868">
        <v>0</v>
      </c>
      <c r="J59" s="872">
        <v>0</v>
      </c>
      <c r="K59" s="873"/>
      <c r="L59" s="870">
        <f t="shared" si="1"/>
        <v>0</v>
      </c>
      <c r="M59" s="868">
        <v>0</v>
      </c>
      <c r="N59" s="868">
        <v>0</v>
      </c>
      <c r="O59" s="868">
        <v>0</v>
      </c>
      <c r="P59" s="868">
        <v>0</v>
      </c>
      <c r="Q59" s="874">
        <v>0</v>
      </c>
      <c r="S59" s="875">
        <f>(L59*E59*looptijd)</f>
        <v>0</v>
      </c>
      <c r="U59" s="876">
        <f>(Netto_cat_die_M*H59)+(Netto_cat_benz_M*I59)+(Netto_cat_CNG_M*J59)</f>
        <v>0</v>
      </c>
      <c r="V59" s="877">
        <f>IF($G59=0,0,U59/($E59*$G59*looptijd))</f>
        <v>0</v>
      </c>
      <c r="W59" s="878">
        <f>IF(BPM_belasting="ja",(BPM_die_M*H59)+(BPM_benz_M*I59)+(BPM_CNG_M*J59),0)</f>
        <v>0</v>
      </c>
      <c r="X59" s="877">
        <f>IF($G59=0,0,W59/($E59*looptijd*$G59))</f>
        <v>0</v>
      </c>
      <c r="Y59" s="879">
        <f>BTW*U59</f>
        <v>0</v>
      </c>
      <c r="Z59" s="879">
        <f>SUM(U59:Y59)</f>
        <v>0</v>
      </c>
      <c r="AA59" s="879">
        <f>IF(BTW_verrekening="ja",((U59+W59-AW59))/2*Rente_financiering,((U59+W59+Y59-AW59)/2)*Rente_financiering)</f>
        <v>0</v>
      </c>
      <c r="AB59" s="880">
        <f>IF(G59=0,0,AA59*looptijd/($E59*looptijd*$G59))</f>
        <v>0</v>
      </c>
      <c r="AD59" s="876">
        <f>(Netto_cat_die_M*M59)+(Netto_cat_benz_M*N59)+(Netto_cat_CNG_M*O59)+(Netto_cat_BEV_M*P59)+(Netto_cat_FCEV_M*Q59)</f>
        <v>0</v>
      </c>
      <c r="AE59" s="877">
        <f>IF($L59=0,0,AD59/($E59*$L59*looptijd))</f>
        <v>0</v>
      </c>
      <c r="AF59" s="878">
        <f>IF(BPM_belasting="ja",(BPM_benz_A*N59)+(BPM_CNG_A*O59)+(P59*BPM_BEV)+(Q59*BPM_FCEV),0)</f>
        <v>0</v>
      </c>
      <c r="AG59" s="878">
        <f>IF($L59=0,0,AF59/($E59*looptijd*$L59))</f>
        <v>0</v>
      </c>
      <c r="AH59" s="878">
        <f>BTW*AD59</f>
        <v>0</v>
      </c>
      <c r="AI59" s="878">
        <f>SUM(AD59:AH59)</f>
        <v>0</v>
      </c>
      <c r="AJ59" s="878">
        <f>IF('2. Invoer parameters'!$C$10="ja",MIA_BEV_M*P59,0)</f>
        <v>0</v>
      </c>
      <c r="AK59" s="882">
        <f>IF($L59=0,0,AJ59/($E59*looptijd*$L59))</f>
        <v>0</v>
      </c>
      <c r="AL59" s="881">
        <f>IF(BPM_belasting="nee",(((AD59-AJ59)-BK59)/2)*Rente_financiering,(((AD59-AJ59+AF59)-BL59)/2)*Rente_financiering)</f>
        <v>0</v>
      </c>
      <c r="AM59" s="880">
        <f>IF($L59=0,0,AL59*looptijd/($E59*looptijd*$L59))</f>
        <v>0</v>
      </c>
      <c r="AO59" s="876">
        <f>(H59*verz_die_M)+(I59*verz_benz_M)+(J59*verz_CNG_M)</f>
        <v>0</v>
      </c>
      <c r="AP59" s="877">
        <f>IF($G59=0,0,(AO59*12*looptijd)/($E59*looptijd*$G59))</f>
        <v>0</v>
      </c>
      <c r="AQ59" s="878">
        <f>(input_MRB_die_M*$H59)+(input_MRB_benz_M*$I59)+(input_MRB_CNG_M*J59)</f>
        <v>0</v>
      </c>
      <c r="AR59" s="877">
        <f>IF($G59=0,0,AQ59/($E59*looptijd*$G59))</f>
        <v>0</v>
      </c>
      <c r="AS59" s="878">
        <f>($E59*H59*(gem_verbr_die_M/100)*prijs_die)+($E59*I59*(gem_verbr_benz_M/100)*prijs_benz)+($E59*J59*(gem_verbr_CNG_M/100)*prijs_CNG)</f>
        <v>0</v>
      </c>
      <c r="AT59" s="877">
        <f>IF($G59=0,0,(AS59*looptijd)/(looptijd*$E59*$G59))</f>
        <v>0</v>
      </c>
      <c r="AU59" s="878">
        <f>($E59*H59*Onderh_die_M)+($E59*I59*Onderh_benz_M)+($E59*J59*Onderh_CNG_M)</f>
        <v>0</v>
      </c>
      <c r="AV59" s="877">
        <f>IF($G59=0,0,(AU59*looptijd)/(looptijd*$E59*$G59))</f>
        <v>0</v>
      </c>
      <c r="AW59" s="878">
        <f>Rest_perc*SUM(U59:W59)</f>
        <v>0</v>
      </c>
      <c r="AX59" s="881">
        <f>Rest_perc*SUM(U59:Y59)</f>
        <v>0</v>
      </c>
      <c r="AY59" s="878">
        <f>IF(BTW_verrekening="Ja",((U59+W59)-AW59)/(looptijd*12),((U59+W59+Y59)-AX59)/(looptijd*12))</f>
        <v>0</v>
      </c>
      <c r="AZ59" s="877">
        <f>IF($G59=0,0,(AY59*12*looptijd)/(looptijd*$E59*$G59))</f>
        <v>0</v>
      </c>
      <c r="BA59" s="883">
        <f>(_schadekosten_per_km*E59*G59)/12</f>
        <v>0</v>
      </c>
      <c r="BB59" s="884">
        <f>IF($G59=0,0,(BA59*12*looptijd)/($E59*$G59*looptijd))</f>
        <v>0</v>
      </c>
      <c r="BD59" s="876">
        <f>(M59*verz_die_M)+(N59*verz_benz_M)+(O59*verz_CNG_M)+(P59*verz_BEV_M)+(Q59*verz_FCEV_M)</f>
        <v>0</v>
      </c>
      <c r="BE59" s="877">
        <f>IF($L59=0,0,(BD59*12*looptijd)/($E59*looptijd*$L59))</f>
        <v>0</v>
      </c>
      <c r="BF59" s="878">
        <f>(MRB_die_M*M59)+(MRB_benz_M*N59)+(input_MRB_CNG_M*O59)+(input_MRB_BEV_M*P59)+(input_MRB_FCEV_M*Q59)</f>
        <v>0</v>
      </c>
      <c r="BG59" s="877">
        <f>IF($L59=0,0,BF59/($E59*looptijd*$L59))</f>
        <v>0</v>
      </c>
      <c r="BH59" s="878">
        <f>($E59*M59*(gem_verbr_die_M/100)*prijs_die)+($E59*N59*(gem_verbr_benz_M/100)*prijs_benz)+($E59*O59*(verbr_CNG_M/100)*prijs_CNG)+($E59*P59*(gem_verbr_BEV_M/100)*prijs_elek_berekening)+($E59*Q59*(gem_verbr_FCEV_M_Elek/100)*prijs_elek_berekening*(100%-_verh_H2_accu_M))+($E59*Q59*(gem_verbr_FCEV_M_H2/100)*prijs_H2*(_verh_H2_accu_M))</f>
        <v>0</v>
      </c>
      <c r="BI59" s="877">
        <f>IF($L59=0,0,(BH59*looptijd)/(looptijd*$E59*$L59))</f>
        <v>0</v>
      </c>
      <c r="BJ59" s="885"/>
      <c r="BK59" s="878">
        <f>Rest_perc_ZE*(AD59+AF59)</f>
        <v>0</v>
      </c>
      <c r="BL59" s="878">
        <f>Rest_perc_ZE*(AD59+AF59+AH59)</f>
        <v>0</v>
      </c>
      <c r="BM59" s="885"/>
      <c r="BN59" s="878">
        <f>($E59*M59*Onderh_die_M)+($E59*N59*Onderh_benz_M)+($E59*O59*Onderh_CNG_M)+($E59*P59*Onderh_BEV_M)+($E59*Q59*Onderh_FCEV_M)</f>
        <v>0</v>
      </c>
      <c r="BO59" s="877">
        <f>IF($L59=0,0,(BN59*looptijd)/(looptijd*$E59*$L59))</f>
        <v>0</v>
      </c>
      <c r="BP59" s="878"/>
      <c r="BQ59" s="878">
        <f>IF(BTW_verrekening="Ja",((AD59+AF59-AJ59)-BK59)/(looptijd*12),((AD59+AF59+AH59-AJ59)-BL59)/(looptijd*12))</f>
        <v>0</v>
      </c>
      <c r="BR59" s="877">
        <f>IF($G59=0,0,(BQ59*12*looptijd)/(looptijd*$E59*$G59))</f>
        <v>0</v>
      </c>
      <c r="BS59" s="885"/>
      <c r="BT59" s="883">
        <f>(_schadekosten_per_km*E59*L59)/12</f>
        <v>0</v>
      </c>
      <c r="BU59" s="884">
        <f>IF($L59=0,0,(BT59*12*looptijd)/($E59*$L59*looptijd))</f>
        <v>0</v>
      </c>
      <c r="BV59" s="881"/>
      <c r="BW59" s="886">
        <f>(Efac_die_TTW*(gem_verbr_die_M/100)*$E59*H59)+(Efac_benz_TTW*(gem_verbr_benz_M/100)*$E59*I59)+(Efac_CNG_berekening_TTW*(gem_verbr_CNG_M/100)*$E59*J59)</f>
        <v>0</v>
      </c>
      <c r="BX59" s="887">
        <f>(Efac_die_WTW*(gem_verbr_die_M/100)*$E59*H59)+(Efac_benz_WTW*(gem_verbr_benz_M/100)*$E59*I59)+(Efac_CNG_berekening_WTW*(gem_verbr_CNG_M/100)*$E59*J59)</f>
        <v>0</v>
      </c>
      <c r="BY59" s="888">
        <f>IF($G59=0,0,(BX59*looptijd)/($E59*$G59*looptijd))</f>
        <v>0</v>
      </c>
      <c r="BZ59" s="889"/>
      <c r="CA59" s="886">
        <f>(Efac_die_TTW*(gem_verbr_die_M/100)*$E59*M59)+(Efac_benz_TTW*(gem_verbr_benz_M/100)*$E59*N59)+(Efac_CNG_berekening_TTW*(gem_verbr_CNG_M/100)*$E59*O59)+(Efac_elek_berekening_TTW*(gem_verbr_BEV_M/100)*$E59*P59)+(Efac_elek_berekening_TTW*(gem_verbr_FCEV_M_Elek/100)*(100%-_verh_H2_accu_M)*Q59)+(Efac_H2_berekening_TTW*(gem_verbr_FCEV_M_H2/100)*(_verh_H2_accu_M)*Q59)</f>
        <v>0</v>
      </c>
      <c r="CB59" s="887">
        <f>(Efac_die_WTW*(gem_verbr_die_M/100)*$E59*M59)+(Efac_benz_WTW*(gem_verbr_benz_M/100)*$E59*N59)+(Efac_CNG_berekening_WTW*(gem_verbr_CNG_M/100)*$E59*O59)+(Efac_elek_berekening_WTW*(gem_verbr_BEV_M/100)*$E59*P59)+(Efac_elek_berekening_WTW*(gem_verbr_FCEV_M_Elek/100)*(100%-_verh_H2_accu_M)*Q59)+(Efac_H2_berekening_WTW*(gem_verbr_FCEV_M_H2/100)*(_verh_H2_accu_M)*Q59)</f>
        <v>0</v>
      </c>
      <c r="CC59" s="888">
        <f>IF($L59=0,0,(CB59*looptijd)/($L59*$E59*looptijd))</f>
        <v>0</v>
      </c>
    </row>
    <row r="60" spans="1:81">
      <c r="A60" s="891">
        <v>39</v>
      </c>
      <c r="B60" s="867" t="s">
        <v>32</v>
      </c>
      <c r="C60" s="868" t="s">
        <v>752</v>
      </c>
      <c r="D60" s="868"/>
      <c r="E60" s="872">
        <v>50000</v>
      </c>
      <c r="F60" s="873"/>
      <c r="G60" s="870">
        <f t="shared" si="0"/>
        <v>0</v>
      </c>
      <c r="H60" s="868">
        <v>0</v>
      </c>
      <c r="I60" s="868">
        <v>0</v>
      </c>
      <c r="J60" s="872">
        <v>0</v>
      </c>
      <c r="K60" s="873"/>
      <c r="L60" s="870">
        <f t="shared" si="1"/>
        <v>0</v>
      </c>
      <c r="M60" s="868">
        <v>0</v>
      </c>
      <c r="N60" s="868">
        <v>0</v>
      </c>
      <c r="O60" s="868">
        <v>0</v>
      </c>
      <c r="P60" s="868">
        <v>0</v>
      </c>
      <c r="Q60" s="874">
        <v>0</v>
      </c>
      <c r="S60" s="875">
        <f>(L60*E60*looptijd)</f>
        <v>0</v>
      </c>
      <c r="U60" s="876">
        <f>(Netto_cat_die_M*H60)+(Netto_cat_benz_M*I60)+(Netto_cat_CNG_M*J60)</f>
        <v>0</v>
      </c>
      <c r="V60" s="877">
        <f>IF($G60=0,0,U60/($E60*$G60*looptijd))</f>
        <v>0</v>
      </c>
      <c r="W60" s="878">
        <f>IF(BPM_belasting="ja",(BPM_die_M*H60)+(BPM_benz_M*I60)+(BPM_CNG_M*J60),0)</f>
        <v>0</v>
      </c>
      <c r="X60" s="877">
        <f>IF($G60=0,0,W60/($E60*looptijd*$G60))</f>
        <v>0</v>
      </c>
      <c r="Y60" s="879">
        <f>BTW*U60</f>
        <v>0</v>
      </c>
      <c r="Z60" s="879">
        <f>SUM(U60:Y60)</f>
        <v>0</v>
      </c>
      <c r="AA60" s="879">
        <f>IF(BTW_verrekening="ja",((U60+W60-AW60))/2*Rente_financiering,((U60+W60+Y60-AW60)/2)*Rente_financiering)</f>
        <v>0</v>
      </c>
      <c r="AB60" s="880">
        <f>IF(G60=0,0,AA60*looptijd/($E60*looptijd*$G60))</f>
        <v>0</v>
      </c>
      <c r="AD60" s="876">
        <f>(Netto_cat_die_M*M60)+(Netto_cat_benz_M*N60)+(Netto_cat_CNG_M*O60)+(Netto_cat_BEV_M*P60)+(Netto_cat_FCEV_M*Q60)</f>
        <v>0</v>
      </c>
      <c r="AE60" s="877">
        <f>IF($L60=0,0,AD60/($E60*$L60*looptijd))</f>
        <v>0</v>
      </c>
      <c r="AF60" s="878">
        <f>IF(BPM_belasting="ja",(BPM_benz_A*N60)+(BPM_CNG_A*O60)+(P60*BPM_BEV)+(Q60*BPM_FCEV),0)</f>
        <v>0</v>
      </c>
      <c r="AG60" s="878">
        <f>IF($L60=0,0,AF60/($E60*looptijd*$L60))</f>
        <v>0</v>
      </c>
      <c r="AH60" s="878">
        <f>BTW*AD60</f>
        <v>0</v>
      </c>
      <c r="AI60" s="878">
        <f>SUM(AD60:AH60)</f>
        <v>0</v>
      </c>
      <c r="AJ60" s="878">
        <f>IF('2. Invoer parameters'!$C$10="ja",MIA_BEV_M*P60,0)</f>
        <v>0</v>
      </c>
      <c r="AK60" s="882">
        <f>IF($L60=0,0,AJ60/($E60*looptijd*$L60))</f>
        <v>0</v>
      </c>
      <c r="AL60" s="881">
        <f>IF(BPM_belasting="nee",(((AD60-AJ60)-BK60)/2)*Rente_financiering,(((AD60-AJ60+AF60)-BL60)/2)*Rente_financiering)</f>
        <v>0</v>
      </c>
      <c r="AM60" s="880">
        <f>IF($L60=0,0,AL60*looptijd/($E60*looptijd*$L60))</f>
        <v>0</v>
      </c>
      <c r="AO60" s="876">
        <f>(H60*verz_die_M)+(I60*verz_benz_M)+(J60*verz_CNG_M)</f>
        <v>0</v>
      </c>
      <c r="AP60" s="877">
        <f>IF($G60=0,0,(AO60*12*looptijd)/($E60*looptijd*$G60))</f>
        <v>0</v>
      </c>
      <c r="AQ60" s="878">
        <f>(input_MRB_die_M*$H60)+(input_MRB_benz_M*$I60)+(input_MRB_CNG_M*J60)</f>
        <v>0</v>
      </c>
      <c r="AR60" s="877">
        <f>IF($G60=0,0,AQ60/($E60*looptijd*$G60))</f>
        <v>0</v>
      </c>
      <c r="AS60" s="878">
        <f>($E60*H60*(gem_verbr_die_M/100)*prijs_die)+($E60*I60*(gem_verbr_benz_M/100)*prijs_benz)+($E60*J60*(gem_verbr_CNG_M/100)*prijs_CNG)</f>
        <v>0</v>
      </c>
      <c r="AT60" s="877">
        <f>IF($G60=0,0,(AS60*looptijd)/(looptijd*$E60*$G60))</f>
        <v>0</v>
      </c>
      <c r="AU60" s="878">
        <f>($E60*H60*Onderh_die_M_hoog_km)+($E60*I60*Onderh_benz_M_hoog_km)+($E60*J60*Onderh_CNG_M_hoog_km)</f>
        <v>0</v>
      </c>
      <c r="AV60" s="877">
        <f>IF($G60=0,0,(AU60*looptijd)/(looptijd*$E60*$G60))</f>
        <v>0</v>
      </c>
      <c r="AW60" s="878">
        <f>Rest_perc*SUM(U60:W60)</f>
        <v>0</v>
      </c>
      <c r="AX60" s="881">
        <f>Rest_perc*SUM(U60:Y60)</f>
        <v>0</v>
      </c>
      <c r="AY60" s="878">
        <f>IF(BTW_verrekening="Ja",((U60+W60)-AW60)/(looptijd*12),((U60+W60+Y60)-AX60)/(looptijd*12))</f>
        <v>0</v>
      </c>
      <c r="AZ60" s="877">
        <f>IF($G60=0,0,(AY60*12*looptijd)/(looptijd*$E60*$G60))</f>
        <v>0</v>
      </c>
      <c r="BA60" s="883">
        <f>(_schadekosten_per_km*E60*G60)/12</f>
        <v>0</v>
      </c>
      <c r="BB60" s="884">
        <f>IF($G60=0,0,(BA60*12*looptijd)/($E60*$G60*looptijd))</f>
        <v>0</v>
      </c>
      <c r="BD60" s="876">
        <f>(M60*verz_die_M)+(N60*verz_benz_M)+(O60*verz_CNG_M)+(P60*verz_BEV_M)+(Q60*verz_FCEV_M)</f>
        <v>0</v>
      </c>
      <c r="BE60" s="877">
        <f>IF($L60=0,0,(BD60*12*looptijd)/($E60*looptijd*$L60))</f>
        <v>0</v>
      </c>
      <c r="BF60" s="878">
        <f>(MRB_die_M*M60)+(MRB_benz_M*N60)+(input_MRB_CNG_M*O60)+(input_MRB_BEV_M*P60)+(input_MRB_FCEV_M*Q60)</f>
        <v>0</v>
      </c>
      <c r="BG60" s="877">
        <f>IF($L60=0,0,BF60/($E60*looptijd*$L60))</f>
        <v>0</v>
      </c>
      <c r="BH60" s="878">
        <f>($E60*M60*(gem_verbr_die_M/100)*prijs_die)+($E60*N60*(gem_verbr_benz_M/100)*prijs_benz)+($E60*O60*(verbr_CNG_M/100)*prijs_CNG)+($E60*P60*(gem_verbr_BEV_M/100)*prijs_elek_berekening)+($E60*Q60*(gem_verbr_FCEV_M_Elek/100)*prijs_elek_berekening*(100%-_verh_H2_accu_M))+($E60*Q60*(gem_verbr_FCEV_M_H2/100)*prijs_H2*(_verh_H2_accu_M))</f>
        <v>0</v>
      </c>
      <c r="BI60" s="877">
        <f>IF($L60=0,0,(BH60*looptijd)/(looptijd*$E60*$L60))</f>
        <v>0</v>
      </c>
      <c r="BJ60" s="885"/>
      <c r="BK60" s="878">
        <f>Rest_perc_ZE*(AD60+AF60)</f>
        <v>0</v>
      </c>
      <c r="BL60" s="878">
        <f>Rest_perc_ZE*(AD60+AF60+AH60)</f>
        <v>0</v>
      </c>
      <c r="BM60" s="885"/>
      <c r="BN60" s="878">
        <f>($E60*M60*Onderh_die_M_hoog_km)+($E60*N60*Onderh_benz_M_hoog_km)+($E60*O60*Onderh_CNG_M_hoog_km)+($E60*P60*Onderh_BEV_M_hoog_km)+($E60*Q60*Onderh_FCEV_M_hoog_km)</f>
        <v>0</v>
      </c>
      <c r="BO60" s="877">
        <f>IF($L60=0,0,(BN60*looptijd)/(looptijd*$E60*$L60))</f>
        <v>0</v>
      </c>
      <c r="BP60" s="878"/>
      <c r="BQ60" s="878">
        <f>IF(BTW_verrekening="Ja",((AD60+AF60-AJ60)-BK60)/(looptijd*12),((AD60+AF60+AH60-AJ60)-BL60)/(looptijd*12))</f>
        <v>0</v>
      </c>
      <c r="BR60" s="877">
        <f>IF($G60=0,0,(BQ60*12*looptijd)/(looptijd*$E60*$G60))</f>
        <v>0</v>
      </c>
      <c r="BS60" s="885"/>
      <c r="BT60" s="883">
        <f>(_schadekosten_per_km*E60*L60)/12</f>
        <v>0</v>
      </c>
      <c r="BU60" s="884">
        <f>IF($L60=0,0,(BT60*12*looptijd)/($E60*$L60*looptijd))</f>
        <v>0</v>
      </c>
      <c r="BV60" s="881"/>
      <c r="BW60" s="886">
        <f>(Efac_die_TTW*(gem_verbr_die_M/100)*$E60*H60)+(Efac_benz_TTW*(gem_verbr_benz_M/100)*$E60*I60)+(Efac_CNG_berekening_TTW*(gem_verbr_CNG_M/100)*$E60*J60)</f>
        <v>0</v>
      </c>
      <c r="BX60" s="887">
        <f>(Efac_die_WTW*(gem_verbr_die_M/100)*$E60*H60)+(Efac_benz_WTW*(gem_verbr_benz_M/100)*$E60*I60)+(Efac_CNG_berekening_WTW*(gem_verbr_CNG_M/100)*$E60*J60)</f>
        <v>0</v>
      </c>
      <c r="BY60" s="888">
        <f>IF($G60=0,0,(BX60*looptijd)/($E60*$G60*looptijd))</f>
        <v>0</v>
      </c>
      <c r="BZ60" s="889"/>
      <c r="CA60" s="886">
        <f>(Efac_die_TTW*(gem_verbr_die_M/100)*$E60*M60)+(Efac_benz_TTW*(gem_verbr_benz_M/100)*$E60*N60)+(Efac_CNG_berekening_TTW*(gem_verbr_CNG_M/100)*$E60*O60)+(Efac_elek_berekening_TTW*(gem_verbr_BEV_M/100)*$E60*P60)+(Efac_elek_berekening_TTW*(gem_verbr_FCEV_M_Elek/100)*(100%-_verh_H2_accu_M)*Q60)+(Efac_H2_berekening_TTW*(gem_verbr_FCEV_M_H2/100)*(_verh_H2_accu_M)*Q60)</f>
        <v>0</v>
      </c>
      <c r="CB60" s="887">
        <f>(Efac_die_WTW*(gem_verbr_die_M/100)*$E60*M60)+(Efac_benz_WTW*(gem_verbr_benz_M/100)*$E60*N60)+(Efac_CNG_berekening_WTW*(gem_verbr_CNG_M/100)*$E60*O60)+(Efac_elek_berekening_WTW*(gem_verbr_BEV_M/100)*$E60*P60)+(Efac_elek_berekening_WTW*(gem_verbr_FCEV_M_Elek/100)*(100%-_verh_H2_accu_M)*Q60)+(Efac_H2_berekening_WTW*(gem_verbr_FCEV_M_H2/100)*(_verh_H2_accu_M)*Q60)</f>
        <v>0</v>
      </c>
      <c r="CC60" s="888">
        <f>IF($L60=0,0,(CB60*looptijd)/($L60*$E60*looptijd))</f>
        <v>0</v>
      </c>
    </row>
    <row r="61" spans="1:81">
      <c r="A61" s="891">
        <v>40</v>
      </c>
      <c r="B61" s="867" t="s">
        <v>32</v>
      </c>
      <c r="C61" s="868" t="s">
        <v>1695</v>
      </c>
      <c r="D61" s="868"/>
      <c r="E61" s="872">
        <v>75000</v>
      </c>
      <c r="F61" s="873"/>
      <c r="G61" s="870">
        <f t="shared" si="0"/>
        <v>0</v>
      </c>
      <c r="H61" s="868">
        <v>0</v>
      </c>
      <c r="I61" s="868">
        <v>0</v>
      </c>
      <c r="J61" s="872">
        <v>0</v>
      </c>
      <c r="K61" s="873"/>
      <c r="L61" s="870">
        <f t="shared" si="1"/>
        <v>0</v>
      </c>
      <c r="M61" s="868">
        <v>0</v>
      </c>
      <c r="N61" s="868">
        <v>0</v>
      </c>
      <c r="O61" s="868">
        <v>0</v>
      </c>
      <c r="P61" s="868">
        <v>0</v>
      </c>
      <c r="Q61" s="874">
        <v>0</v>
      </c>
      <c r="S61" s="875">
        <f>(L61*E61*looptijd)</f>
        <v>0</v>
      </c>
      <c r="U61" s="876">
        <f>(Netto_cat_die_M*H61)+(Netto_cat_benz_M*I61)+(Netto_cat_CNG_M*J61)</f>
        <v>0</v>
      </c>
      <c r="V61" s="877">
        <f>IF($G61=0,0,U61/($E61*$G61*looptijd))</f>
        <v>0</v>
      </c>
      <c r="W61" s="878">
        <f>IF(BPM_belasting="ja",(BPM_die_M*H61)+(BPM_benz_M*I61)+(BPM_CNG_M*J61),0)</f>
        <v>0</v>
      </c>
      <c r="X61" s="877">
        <f>IF($G61=0,0,W61/($E61*looptijd*$G61))</f>
        <v>0</v>
      </c>
      <c r="Y61" s="879">
        <f>BTW*U61</f>
        <v>0</v>
      </c>
      <c r="Z61" s="879">
        <f>SUM(U61:Y61)</f>
        <v>0</v>
      </c>
      <c r="AA61" s="879">
        <f>IF(BTW_verrekening="ja",((U61+W61-AW61))/2*Rente_financiering,((U61+W61+Y61-AW61)/2)*Rente_financiering)</f>
        <v>0</v>
      </c>
      <c r="AB61" s="880">
        <f>IF(G61=0,0,AA61*looptijd/($E61*looptijd*$G61))</f>
        <v>0</v>
      </c>
      <c r="AD61" s="876">
        <f>(Netto_cat_die_M*M61)+(Netto_cat_benz_M*N61)+(Netto_cat_CNG_M*O61)+(Netto_cat_BEV_M*P61)+(Netto_cat_FCEV_M*Q61)</f>
        <v>0</v>
      </c>
      <c r="AE61" s="877">
        <f>IF($L61=0,0,AD61/($E61*$L61*looptijd))</f>
        <v>0</v>
      </c>
      <c r="AF61" s="878">
        <f>IF(BPM_belasting="ja",(BPM_benz_A*N61)+(BPM_CNG_A*O61)+(P61*BPM_BEV)+(Q61*BPM_FCEV),0)</f>
        <v>0</v>
      </c>
      <c r="AG61" s="878">
        <f>IF($L61=0,0,AF61/($E61*looptijd*$L61))</f>
        <v>0</v>
      </c>
      <c r="AH61" s="878">
        <f>BTW*AD61</f>
        <v>0</v>
      </c>
      <c r="AI61" s="878">
        <f>SUM(AD61:AH61)</f>
        <v>0</v>
      </c>
      <c r="AJ61" s="878">
        <f>IF('2. Invoer parameters'!$C$10="ja",MIA_BEV_M*P61,0)</f>
        <v>0</v>
      </c>
      <c r="AK61" s="882">
        <f>IF($L61=0,0,AJ61/($E61*looptijd*$L61))</f>
        <v>0</v>
      </c>
      <c r="AL61" s="881">
        <f>IF(BPM_belasting="nee",(((AD61-AJ61)-BK61)/2)*Rente_financiering,(((AD61-AJ61+AF61)-BL61)/2)*Rente_financiering)</f>
        <v>0</v>
      </c>
      <c r="AM61" s="880">
        <f>IF($L61=0,0,AL61*looptijd/($E61*looptijd*$L61))</f>
        <v>0</v>
      </c>
      <c r="AO61" s="876">
        <f>(H61*verz_die_M)+(I61*verz_benz_M)+(J61*verz_CNG_M)</f>
        <v>0</v>
      </c>
      <c r="AP61" s="877">
        <f>IF($G61=0,0,(AO61*12*looptijd)/($E61*looptijd*$G61))</f>
        <v>0</v>
      </c>
      <c r="AQ61" s="878">
        <f>(input_MRB_die_M*$H61)+(input_MRB_benz_M*$I61)+(input_MRB_CNG_M*J61)</f>
        <v>0</v>
      </c>
      <c r="AR61" s="877">
        <f>IF($G61=0,0,AQ61/($E61*looptijd*$G61))</f>
        <v>0</v>
      </c>
      <c r="AS61" s="878">
        <f>($E61*H61*(gem_verbr_die_M/100)*prijs_die)+($E61*I61*(gem_verbr_benz_M/100)*prijs_benz)+($E61*J61*(gem_verbr_CNG_M/100)*prijs_CNG)</f>
        <v>0</v>
      </c>
      <c r="AT61" s="877">
        <f>IF($G61=0,0,(AS61*looptijd)/(looptijd*$E61*$G61))</f>
        <v>0</v>
      </c>
      <c r="AU61" s="878">
        <f>($E61*H61*Onderh_die_M_hoog_km)+($E61*I61*Onderh_benz_M_hoog_km)+($E61*J61*Onderh_CNG_M_hoog_km)</f>
        <v>0</v>
      </c>
      <c r="AV61" s="877">
        <f>IF($G61=0,0,(AU61*looptijd)/(looptijd*$E61*$G61))</f>
        <v>0</v>
      </c>
      <c r="AW61" s="878">
        <f>Rest_perc*SUM(U61:W61)</f>
        <v>0</v>
      </c>
      <c r="AX61" s="881">
        <f>Rest_perc*SUM(U61:Y61)</f>
        <v>0</v>
      </c>
      <c r="AY61" s="878">
        <f>IF(BTW_verrekening="Ja",((U61+W61)-AW61)/(looptijd*12),((U61+W61+Y61)-AX61)/(looptijd*12))</f>
        <v>0</v>
      </c>
      <c r="AZ61" s="877">
        <f>IF($G61=0,0,(AY61*12*looptijd)/(looptijd*$E61*$G61))</f>
        <v>0</v>
      </c>
      <c r="BA61" s="883">
        <f>(_schadekosten_per_km*E61*G61)/12</f>
        <v>0</v>
      </c>
      <c r="BB61" s="884">
        <f>IF($G61=0,0,(BA61*12*looptijd)/($E61*$G61*looptijd))</f>
        <v>0</v>
      </c>
      <c r="BD61" s="876">
        <f>(M61*verz_die_M)+(N61*verz_benz_M)+(O61*verz_CNG_M)+(P61*verz_BEV_M)+(Q61*verz_FCEV_M)</f>
        <v>0</v>
      </c>
      <c r="BE61" s="877">
        <f>IF($L61=0,0,(BD61*12*looptijd)/($E61*looptijd*$L61))</f>
        <v>0</v>
      </c>
      <c r="BF61" s="878">
        <f>(MRB_die_M*M61)+(MRB_benz_M*N61)+(input_MRB_CNG_M*O61)+(input_MRB_BEV_M*P61)+(input_MRB_FCEV_M*Q61)</f>
        <v>0</v>
      </c>
      <c r="BG61" s="877">
        <f>IF($L61=0,0,BF61/($E61*looptijd*$L61))</f>
        <v>0</v>
      </c>
      <c r="BH61" s="878">
        <f>($E61*M61*(gem_verbr_die_M/100)*prijs_die)+($E61*N61*(gem_verbr_benz_M/100)*prijs_benz)+($E61*O61*(verbr_CNG_M/100)*prijs_CNG)+($E61*P61*(gem_verbr_BEV_M/100)*prijs_elek_berekening)+($E61*Q61*(gem_verbr_FCEV_M_Elek/100)*prijs_elek_berekening*(100%-_verh_H2_accu_M))+($E61*Q61*(gem_verbr_FCEV_M_H2/100)*prijs_H2*(_verh_H2_accu_M))</f>
        <v>0</v>
      </c>
      <c r="BI61" s="877">
        <f>IF($L61=0,0,(BH61*looptijd)/(looptijd*$E61*$L61))</f>
        <v>0</v>
      </c>
      <c r="BJ61" s="885"/>
      <c r="BK61" s="878">
        <f>Rest_perc_ZE*(AD61+AF61)</f>
        <v>0</v>
      </c>
      <c r="BL61" s="878">
        <f>Rest_perc_ZE*(AD61+AF61+AH61)</f>
        <v>0</v>
      </c>
      <c r="BM61" s="885"/>
      <c r="BN61" s="878">
        <f>($E61*M61*Onderh_die_M_hoog_km)+($E61*N61*Onderh_benz_M_hoog_km)+($E61*O61*Onderh_CNG_M_hoog_km)+($E61*P61*Onderh_BEV_M_hoog_km)+($E61*Q61*Onderh_FCEV_M_hoog_km)</f>
        <v>0</v>
      </c>
      <c r="BO61" s="877">
        <f>IF($L61=0,0,(BN61*looptijd)/(looptijd*$E61*$L61))</f>
        <v>0</v>
      </c>
      <c r="BP61" s="878"/>
      <c r="BQ61" s="878">
        <f>IF(BTW_verrekening="Ja",((AD61+AF61-AJ61)-BK61)/(looptijd*12),((AD61+AF61+AH61-AJ61)-BL61)/(looptijd*12))</f>
        <v>0</v>
      </c>
      <c r="BR61" s="877">
        <f>IF($G61=0,0,(BQ61*12*looptijd)/(looptijd*$E61*$G61))</f>
        <v>0</v>
      </c>
      <c r="BS61" s="885"/>
      <c r="BT61" s="883">
        <f>(_schadekosten_per_km*E61*L61)/12</f>
        <v>0</v>
      </c>
      <c r="BU61" s="884">
        <f>IF($L61=0,0,(BT61*12*looptijd)/($E61*$L61*looptijd))</f>
        <v>0</v>
      </c>
      <c r="BV61" s="881"/>
      <c r="BW61" s="886">
        <f>(Efac_die_TTW*(gem_verbr_die_M/100)*$E61*H61)+(Efac_benz_TTW*(gem_verbr_benz_M/100)*$E61*I61)+(Efac_CNG_berekening_TTW*(gem_verbr_CNG_M/100)*$E61*J61)</f>
        <v>0</v>
      </c>
      <c r="BX61" s="887">
        <f>(Efac_die_WTW*(gem_verbr_die_M/100)*$E61*H61)+(Efac_benz_WTW*(gem_verbr_benz_M/100)*$E61*I61)+(Efac_CNG_berekening_WTW*(gem_verbr_CNG_M/100)*$E61*J61)</f>
        <v>0</v>
      </c>
      <c r="BY61" s="888">
        <f>IF($G61=0,0,(BX61*looptijd)/($E61*$G61*looptijd))</f>
        <v>0</v>
      </c>
      <c r="BZ61" s="889"/>
      <c r="CA61" s="886">
        <f>(Efac_die_TTW*(gem_verbr_die_M/100)*$E61*M61)+(Efac_benz_TTW*(gem_verbr_benz_M/100)*$E61*N61)+(Efac_CNG_berekening_TTW*(gem_verbr_CNG_M/100)*$E61*O61)+(Efac_elek_berekening_TTW*(gem_verbr_BEV_M/100)*$E61*P61)+(Efac_elek_berekening_TTW*(gem_verbr_FCEV_M_Elek/100)*(100%-_verh_H2_accu_M)*Q61)+(Efac_H2_berekening_TTW*(gem_verbr_FCEV_M_H2/100)*(_verh_H2_accu_M)*Q61)</f>
        <v>0</v>
      </c>
      <c r="CB61" s="887">
        <f>(Efac_die_WTW*(gem_verbr_die_M/100)*$E61*M61)+(Efac_benz_WTW*(gem_verbr_benz_M/100)*$E61*N61)+(Efac_CNG_berekening_WTW*(gem_verbr_CNG_M/100)*$E61*O61)+(Efac_elek_berekening_WTW*(gem_verbr_BEV_M/100)*$E61*P61)+(Efac_elek_berekening_WTW*(gem_verbr_FCEV_M_Elek/100)*(100%-_verh_H2_accu_M)*Q61)+(Efac_H2_berekening_WTW*(gem_verbr_FCEV_M_H2/100)*(_verh_H2_accu_M)*Q61)</f>
        <v>0</v>
      </c>
      <c r="CC61" s="888">
        <f>IF($L61=0,0,(CB61*looptijd)/($L61*$E61*looptijd))</f>
        <v>0</v>
      </c>
    </row>
    <row r="62" spans="1:81">
      <c r="A62" s="891"/>
      <c r="B62" s="867"/>
      <c r="C62" s="868"/>
      <c r="D62" s="868"/>
      <c r="E62" s="872"/>
      <c r="F62" s="873"/>
      <c r="G62" s="870"/>
      <c r="H62" s="868"/>
      <c r="I62" s="868"/>
      <c r="J62" s="872"/>
      <c r="K62" s="873"/>
      <c r="L62" s="870"/>
      <c r="M62" s="868"/>
      <c r="N62" s="868"/>
      <c r="O62" s="868"/>
      <c r="P62" s="868"/>
      <c r="Q62" s="872"/>
      <c r="S62" s="875"/>
      <c r="U62" s="876"/>
      <c r="V62" s="877"/>
      <c r="W62" s="878"/>
      <c r="X62" s="877"/>
      <c r="Y62" s="879"/>
      <c r="Z62" s="879"/>
      <c r="AA62" s="879"/>
      <c r="AB62" s="880"/>
      <c r="AD62" s="876"/>
      <c r="AE62" s="877"/>
      <c r="AF62" s="878"/>
      <c r="AG62" s="878"/>
      <c r="AH62" s="878"/>
      <c r="AI62" s="878"/>
      <c r="AJ62" s="878"/>
      <c r="AK62" s="882"/>
      <c r="AL62" s="881"/>
      <c r="AM62" s="880"/>
      <c r="AO62" s="876"/>
      <c r="AP62" s="877"/>
      <c r="AQ62" s="878"/>
      <c r="AR62" s="877"/>
      <c r="AS62" s="878"/>
      <c r="AT62" s="877"/>
      <c r="AU62" s="878"/>
      <c r="AV62" s="877"/>
      <c r="AW62" s="878"/>
      <c r="AX62" s="881"/>
      <c r="AY62" s="878"/>
      <c r="AZ62" s="877"/>
      <c r="BA62" s="883"/>
      <c r="BB62" s="884"/>
      <c r="BD62" s="876"/>
      <c r="BE62" s="877"/>
      <c r="BF62" s="878"/>
      <c r="BG62" s="877"/>
      <c r="BH62" s="878"/>
      <c r="BI62" s="877"/>
      <c r="BJ62" s="885"/>
      <c r="BK62" s="878"/>
      <c r="BL62" s="878"/>
      <c r="BM62" s="885"/>
      <c r="BN62" s="878"/>
      <c r="BO62" s="877"/>
      <c r="BP62" s="878"/>
      <c r="BQ62" s="878"/>
      <c r="BR62" s="877"/>
      <c r="BS62" s="885"/>
      <c r="BT62" s="883"/>
      <c r="BU62" s="884"/>
      <c r="BV62" s="881"/>
      <c r="BW62" s="886"/>
      <c r="BX62" s="887"/>
      <c r="BY62" s="888"/>
      <c r="BZ62" s="889"/>
      <c r="CA62" s="886"/>
      <c r="CB62" s="887"/>
      <c r="CC62" s="888"/>
    </row>
    <row r="63" spans="1:81">
      <c r="A63" s="891"/>
      <c r="B63" s="894" t="s">
        <v>890</v>
      </c>
      <c r="C63" s="868" t="s">
        <v>748</v>
      </c>
      <c r="D63" s="868"/>
      <c r="E63" s="869">
        <f>$E$3</f>
        <v>10000</v>
      </c>
      <c r="F63" s="873"/>
      <c r="G63" s="870">
        <f t="shared" si="0"/>
        <v>0</v>
      </c>
      <c r="H63" s="868">
        <f t="array" ref="H63:H67">TRANSPOSE('1a. Invoer - BESTAAND'!J15:N15)</f>
        <v>0</v>
      </c>
      <c r="I63" s="868">
        <f t="array" ref="I63:I67">TRANSPOSE('1a. Invoer - BESTAAND'!E15:I15)</f>
        <v>0</v>
      </c>
      <c r="J63" s="872">
        <f t="array" ref="J63:J67">TRANSPOSE('1a. Invoer - BESTAAND'!E44:I44)</f>
        <v>0</v>
      </c>
      <c r="K63" s="873"/>
      <c r="L63" s="870">
        <f t="shared" si="1"/>
        <v>0</v>
      </c>
      <c r="M63" s="868">
        <v>0</v>
      </c>
      <c r="N63" s="868">
        <v>0</v>
      </c>
      <c r="O63" s="868">
        <v>0</v>
      </c>
      <c r="P63" s="868">
        <f t="array" ref="P63:P67">TRANSPOSE('1b. Invoer - NIEUW'!E17:I17)</f>
        <v>0</v>
      </c>
      <c r="Q63" s="872">
        <f t="array" ref="Q63:Q67">TRANSPOSE('1b. Invoer - NIEUW'!J17:N17)</f>
        <v>0</v>
      </c>
      <c r="S63" s="875">
        <f>(L63*E63*looptijd)</f>
        <v>0</v>
      </c>
      <c r="U63" s="876">
        <f>(Netto_cat_die_bestel_klein*H63)+(Netto_cat_benz_bestel_klein*I63)+(Netto_cat_CNG_bestel_klein*J63)</f>
        <v>0</v>
      </c>
      <c r="V63" s="877">
        <f>IF($G63=0,0,U63/($E63*$G63*looptijd))</f>
        <v>0</v>
      </c>
      <c r="W63" s="878">
        <f>IF(BPM_belasting="ja",(BPM_die_bestel_klein*H63)+(BPM_benz_bestel_klein*I63)+(BPM_CNG_bestel_klein*J63),0)</f>
        <v>0</v>
      </c>
      <c r="X63" s="877">
        <f>IF($G63=0,0,W63/($E63*looptijd*$G63))</f>
        <v>0</v>
      </c>
      <c r="Y63" s="879">
        <f>BTW*U63</f>
        <v>0</v>
      </c>
      <c r="Z63" s="879">
        <f t="shared" ref="Z63:Z79" si="6">SUM(U63:Y63)</f>
        <v>0</v>
      </c>
      <c r="AA63" s="879">
        <f>IF(BTW_verrekening="ja",((U63+W63-AW63))/2*Rente_financiering,((U63+W63+Y63-AW63)/2)*Rente_financiering)</f>
        <v>0</v>
      </c>
      <c r="AB63" s="880">
        <f>IF(G63=0,0,AA63*looptijd/($E63*looptijd*$G63))</f>
        <v>0</v>
      </c>
      <c r="AD63" s="876">
        <f>(Netto_cat_die_bestel_klein*M63)+(Netto_cat_benz_bestel_klein*N63)+(Netto_cat_CNG_bestel_klein*O63)+(Netto_cat_BEV_bestel_klein*P63)+(Netto_cat_FCEV_bestel_klein*Q63)</f>
        <v>0</v>
      </c>
      <c r="AE63" s="877">
        <f>IF($L63=0,0,AD63/($E63*$L63*looptijd))</f>
        <v>0</v>
      </c>
      <c r="AF63" s="878">
        <f>IF(BPM_belasting="ja",(BPM_benz_A*N63)+(BPM_CNG_A*O63)+(P63*BPM_BEV)+(Q63*BPM_FCEV),0)</f>
        <v>0</v>
      </c>
      <c r="AG63" s="878">
        <f>IF($L63=0,0,AF63/($E63*looptijd*$L63))</f>
        <v>0</v>
      </c>
      <c r="AH63" s="878">
        <f>BTW*AD63</f>
        <v>0</v>
      </c>
      <c r="AI63" s="878">
        <f>SUM(AD63:AH63)</f>
        <v>0</v>
      </c>
      <c r="AJ63" s="878">
        <f>IF('2. Invoer parameters'!$C$10="ja",MIA_BEV_bestel_klein*P63,0)</f>
        <v>0</v>
      </c>
      <c r="AK63" s="882">
        <f>IF($L63=0,0,AJ63/($E63*looptijd*$L63))</f>
        <v>0</v>
      </c>
      <c r="AL63" s="881">
        <f>IF(BPM_belasting="nee",(((AD63-AJ63)-BK63)/2)*Rente_financiering,(((AD63-AJ63+AF63)-BL63)/2)*Rente_financiering)</f>
        <v>0</v>
      </c>
      <c r="AM63" s="880">
        <f>IF($L63=0,0,AL63*looptijd/($E63*looptijd*$L63))</f>
        <v>0</v>
      </c>
      <c r="AO63" s="876">
        <f>(H63*verz_die_bestel_klein)+(I63*verz_benz_bestel_klein)+(J63*verz_CNG_bestel_klein)</f>
        <v>0</v>
      </c>
      <c r="AP63" s="877">
        <f>IF($G63=0,0,(AO63*12*looptijd)/($E63*looptijd*$G63))</f>
        <v>0</v>
      </c>
      <c r="AQ63" s="878">
        <f>(input_MRB_die_bestel_klein*$H63)+(input_MRB_benz_bestel_klein*$I63)+(input_MRB_CNG_bestel_klein*J63)</f>
        <v>0</v>
      </c>
      <c r="AR63" s="877">
        <f>IF($G63=0,0,AQ63/($E63*looptijd*$G63))</f>
        <v>0</v>
      </c>
      <c r="AS63" s="878">
        <f>($E63*H63*(gem_verbr_die_bestel_klein/100)*prijs_die)+($E63*I63*(gem_verbr_benz_bestel_klein/100)*prijs_benz)+($E63*J63*(gem_verbr_CNG_M/100)*prijs_CNG)</f>
        <v>0</v>
      </c>
      <c r="AT63" s="877">
        <f>IF($G63=0,0,(AS63*looptijd)/(looptijd*$E63*$G63))</f>
        <v>0</v>
      </c>
      <c r="AU63" s="878">
        <f>($E63*H63*Onderh_die_bestel_klein_hoog_km)+($E63*I63*Onderh_benz_bestel_klein_hoog_km)+($E63*J63*Onderh_CNG_bestel_klein_hoog_km)</f>
        <v>0</v>
      </c>
      <c r="AV63" s="877">
        <f>IF($G63=0,0,(AU63*looptijd)/(looptijd*$E63*$G63))</f>
        <v>0</v>
      </c>
      <c r="AW63" s="878">
        <f>Rest_perc*SUM(U63:W63)</f>
        <v>0</v>
      </c>
      <c r="AX63" s="881">
        <f>Rest_perc*SUM(U63:Y63)</f>
        <v>0</v>
      </c>
      <c r="AY63" s="878">
        <f>IF(BTW_verrekening="Ja",((U63+W63)-AW63)/(looptijd*12),((U63+W63+Y63)-AX63)/(looptijd*12))</f>
        <v>0</v>
      </c>
      <c r="AZ63" s="877">
        <f>IF($G63=0,0,(AY63*12*looptijd)/(looptijd*$E63*$G63))</f>
        <v>0</v>
      </c>
      <c r="BA63" s="883">
        <f>(_schadekosten_per_km*E63*G63)/12</f>
        <v>0</v>
      </c>
      <c r="BB63" s="884">
        <f>IF($G63=0,0,(BA63*12*looptijd)/($E63*$G63*looptijd))</f>
        <v>0</v>
      </c>
      <c r="BD63" s="876">
        <f>(M63*verz_die_bestel_klein)+(N63*verz_benz_bestel_klein)+(O63*verz_CNG_bestel_klein)+(P63*verz_BEV_bestel_klein)+(Q63*verz_FCEV_bestel_klein)</f>
        <v>0</v>
      </c>
      <c r="BE63" s="877">
        <f>IF($L63=0,0,(BD63*12*looptijd)/($E63*looptijd*$L63))</f>
        <v>0</v>
      </c>
      <c r="BF63" s="878">
        <f>(input_MRB_die_bestel_klein*M63)+(input_MRB_benz_bestel_klein*N63)+(input_MRB_CNG_bestel_klein*O63)+(input_MRB_BEV_bestel_klein*P63)+(input_MRB_FCEV_bestel_klein*Q63)</f>
        <v>0</v>
      </c>
      <c r="BG63" s="877">
        <f>IF($L63=0,0,BF63/($E63*looptijd*$L63))</f>
        <v>0</v>
      </c>
      <c r="BH63" s="878">
        <f>($E63*M63*(gem_verbr_die_bestel_klein/100)*prijs_die)+($E63*N63*(gem_verbr_benz_bestel_klein/100)*prijs_benz)+($E63*O63*(gem_verbr_CNG_bestel_klein/100)*prijs_CNG)+($E63*P63*(gem_verbr_BEV_bestel_klein/100)*prijs_elek_berekening)+($E63*Q63*(gem_verbr_FCEV_bestel_klein_Elek/100)*prijs_elek_berekening*(100%-_verh_H2_accu_bestel_klein))+($E63*Q63*(gem_verbr_FCEV_bestel_klein_H2/100)*prijs_H2*(_verh_H2_accu_bestel_klein))</f>
        <v>0</v>
      </c>
      <c r="BI63" s="877">
        <f>IF($L63=0,0,(BH63*looptijd)/(looptijd*$E63*$L63))</f>
        <v>0</v>
      </c>
      <c r="BJ63" s="885"/>
      <c r="BK63" s="878">
        <f>Rest_perc_ZE*(AD63+AF63)</f>
        <v>0</v>
      </c>
      <c r="BL63" s="878">
        <f>Rest_perc_ZE*(AD63+AF63+AH63)</f>
        <v>0</v>
      </c>
      <c r="BM63" s="885"/>
      <c r="BN63" s="878">
        <f>($E63*M63*Onderh_die_bestel_klein+($E63*N63*Onderh_benz_bestel_klein)+($E63*O63*Onderh_CNG_bestel_klein)+($E63*P63*Onderh_BEV_bestel_klein)+($E63*Q63*Onderh_FCEV_bestel_klein))</f>
        <v>0</v>
      </c>
      <c r="BO63" s="877">
        <f>IF($L63=0,0,(BN63*looptijd)/(looptijd*$E63*$L63))</f>
        <v>0</v>
      </c>
      <c r="BP63" s="878"/>
      <c r="BQ63" s="878">
        <f>IF(BTW_verrekening="Ja",((AD63+AF63-AJ63)-BK63)/(looptijd*12),((AD63+AF63+AH63-AJ63)-BL63)/(looptijd*12))</f>
        <v>0</v>
      </c>
      <c r="BR63" s="877">
        <f>IF($G63=0,0,(BQ63*12*looptijd)/(looptijd*$E63*$G63))</f>
        <v>0</v>
      </c>
      <c r="BS63" s="885"/>
      <c r="BT63" s="883">
        <f>(_schadekosten_per_km*E63*L63)/12</f>
        <v>0</v>
      </c>
      <c r="BU63" s="884">
        <f>IF($L63=0,0,(BT63*12*looptijd)/($E63*$L63*looptijd))</f>
        <v>0</v>
      </c>
      <c r="BV63" s="881"/>
      <c r="BW63" s="886">
        <f>(Efac_die_TTW*(gem_verbr_die_bestel_klein/100)*$E63*H63)+(Efac_benz_TTW*(gem_verbr_benz_bestel_klein/100)*$E63*I63)+(Efac_CNG_berekening_TTW*(gem_verbr_CNG_bestel_klein/100)*$E63*J63)</f>
        <v>0</v>
      </c>
      <c r="BX63" s="887">
        <f>(Efac_die_WTW*(gem_verbr_die_bestel_klein/100)*$E63*H63)+(Efac_benz_WTW*(gem_verbr_benz_bestel_klein/100)*$E63*I63)+(Efac_CNG_berekening_WTW*(gem_verbr_CNG_bestel_klein/100)*$E63*J63)</f>
        <v>0</v>
      </c>
      <c r="BY63" s="888">
        <f>IF($G63=0,0,(BX63*looptijd)/($E63*$G63*looptijd))</f>
        <v>0</v>
      </c>
      <c r="BZ63" s="889"/>
      <c r="CA63" s="886">
        <f>(Efac_die_TTW*(gem_verbr_die_bestel_klein/100)*$E63*M63)+(Efac_benz_TTW*(gem_verbr_benz_bestel_klein/100)*$E63*N63)+(Efac_CNG_berekening_TTW*(gem_verbr_CNG_bestel_klein/100)*$E63*O63)+(Efac_elek_berekening_TTW*(gem_verbr_BEV_bestel_klein/100)*$E63*P63)+(Efac_elek_berekening_TTW*(gem_verbr_FCEV_bestel_klein_Elek/100)*(100%-_verh_H2_accu_F)*Q63)+(Efac_H2_berekening_TTW*(gem_verbr_FCEV_bestel_klein_H2/100)*(_verh_H2_accu_bestel_klein)*Q63)</f>
        <v>0</v>
      </c>
      <c r="CB63" s="887">
        <f>(Efac_die_WTW*(gem_verbr_die_bestel_klein/100)*$E63*M63)+(Efac_benz_WTW*(gem_verbr_benz_bestel_klein/100)*$E63*N63)+(Efac_CNG_berekening_WTW*(gem_verbr_CNG_bestel_klein/100)*$E63*O63)+(Efac_elek_berekening_WTW*(gem_verbr_BEV_bestel_klein/100)*$E63*P63)+(Efac_elek_berekening_WTW*(gem_verbr_FCEV_bestel_klein_Elek/100)*(100%-_verh_H2_accu_F)*Q63)+(Efac_H2_berekening_WTW*(gem_verbr_FCEV_bestel_klein_H2/100)*(_verh_H2_accu_bestel_klein)*Q63)</f>
        <v>0</v>
      </c>
      <c r="CC63" s="888">
        <f>IF($L63=0,0,(CB63*looptijd)/($L63*$E63*looptijd))</f>
        <v>0</v>
      </c>
    </row>
    <row r="64" spans="1:81">
      <c r="A64" s="891"/>
      <c r="B64" s="894" t="s">
        <v>890</v>
      </c>
      <c r="C64" s="868" t="s">
        <v>749</v>
      </c>
      <c r="D64" s="868"/>
      <c r="E64" s="869">
        <f>$E$4</f>
        <v>15000</v>
      </c>
      <c r="F64" s="873"/>
      <c r="G64" s="870">
        <f t="shared" si="0"/>
        <v>0</v>
      </c>
      <c r="H64" s="868">
        <v>0</v>
      </c>
      <c r="I64" s="868">
        <v>0</v>
      </c>
      <c r="J64" s="872">
        <v>0</v>
      </c>
      <c r="K64" s="873"/>
      <c r="L64" s="870">
        <f t="shared" si="1"/>
        <v>0</v>
      </c>
      <c r="M64" s="868">
        <v>0</v>
      </c>
      <c r="N64" s="868">
        <v>0</v>
      </c>
      <c r="O64" s="868">
        <v>0</v>
      </c>
      <c r="P64" s="868">
        <v>0</v>
      </c>
      <c r="Q64" s="872">
        <v>0</v>
      </c>
      <c r="S64" s="875">
        <f>(L64*E64*looptijd)</f>
        <v>0</v>
      </c>
      <c r="U64" s="876">
        <f>(Netto_cat_die_bestel_klein*H64)+(Netto_cat_benz_bestel_klein*I64)+(Netto_cat_CNG_bestel_klein*J64)</f>
        <v>0</v>
      </c>
      <c r="V64" s="877">
        <f>IF($G64=0,0,U64/($E64*$G64*looptijd))</f>
        <v>0</v>
      </c>
      <c r="W64" s="878">
        <f>IF(BPM_belasting="ja",(BPM_die_bestel_klein*H64)+(BPM_benz_bestel_klein*I64)+(BPM_CNG_bestel_klein*J64),0)</f>
        <v>0</v>
      </c>
      <c r="X64" s="877">
        <f>IF($G64=0,0,W64/($E64*looptijd*$G64))</f>
        <v>0</v>
      </c>
      <c r="Y64" s="879">
        <f>BTW*U64</f>
        <v>0</v>
      </c>
      <c r="Z64" s="879">
        <f t="shared" si="6"/>
        <v>0</v>
      </c>
      <c r="AA64" s="879">
        <f>IF(BTW_verrekening="ja",((U64+W64-AW64))/2*Rente_financiering,((U64+W64+Y64-AW64)/2)*Rente_financiering)</f>
        <v>0</v>
      </c>
      <c r="AB64" s="880">
        <f>IF(G64=0,0,AA64*looptijd/($E64*looptijd*$G64))</f>
        <v>0</v>
      </c>
      <c r="AD64" s="876">
        <f>(Netto_cat_die_bestel_klein*M64)+(Netto_cat_benz_bestel_klein*N64)+(Netto_cat_CNG_bestel_klein*O64)+(Netto_cat_BEV_bestel_klein*P64)+(Netto_cat_FCEV_bestel_klein*Q64)</f>
        <v>0</v>
      </c>
      <c r="AE64" s="877">
        <f>IF($L64=0,0,AD64/($E64*$L64*looptijd))</f>
        <v>0</v>
      </c>
      <c r="AF64" s="878">
        <f>IF(BPM_belasting="ja",(BPM_benz_A*N64)+(BPM_CNG_A*O64)+(P64*BPM_BEV)+(Q64*BPM_FCEV),0)</f>
        <v>0</v>
      </c>
      <c r="AG64" s="878">
        <f>IF($L64=0,0,AF64/($E64*looptijd*$L64))</f>
        <v>0</v>
      </c>
      <c r="AH64" s="878">
        <f>BTW*AD64</f>
        <v>0</v>
      </c>
      <c r="AI64" s="878">
        <f>SUM(AD64:AH64)</f>
        <v>0</v>
      </c>
      <c r="AJ64" s="878">
        <f>IF('2. Invoer parameters'!$C$10="ja",MIA_BEV_bestel_klein*P64,0)</f>
        <v>0</v>
      </c>
      <c r="AK64" s="882">
        <f>IF($L64=0,0,AJ64/($E64*looptijd*$L64))</f>
        <v>0</v>
      </c>
      <c r="AL64" s="881">
        <f>IF(BPM_belasting="nee",(((AD64-AJ64)-BK64)/2)*Rente_financiering,(((AD64-AJ64+AF64)-BL64)/2)*Rente_financiering)</f>
        <v>0</v>
      </c>
      <c r="AM64" s="880">
        <f>IF($L64=0,0,AL64*looptijd/($E64*looptijd*$L64))</f>
        <v>0</v>
      </c>
      <c r="AO64" s="876">
        <f>(H64*verz_die_bestel_klein)+(I64*verz_benz_bestel_klein)+(J64*verz_CNG_bestel_klein)</f>
        <v>0</v>
      </c>
      <c r="AP64" s="877">
        <f>IF($G64=0,0,(AO64*12*looptijd)/($E64*looptijd*$G64))</f>
        <v>0</v>
      </c>
      <c r="AQ64" s="878">
        <f>(input_MRB_die_bestel_klein*$H64)+(input_MRB_benz_bestel_klein*$I64)+(input_MRB_CNG_bestel_klein*J64)</f>
        <v>0</v>
      </c>
      <c r="AR64" s="877">
        <f>IF($G64=0,0,AQ64/($E64*looptijd*$G64))</f>
        <v>0</v>
      </c>
      <c r="AS64" s="878">
        <f>($E64*H64*(gem_verbr_die_bestel_klein/100)*prijs_die)+($E64*I64*(gem_verbr_benz_bestel_klein/100)*prijs_benz)+($E64*J64*(gem_verbr_CNG_M/100)*prijs_CNG)</f>
        <v>0</v>
      </c>
      <c r="AT64" s="877">
        <f>IF($G64=0,0,(AS64*looptijd)/(looptijd*$E64*$G64))</f>
        <v>0</v>
      </c>
      <c r="AU64" s="878">
        <f>($E64*H64*Onderh_die_bestel_klein_hoog_km)+($E64*I64*Onderh_benz_bestel_klein_hoog_km)+($E64*J64*Onderh_CNG_bestel_klein_hoog_km)</f>
        <v>0</v>
      </c>
      <c r="AV64" s="877">
        <f>IF($G64=0,0,(AU64*looptijd)/(looptijd*$E64*$G64))</f>
        <v>0</v>
      </c>
      <c r="AW64" s="878">
        <f>Rest_perc*SUM(U64:W64)</f>
        <v>0</v>
      </c>
      <c r="AX64" s="881">
        <f>Rest_perc*SUM(U64:Y64)</f>
        <v>0</v>
      </c>
      <c r="AY64" s="878">
        <f>IF(BTW_verrekening="Ja",((U64+W64)-AW64)/(looptijd*12),((U64+W64+Y64)-AX64)/(looptijd*12))</f>
        <v>0</v>
      </c>
      <c r="AZ64" s="877">
        <f>IF($G64=0,0,(AY64*12*looptijd)/(looptijd*$E64*$G64))</f>
        <v>0</v>
      </c>
      <c r="BA64" s="883">
        <f>(_schadekosten_per_km*E64*G64)/12</f>
        <v>0</v>
      </c>
      <c r="BB64" s="884">
        <f>IF($G64=0,0,(BA64*12*looptijd)/($E64*$G64*looptijd))</f>
        <v>0</v>
      </c>
      <c r="BD64" s="876">
        <f>(M64*verz_die_bestel_klein)+(N64*verz_benz_bestel_klein)+(O64*verz_CNG_bestel_klein)+(P64*verz_BEV_bestel_klein)+(Q64*verz_FCEV_bestel_klein)</f>
        <v>0</v>
      </c>
      <c r="BE64" s="877">
        <f>IF($L64=0,0,(BD64*12*looptijd)/($E64*looptijd*$L64))</f>
        <v>0</v>
      </c>
      <c r="BF64" s="878">
        <f>(input_MRB_die_bestel_klein*M64)+(input_MRB_benz_bestel_klein*N64)+(input_MRB_CNG_bestel_klein*O64)+(input_MRB_BEV_bestel_klein*P64)+(input_MRB_FCEV_bestel_klein*Q64)</f>
        <v>0</v>
      </c>
      <c r="BG64" s="877">
        <f>IF($L64=0,0,BF64/($E64*looptijd*$L64))</f>
        <v>0</v>
      </c>
      <c r="BH64" s="878">
        <f>($E64*M64*(gem_verbr_die_bestel_klein/100)*prijs_die)+($E64*N64*(gem_verbr_benz_bestel_klein/100)*prijs_benz)+($E64*O64*(gem_verbr_CNG_bestel_klein/100)*prijs_CNG)+($E64*P64*(gem_verbr_BEV_bestel_klein/100)*prijs_elek_berekening)+($E64*Q64*(gem_verbr_FCEV_bestel_klein_Elek/100)*prijs_elek_berekening*(100%-_verh_H2_accu_bestel_klein))+($E64*Q64*(gem_verbr_FCEV_bestel_klein_H2/100)*prijs_H2*(_verh_H2_accu_bestel_klein))</f>
        <v>0</v>
      </c>
      <c r="BI64" s="877">
        <f>IF($L64=0,0,(BH64*looptijd)/(looptijd*$E64*$L64))</f>
        <v>0</v>
      </c>
      <c r="BJ64" s="885"/>
      <c r="BK64" s="878">
        <f>Rest_perc_ZE*(AD64+AF64)</f>
        <v>0</v>
      </c>
      <c r="BL64" s="878">
        <f>Rest_perc_ZE*(AD64+AF64+AH64)</f>
        <v>0</v>
      </c>
      <c r="BM64" s="885"/>
      <c r="BN64" s="878">
        <f>($E64*M64*Onderh_die_bestel_klein+($E64*N64*Onderh_benz_bestel_klein)+($E64*O64*Onderh_CNG_bestel_klein)+($E64*P64*Onderh_BEV_bestel_klein)+($E64*Q64*Onderh_FCEV_bestel_klein))</f>
        <v>0</v>
      </c>
      <c r="BO64" s="877">
        <f>IF($L64=0,0,(BN64*looptijd)/(looptijd*$E64*$L64))</f>
        <v>0</v>
      </c>
      <c r="BP64" s="878"/>
      <c r="BQ64" s="878">
        <f>IF(BTW_verrekening="Ja",((AD64+AF64-AJ64)-BK64)/(looptijd*12),((AD64+AF64+AH64-AJ64)-BL64)/(looptijd*12))</f>
        <v>0</v>
      </c>
      <c r="BR64" s="877">
        <f>IF($G64=0,0,(BQ64*12*looptijd)/(looptijd*$E64*$G64))</f>
        <v>0</v>
      </c>
      <c r="BS64" s="885"/>
      <c r="BT64" s="883">
        <f>(_schadekosten_per_km*E64*L64)/12</f>
        <v>0</v>
      </c>
      <c r="BU64" s="884">
        <f>IF($L64=0,0,(BT64*12*looptijd)/($E64*$L64*looptijd))</f>
        <v>0</v>
      </c>
      <c r="BV64" s="881"/>
      <c r="BW64" s="886">
        <f>(Efac_die_TTW*(gem_verbr_die_bestel_klein/100)*$E64*H64)+(Efac_benz_TTW*(gem_verbr_benz_bestel_klein/100)*$E64*I64)+(Efac_CNG_berekening_TTW*(gem_verbr_CNG_bestel_klein/100)*$E64*J64)</f>
        <v>0</v>
      </c>
      <c r="BX64" s="887">
        <f>(Efac_die_WTW*(gem_verbr_die_bestel_klein/100)*$E64*H64)+(Efac_benz_WTW*(gem_verbr_benz_bestel_klein/100)*$E64*I64)+(Efac_CNG_berekening_WTW*(gem_verbr_CNG_bestel_klein/100)*$E64*J64)</f>
        <v>0</v>
      </c>
      <c r="BY64" s="888">
        <f>IF($G64=0,0,(BX64*looptijd)/($E64*$G64*looptijd))</f>
        <v>0</v>
      </c>
      <c r="BZ64" s="889"/>
      <c r="CA64" s="886">
        <f>(Efac_die_TTW*(gem_verbr_die_bestel_klein/100)*$E64*M64)+(Efac_benz_TTW*(gem_verbr_benz_bestel_klein/100)*$E64*N64)+(Efac_CNG_berekening_TTW*(gem_verbr_CNG_bestel_klein/100)*$E64*O64)+(Efac_elek_berekening_TTW*(gem_verbr_BEV_bestel_klein/100)*$E64*P64)+(Efac_elek_berekening_TTW*(gem_verbr_FCEV_bestel_klein_Elek/100)*(100%-_verh_H2_accu_F)*Q64)+(Efac_H2_berekening_TTW*(gem_verbr_FCEV_bestel_klein_H2/100)*(_verh_H2_accu_bestel_klein)*Q64)</f>
        <v>0</v>
      </c>
      <c r="CB64" s="887">
        <f>(Efac_die_WTW*(gem_verbr_die_bestel_klein/100)*$E64*M64)+(Efac_benz_WTW*(gem_verbr_benz_bestel_klein/100)*$E64*N64)+(Efac_CNG_berekening_WTW*(gem_verbr_CNG_bestel_klein/100)*$E64*O64)+(Efac_elek_berekening_WTW*(gem_verbr_BEV_bestel_klein/100)*$E64*P64)+(Efac_elek_berekening_WTW*(gem_verbr_FCEV_bestel_klein_Elek/100)*(100%-_verh_H2_accu_F)*Q64)+(Efac_H2_berekening_WTW*(gem_verbr_FCEV_bestel_klein_H2/100)*(_verh_H2_accu_bestel_klein)*Q64)</f>
        <v>0</v>
      </c>
      <c r="CC64" s="888">
        <f>IF($L64=0,0,(CB64*looptijd)/($L64*$E64*looptijd))</f>
        <v>0</v>
      </c>
    </row>
    <row r="65" spans="1:81">
      <c r="A65" s="891"/>
      <c r="B65" s="894" t="s">
        <v>890</v>
      </c>
      <c r="C65" s="868" t="s">
        <v>750</v>
      </c>
      <c r="D65" s="868"/>
      <c r="E65" s="869">
        <f>$E$5</f>
        <v>25000</v>
      </c>
      <c r="F65" s="873"/>
      <c r="G65" s="870">
        <f t="shared" si="0"/>
        <v>0</v>
      </c>
      <c r="H65" s="868">
        <v>0</v>
      </c>
      <c r="I65" s="868">
        <v>0</v>
      </c>
      <c r="J65" s="872">
        <v>0</v>
      </c>
      <c r="K65" s="873"/>
      <c r="L65" s="870">
        <f t="shared" si="1"/>
        <v>0</v>
      </c>
      <c r="M65" s="868">
        <v>0</v>
      </c>
      <c r="N65" s="868">
        <v>0</v>
      </c>
      <c r="O65" s="868">
        <v>0</v>
      </c>
      <c r="P65" s="868">
        <v>0</v>
      </c>
      <c r="Q65" s="872">
        <v>0</v>
      </c>
      <c r="S65" s="875">
        <f>(L65*E65*looptijd)</f>
        <v>0</v>
      </c>
      <c r="U65" s="876">
        <f>(Netto_cat_die_bestel_klein*H65)+(Netto_cat_benz_bestel_klein*I65)+(Netto_cat_CNG_bestel_klein*J65)</f>
        <v>0</v>
      </c>
      <c r="V65" s="877">
        <f>IF($G65=0,0,U65/($E65*$G65*looptijd))</f>
        <v>0</v>
      </c>
      <c r="W65" s="878">
        <f>IF(BPM_belasting="ja",(BPM_die_bestel_klein*H65)+(BPM_benz_bestel_klein*I65)+(BPM_CNG_bestel_klein*J65),0)</f>
        <v>0</v>
      </c>
      <c r="X65" s="877">
        <f>IF($G65=0,0,W65/($E65*looptijd*$G65))</f>
        <v>0</v>
      </c>
      <c r="Y65" s="879">
        <f>BTW*U65</f>
        <v>0</v>
      </c>
      <c r="Z65" s="879">
        <f t="shared" si="6"/>
        <v>0</v>
      </c>
      <c r="AA65" s="879">
        <f>IF(BTW_verrekening="ja",((U65+W65-AW65))/2*Rente_financiering,((U65+W65+Y65-AW65)/2)*Rente_financiering)</f>
        <v>0</v>
      </c>
      <c r="AB65" s="880">
        <f>IF(G65=0,0,AA65*looptijd/($E65*looptijd*$G65))</f>
        <v>0</v>
      </c>
      <c r="AD65" s="876">
        <f>(Netto_cat_die_bestel_klein*M65)+(Netto_cat_benz_bestel_klein*N65)+(Netto_cat_CNG_bestel_klein*O65)+(Netto_cat_BEV_bestel_klein*P65)+(Netto_cat_FCEV_bestel_klein*Q65)</f>
        <v>0</v>
      </c>
      <c r="AE65" s="877">
        <f>IF($L65=0,0,AD65/($E65*$L65*looptijd))</f>
        <v>0</v>
      </c>
      <c r="AF65" s="878">
        <f>IF(BPM_belasting="ja",(BPM_benz_A*N65)+(BPM_CNG_A*O65)+(P65*BPM_BEV)+(Q65*BPM_FCEV),0)</f>
        <v>0</v>
      </c>
      <c r="AG65" s="878">
        <f>IF($L65=0,0,AF65/($E65*looptijd*$L65))</f>
        <v>0</v>
      </c>
      <c r="AH65" s="878">
        <f>BTW*AD65</f>
        <v>0</v>
      </c>
      <c r="AI65" s="878">
        <f>SUM(AD65:AH65)</f>
        <v>0</v>
      </c>
      <c r="AJ65" s="878">
        <f>IF('2. Invoer parameters'!$C$10="ja",MIA_BEV_bestel_klein*P65,0)</f>
        <v>0</v>
      </c>
      <c r="AK65" s="882">
        <f>IF($L65=0,0,AJ65/($E65*looptijd*$L65))</f>
        <v>0</v>
      </c>
      <c r="AL65" s="881">
        <f>IF(BPM_belasting="nee",(((AD65-AJ65)-BK65)/2)*Rente_financiering,(((AD65-AJ65+AF65)-BL65)/2)*Rente_financiering)</f>
        <v>0</v>
      </c>
      <c r="AM65" s="880">
        <f>IF($L65=0,0,AL65*looptijd/($E65*looptijd*$L65))</f>
        <v>0</v>
      </c>
      <c r="AO65" s="876">
        <f>(H65*verz_die_bestel_klein)+(I65*verz_benz_bestel_klein)+(J65*verz_CNG_bestel_klein)</f>
        <v>0</v>
      </c>
      <c r="AP65" s="877">
        <f>IF($G65=0,0,(AO65*12*looptijd)/($E65*looptijd*$G65))</f>
        <v>0</v>
      </c>
      <c r="AQ65" s="878">
        <f>(input_MRB_die_bestel_klein*$H65)+(input_MRB_benz_bestel_klein*$I65)+(input_MRB_CNG_bestel_klein*J65)</f>
        <v>0</v>
      </c>
      <c r="AR65" s="877">
        <f>IF($G65=0,0,AQ65/($E65*looptijd*$G65))</f>
        <v>0</v>
      </c>
      <c r="AS65" s="878">
        <f>($E65*H65*(gem_verbr_die_bestel_klein/100)*prijs_die)+($E65*I65*(gem_verbr_benz_bestel_klein/100)*prijs_benz)+($E65*J65*(gem_verbr_CNG_M/100)*prijs_CNG)</f>
        <v>0</v>
      </c>
      <c r="AT65" s="877">
        <f>IF($G65=0,0,(AS65*looptijd)/(looptijd*$E65*$G65))</f>
        <v>0</v>
      </c>
      <c r="AU65" s="878">
        <f>($E65*H65*Onderh_die_bestel_klein_hoog_km)+($E65*I65*Onderh_benz_bestel_klein_hoog_km)+($E65*J65*Onderh_CNG_bestel_klein_hoog_km)</f>
        <v>0</v>
      </c>
      <c r="AV65" s="877">
        <f>IF($G65=0,0,(AU65*looptijd)/(looptijd*$E65*$G65))</f>
        <v>0</v>
      </c>
      <c r="AW65" s="878">
        <f>Rest_perc*SUM(U65:W65)</f>
        <v>0</v>
      </c>
      <c r="AX65" s="881">
        <f>Rest_perc*SUM(U65:Y65)</f>
        <v>0</v>
      </c>
      <c r="AY65" s="878">
        <f>IF(BTW_verrekening="Ja",((U65+W65)-AW65)/(looptijd*12),((U65+W65+Y65)-AX65)/(looptijd*12))</f>
        <v>0</v>
      </c>
      <c r="AZ65" s="877">
        <f>IF($G65=0,0,(AY65*12*looptijd)/(looptijd*$E65*$G65))</f>
        <v>0</v>
      </c>
      <c r="BA65" s="883">
        <f>(_schadekosten_per_km*E65*G65)/12</f>
        <v>0</v>
      </c>
      <c r="BB65" s="884">
        <f>IF($G65=0,0,(BA65*12*looptijd)/($E65*$G65*looptijd))</f>
        <v>0</v>
      </c>
      <c r="BD65" s="876">
        <f>(M65*verz_die_bestel_klein)+(N65*verz_benz_bestel_klein)+(O65*verz_CNG_bestel_klein)+(P65*verz_BEV_bestel_klein)+(Q65*verz_FCEV_bestel_klein)</f>
        <v>0</v>
      </c>
      <c r="BE65" s="877">
        <f>IF($L65=0,0,(BD65*12*looptijd)/($E65*looptijd*$L65))</f>
        <v>0</v>
      </c>
      <c r="BF65" s="878">
        <f>(input_MRB_die_bestel_klein*M65)+(input_MRB_benz_bestel_klein*N65)+(input_MRB_CNG_bestel_klein*O65)+(input_MRB_BEV_bestel_klein*P65)+(input_MRB_FCEV_bestel_klein*Q65)</f>
        <v>0</v>
      </c>
      <c r="BG65" s="877">
        <f>IF($L65=0,0,BF65/($E65*looptijd*$L65))</f>
        <v>0</v>
      </c>
      <c r="BH65" s="878">
        <f>($E65*M65*(gem_verbr_die_bestel_klein/100)*prijs_die)+($E65*N65*(gem_verbr_benz_bestel_klein/100)*prijs_benz)+($E65*O65*(gem_verbr_CNG_bestel_klein/100)*prijs_CNG)+($E65*P65*(gem_verbr_BEV_bestel_klein/100)*prijs_elek_berekening)+($E65*Q65*(gem_verbr_FCEV_bestel_klein_Elek/100)*prijs_elek_berekening*(100%-_verh_H2_accu_bestel_klein))+($E65*Q65*(gem_verbr_FCEV_bestel_klein_H2/100)*prijs_H2*(_verh_H2_accu_bestel_klein))</f>
        <v>0</v>
      </c>
      <c r="BI65" s="877">
        <f>IF($L65=0,0,(BH65*looptijd)/(looptijd*$E65*$L65))</f>
        <v>0</v>
      </c>
      <c r="BJ65" s="885"/>
      <c r="BK65" s="878">
        <f>Rest_perc_ZE*(AD65+AF65)</f>
        <v>0</v>
      </c>
      <c r="BL65" s="878">
        <f>Rest_perc_ZE*(AD65+AF65+AH65)</f>
        <v>0</v>
      </c>
      <c r="BM65" s="885"/>
      <c r="BN65" s="878">
        <f>($E65*M65*Onderh_die_bestel_klein+($E65*N65*Onderh_benz_bestel_klein)+($E65*O65*Onderh_CNG_bestel_klein)+($E65*P65*Onderh_BEV_bestel_klein)+($E65*Q65*Onderh_FCEV_bestel_klein))</f>
        <v>0</v>
      </c>
      <c r="BO65" s="877">
        <f>IF($L65=0,0,(BN65*looptijd)/(looptijd*$E65*$L65))</f>
        <v>0</v>
      </c>
      <c r="BP65" s="878"/>
      <c r="BQ65" s="878">
        <f>IF(BTW_verrekening="Ja",((AD65+AF65-AJ65)-BK65)/(looptijd*12),((AD65+AF65+AH65-AJ65)-BL65)/(looptijd*12))</f>
        <v>0</v>
      </c>
      <c r="BR65" s="877">
        <f>IF($G65=0,0,(BQ65*12*looptijd)/(looptijd*$E65*$G65))</f>
        <v>0</v>
      </c>
      <c r="BS65" s="885"/>
      <c r="BT65" s="883">
        <f>(_schadekosten_per_km*E65*L65)/12</f>
        <v>0</v>
      </c>
      <c r="BU65" s="884">
        <f>IF($L65=0,0,(BT65*12*looptijd)/($E65*$L65*looptijd))</f>
        <v>0</v>
      </c>
      <c r="BV65" s="881"/>
      <c r="BW65" s="886">
        <f>(Efac_die_TTW*(gem_verbr_die_bestel_klein/100)*$E65*H65)+(Efac_benz_TTW*(gem_verbr_benz_bestel_klein/100)*$E65*I65)+(Efac_CNG_berekening_TTW*(gem_verbr_CNG_bestel_klein/100)*$E65*J65)</f>
        <v>0</v>
      </c>
      <c r="BX65" s="887">
        <f>(Efac_die_WTW*(gem_verbr_die_bestel_klein/100)*$E65*H65)+(Efac_benz_WTW*(gem_verbr_benz_bestel_klein/100)*$E65*I65)+(Efac_CNG_berekening_WTW*(gem_verbr_CNG_bestel_klein/100)*$E65*J65)</f>
        <v>0</v>
      </c>
      <c r="BY65" s="888">
        <f>IF($G65=0,0,(BX65*looptijd)/($E65*$G65*looptijd))</f>
        <v>0</v>
      </c>
      <c r="BZ65" s="889"/>
      <c r="CA65" s="886">
        <f>(Efac_die_TTW*(gem_verbr_die_bestel_klein/100)*$E65*M65)+(Efac_benz_TTW*(gem_verbr_benz_bestel_klein/100)*$E65*N65)+(Efac_CNG_berekening_TTW*(gem_verbr_CNG_bestel_klein/100)*$E65*O65)+(Efac_elek_berekening_TTW*(gem_verbr_BEV_bestel_klein/100)*$E65*P65)+(Efac_elek_berekening_TTW*(gem_verbr_FCEV_bestel_klein_Elek/100)*(100%-_verh_H2_accu_F)*Q65)+(Efac_H2_berekening_TTW*(gem_verbr_FCEV_bestel_klein_H2/100)*(_verh_H2_accu_bestel_klein)*Q65)</f>
        <v>0</v>
      </c>
      <c r="CB65" s="887">
        <f>(Efac_die_WTW*(gem_verbr_die_bestel_klein/100)*$E65*M65)+(Efac_benz_WTW*(gem_verbr_benz_bestel_klein/100)*$E65*N65)+(Efac_CNG_berekening_WTW*(gem_verbr_CNG_bestel_klein/100)*$E65*O65)+(Efac_elek_berekening_WTW*(gem_verbr_BEV_bestel_klein/100)*$E65*P65)+(Efac_elek_berekening_WTW*(gem_verbr_FCEV_bestel_klein_Elek/100)*(100%-_verh_H2_accu_F)*Q65)+(Efac_H2_berekening_WTW*(gem_verbr_FCEV_bestel_klein_H2/100)*(_verh_H2_accu_bestel_klein)*Q65)</f>
        <v>0</v>
      </c>
      <c r="CC65" s="888">
        <f>IF($L65=0,0,(CB65*looptijd)/($L65*$E65*looptijd))</f>
        <v>0</v>
      </c>
    </row>
    <row r="66" spans="1:81">
      <c r="A66" s="891"/>
      <c r="B66" s="894" t="s">
        <v>890</v>
      </c>
      <c r="C66" s="868" t="s">
        <v>752</v>
      </c>
      <c r="D66" s="868"/>
      <c r="E66" s="872">
        <v>50000</v>
      </c>
      <c r="F66" s="873"/>
      <c r="G66" s="870">
        <f t="shared" si="0"/>
        <v>0</v>
      </c>
      <c r="H66" s="868">
        <v>0</v>
      </c>
      <c r="I66" s="868">
        <v>0</v>
      </c>
      <c r="J66" s="872">
        <v>0</v>
      </c>
      <c r="K66" s="873"/>
      <c r="L66" s="870">
        <f t="shared" si="1"/>
        <v>0</v>
      </c>
      <c r="M66" s="868">
        <v>0</v>
      </c>
      <c r="N66" s="868">
        <v>0</v>
      </c>
      <c r="O66" s="868">
        <v>0</v>
      </c>
      <c r="P66" s="868">
        <v>0</v>
      </c>
      <c r="Q66" s="872">
        <v>0</v>
      </c>
      <c r="S66" s="875">
        <f>(L66*E66*looptijd)</f>
        <v>0</v>
      </c>
      <c r="U66" s="876">
        <f>(Netto_cat_die_bestel_klein*H66)+(Netto_cat_benz_bestel_klein*I66)+(Netto_cat_CNG_bestel_klein*J66)</f>
        <v>0</v>
      </c>
      <c r="V66" s="877">
        <f>IF($G66=0,0,U66/($E66*$G66*looptijd))</f>
        <v>0</v>
      </c>
      <c r="W66" s="878">
        <f>IF(BPM_belasting="ja",(BPM_die_bestel_klein*H66)+(BPM_benz_bestel_klein*I66)+(BPM_CNG_bestel_klein*J66),0)</f>
        <v>0</v>
      </c>
      <c r="X66" s="877">
        <f>IF($G66=0,0,W66/($E66*looptijd*$G66))</f>
        <v>0</v>
      </c>
      <c r="Y66" s="879">
        <f>BTW*U66</f>
        <v>0</v>
      </c>
      <c r="Z66" s="879">
        <f t="shared" si="6"/>
        <v>0</v>
      </c>
      <c r="AA66" s="879">
        <f>IF(BTW_verrekening="ja",((U66+W66-AW66))/2*Rente_financiering,((U66+W66+Y66-AW66)/2)*Rente_financiering)</f>
        <v>0</v>
      </c>
      <c r="AB66" s="880">
        <f>IF(G66=0,0,AA66*looptijd/($E66*looptijd*$G66))</f>
        <v>0</v>
      </c>
      <c r="AD66" s="876">
        <f>(Netto_cat_die_bestel_klein*M66)+(Netto_cat_benz_bestel_klein*N66)+(Netto_cat_CNG_bestel_klein*O66)+(Netto_cat_BEV_bestel_klein*P66)+(Netto_cat_FCEV_bestel_klein*Q66)</f>
        <v>0</v>
      </c>
      <c r="AE66" s="877">
        <f>IF($L66=0,0,AD66/($E66*$L66*looptijd))</f>
        <v>0</v>
      </c>
      <c r="AF66" s="878">
        <f>IF(BPM_belasting="ja",(BPM_benz_A*N66)+(BPM_CNG_A*O66)+(P66*BPM_BEV)+(Q66*BPM_FCEV),0)</f>
        <v>0</v>
      </c>
      <c r="AG66" s="878">
        <f>IF($L66=0,0,AF66/($E66*looptijd*$L66))</f>
        <v>0</v>
      </c>
      <c r="AH66" s="878">
        <f>BTW*AD66</f>
        <v>0</v>
      </c>
      <c r="AI66" s="878">
        <f>SUM(AD66:AH66)</f>
        <v>0</v>
      </c>
      <c r="AJ66" s="878">
        <f>IF('2. Invoer parameters'!$C$10="ja",MIA_BEV_bestel_klein*P66,0)</f>
        <v>0</v>
      </c>
      <c r="AK66" s="882">
        <f>IF($L66=0,0,AJ66/($E66*looptijd*$L66))</f>
        <v>0</v>
      </c>
      <c r="AL66" s="881">
        <f>IF(BPM_belasting="nee",(((AD66-AJ66)-BK66)/2)*Rente_financiering,(((AD66-AJ66+AF66)-BL66)/2)*Rente_financiering)</f>
        <v>0</v>
      </c>
      <c r="AM66" s="880">
        <f>IF($L66=0,0,AL66*looptijd/($E66*looptijd*$L66))</f>
        <v>0</v>
      </c>
      <c r="AO66" s="876">
        <f>(H66*verz_die_bestel_klein)+(I66*verz_benz_bestel_klein)+(J66*verz_CNG_bestel_klein)</f>
        <v>0</v>
      </c>
      <c r="AP66" s="877">
        <f>IF($G66=0,0,(AO66*12*looptijd)/($E66*looptijd*$G66))</f>
        <v>0</v>
      </c>
      <c r="AQ66" s="878">
        <f>(input_MRB_die_bestel_klein*$H66)+(input_MRB_benz_bestel_klein*$I66)+(input_MRB_CNG_bestel_klein*J66)</f>
        <v>0</v>
      </c>
      <c r="AR66" s="877">
        <f>IF($G66=0,0,AQ66/($E66*looptijd*$G66))</f>
        <v>0</v>
      </c>
      <c r="AS66" s="878">
        <f>($E66*H66*(gem_verbr_die_bestel_klein/100)*prijs_die)+($E66*I66*(gem_verbr_benz_bestel_klein/100)*prijs_benz)+($E66*J66*(gem_verbr_CNG_M/100)*prijs_CNG)</f>
        <v>0</v>
      </c>
      <c r="AT66" s="877">
        <f>IF($G66=0,0,(AS66*looptijd)/(looptijd*$E66*$G66))</f>
        <v>0</v>
      </c>
      <c r="AU66" s="878">
        <f>($E66*H66*Onderh_die_bestel_klein_hoog_km)+($E66*I66*Onderh_benz_bestel_klein_hoog_km)+($E66*J66*Onderh_CNG_bestel_klein_hoog_km)</f>
        <v>0</v>
      </c>
      <c r="AV66" s="877">
        <f>IF($G66=0,0,(AU66*looptijd)/(looptijd*$E66*$G66))</f>
        <v>0</v>
      </c>
      <c r="AW66" s="878">
        <f>Rest_perc*SUM(U66:W66)</f>
        <v>0</v>
      </c>
      <c r="AX66" s="881">
        <f>Rest_perc*SUM(U66:Y66)</f>
        <v>0</v>
      </c>
      <c r="AY66" s="878">
        <f>IF(BTW_verrekening="Ja",((U66+W66)-AW66)/(looptijd*12),((U66+W66+Y66)-AX66)/(looptijd*12))</f>
        <v>0</v>
      </c>
      <c r="AZ66" s="877">
        <f>IF($G66=0,0,(AY66*12*looptijd)/(looptijd*$E66*$G66))</f>
        <v>0</v>
      </c>
      <c r="BA66" s="883">
        <f>(_schadekosten_per_km*E66*G66)/12</f>
        <v>0</v>
      </c>
      <c r="BB66" s="884">
        <f>IF($G66=0,0,(BA66*12*looptijd)/($E66*$G66*looptijd))</f>
        <v>0</v>
      </c>
      <c r="BD66" s="876">
        <f>(M66*verz_die_bestel_klein)+(N66*verz_benz_bestel_klein)+(O66*verz_CNG_bestel_klein)+(P66*verz_BEV_bestel_klein)+(Q66*verz_FCEV_bestel_klein)</f>
        <v>0</v>
      </c>
      <c r="BE66" s="877">
        <f>IF($L66=0,0,(BD66*12*looptijd)/($E66*looptijd*$L66))</f>
        <v>0</v>
      </c>
      <c r="BF66" s="878">
        <f>(input_MRB_die_bestel_klein*M66)+(input_MRB_benz_bestel_klein*N66)+(input_MRB_CNG_bestel_klein*O66)+(input_MRB_BEV_bestel_klein*P66)+(input_MRB_FCEV_bestel_klein*Q66)</f>
        <v>0</v>
      </c>
      <c r="BG66" s="877">
        <f>IF($L66=0,0,BF66/($E66*looptijd*$L66))</f>
        <v>0</v>
      </c>
      <c r="BH66" s="878">
        <f>($E66*M66*(gem_verbr_die_bestel_klein/100)*prijs_die)+($E66*N66*(gem_verbr_benz_bestel_klein/100)*prijs_benz)+($E66*O66*(gem_verbr_CNG_bestel_klein/100)*prijs_CNG)+($E66*P66*(gem_verbr_BEV_bestel_klein/100)*prijs_elek_berekening)+($E66*Q66*(gem_verbr_FCEV_bestel_klein_Elek/100)*prijs_elek_berekening*(100%-_verh_H2_accu_bestel_klein))+($E66*Q66*(gem_verbr_FCEV_bestel_klein_H2/100)*prijs_H2*(_verh_H2_accu_bestel_klein))</f>
        <v>0</v>
      </c>
      <c r="BI66" s="877">
        <f>IF($L66=0,0,(BH66*looptijd)/(looptijd*$E66*$L66))</f>
        <v>0</v>
      </c>
      <c r="BJ66" s="885"/>
      <c r="BK66" s="878">
        <f>Rest_perc_ZE*(AD66+AF66)</f>
        <v>0</v>
      </c>
      <c r="BL66" s="878">
        <f>Rest_perc_ZE*(AD66+AF66+AH66)</f>
        <v>0</v>
      </c>
      <c r="BM66" s="885"/>
      <c r="BN66" s="878">
        <f>($E66*M66*Onderh_die_bestel_klein_hoog_km)+($E66*N66*Onderh_benz_bestel_klein_hoog_km)+($E66*O66*Onderh_CNG_bestel_klein_hoog_km)+($E66*P66*Onderh_BEV_bestel_klein_hoog_km)+($E66*Q66*Onderh_FCEV_bestel_klein_hoog_km)</f>
        <v>0</v>
      </c>
      <c r="BO66" s="877">
        <f>IF($L66=0,0,(BN66*looptijd)/(looptijd*$E66*$L66))</f>
        <v>0</v>
      </c>
      <c r="BP66" s="878"/>
      <c r="BQ66" s="878">
        <f>IF(BTW_verrekening="Ja",((AD66+AF66-AJ66)-BK66)/(looptijd*12),((AD66+AF66+AH66-AJ66)-BL66)/(looptijd*12))</f>
        <v>0</v>
      </c>
      <c r="BR66" s="877">
        <f>IF($G66=0,0,(BQ66*12*looptijd)/(looptijd*$E66*$G66))</f>
        <v>0</v>
      </c>
      <c r="BS66" s="885"/>
      <c r="BT66" s="883">
        <f>(_schadekosten_per_km*E66*L66)/12</f>
        <v>0</v>
      </c>
      <c r="BU66" s="884">
        <f>IF($L66=0,0,(BT66*12*looptijd)/($E66*$L66*looptijd))</f>
        <v>0</v>
      </c>
      <c r="BV66" s="881"/>
      <c r="BW66" s="886">
        <f>(Efac_die_TTW*(gem_verbr_die_bestel_klein/100)*$E66*H66)+(Efac_benz_TTW*(gem_verbr_benz_bestel_klein/100)*$E66*I66)+(Efac_CNG_berekening_TTW*(gem_verbr_CNG_bestel_klein/100)*$E66*J66)</f>
        <v>0</v>
      </c>
      <c r="BX66" s="887">
        <f>(Efac_die_WTW*(gem_verbr_die_bestel_klein/100)*$E66*H66)+(Efac_benz_WTW*(gem_verbr_benz_bestel_klein/100)*$E66*I66)+(Efac_CNG_berekening_WTW*(gem_verbr_CNG_bestel_klein/100)*$E66*J66)</f>
        <v>0</v>
      </c>
      <c r="BY66" s="888">
        <f>IF($G66=0,0,(BX66*looptijd)/($E66*$G66*looptijd))</f>
        <v>0</v>
      </c>
      <c r="BZ66" s="889"/>
      <c r="CA66" s="886">
        <f>(Efac_die_TTW*(gem_verbr_die_bestel_klein/100)*$E66*M66)+(Efac_benz_TTW*(gem_verbr_benz_bestel_klein/100)*$E66*N66)+(Efac_CNG_berekening_TTW*(gem_verbr_CNG_bestel_klein/100)*$E66*O66)+(Efac_elek_berekening_TTW*(gem_verbr_BEV_bestel_klein/100)*$E66*P66)+(Efac_elek_berekening_TTW*(gem_verbr_FCEV_bestel_klein_Elek/100)*(100%-_verh_H2_accu_F)*Q66)+(Efac_H2_berekening_TTW*(gem_verbr_FCEV_bestel_klein_H2/100)*(_verh_H2_accu_bestel_klein)*Q66)</f>
        <v>0</v>
      </c>
      <c r="CB66" s="887">
        <f>(Efac_die_WTW*(gem_verbr_die_bestel_klein/100)*$E66*M66)+(Efac_benz_WTW*(gem_verbr_benz_bestel_klein/100)*$E66*N66)+(Efac_CNG_berekening_WTW*(gem_verbr_CNG_bestel_klein/100)*$E66*O66)+(Efac_elek_berekening_WTW*(gem_verbr_BEV_bestel_klein/100)*$E66*P66)+(Efac_elek_berekening_WTW*(gem_verbr_FCEV_bestel_klein_Elek/100)*(100%-_verh_H2_accu_F)*Q66)+(Efac_H2_berekening_WTW*(gem_verbr_FCEV_bestel_klein_H2/100)*(_verh_H2_accu_bestel_klein)*Q66)</f>
        <v>0</v>
      </c>
      <c r="CC66" s="888">
        <f>IF($L66=0,0,(CB66*looptijd)/($L66*$E66*looptijd))</f>
        <v>0</v>
      </c>
    </row>
    <row r="67" spans="1:81">
      <c r="A67" s="891"/>
      <c r="B67" s="894" t="s">
        <v>890</v>
      </c>
      <c r="C67" s="868" t="s">
        <v>1695</v>
      </c>
      <c r="D67" s="868"/>
      <c r="E67" s="872">
        <v>75000</v>
      </c>
      <c r="F67" s="873"/>
      <c r="G67" s="870">
        <f t="shared" si="0"/>
        <v>0</v>
      </c>
      <c r="H67" s="868">
        <v>0</v>
      </c>
      <c r="I67" s="868">
        <v>0</v>
      </c>
      <c r="J67" s="872">
        <v>0</v>
      </c>
      <c r="K67" s="873"/>
      <c r="L67" s="870">
        <f t="shared" si="1"/>
        <v>0</v>
      </c>
      <c r="M67" s="868">
        <v>0</v>
      </c>
      <c r="N67" s="868">
        <v>0</v>
      </c>
      <c r="O67" s="868">
        <v>0</v>
      </c>
      <c r="P67" s="868">
        <v>0</v>
      </c>
      <c r="Q67" s="872">
        <v>0</v>
      </c>
      <c r="S67" s="875">
        <f>(L67*E67*looptijd)</f>
        <v>0</v>
      </c>
      <c r="U67" s="876">
        <f>(Netto_cat_die_bestel_klein*H67)+(Netto_cat_benz_bestel_klein*I67)+(Netto_cat_CNG_bestel_klein*J67)</f>
        <v>0</v>
      </c>
      <c r="V67" s="877">
        <f>IF($G67=0,0,U67/($E67*$G67*looptijd))</f>
        <v>0</v>
      </c>
      <c r="W67" s="878">
        <f>IF(BPM_belasting="ja",(BPM_die_bestel_klein*H67)+(BPM_benz_bestel_klein*I67)+(BPM_CNG_bestel_klein*J67),0)</f>
        <v>0</v>
      </c>
      <c r="X67" s="877">
        <f>IF($G67=0,0,W67/($E67*looptijd*$G67))</f>
        <v>0</v>
      </c>
      <c r="Y67" s="879">
        <f>BTW*U67</f>
        <v>0</v>
      </c>
      <c r="Z67" s="879">
        <f t="shared" si="6"/>
        <v>0</v>
      </c>
      <c r="AA67" s="879">
        <f>IF(BTW_verrekening="ja",((U67+W67-AW67))/2*Rente_financiering,((U67+W67+Y67-AW67)/2)*Rente_financiering)</f>
        <v>0</v>
      </c>
      <c r="AB67" s="880">
        <f>IF(G67=0,0,AA67*looptijd/($E67*looptijd*$G67))</f>
        <v>0</v>
      </c>
      <c r="AD67" s="876">
        <f>(Netto_cat_die_bestel_klein*M67)+(Netto_cat_benz_bestel_klein*N67)+(Netto_cat_CNG_bestel_klein*O67)+(Netto_cat_BEV_bestel_klein*P67)+(Netto_cat_FCEV_bestel_klein*Q67)</f>
        <v>0</v>
      </c>
      <c r="AE67" s="877">
        <f>IF($L67=0,0,AD67/($E67*$L67*looptijd))</f>
        <v>0</v>
      </c>
      <c r="AF67" s="878">
        <f>IF(BPM_belasting="ja",(BPM_benz_A*N67)+(BPM_CNG_A*O67)+(P67*BPM_BEV)+(Q67*BPM_FCEV),0)</f>
        <v>0</v>
      </c>
      <c r="AG67" s="878">
        <f>IF($L67=0,0,AF67/($E67*looptijd*$L67))</f>
        <v>0</v>
      </c>
      <c r="AH67" s="878">
        <f>BTW*AD67</f>
        <v>0</v>
      </c>
      <c r="AI67" s="878">
        <f>SUM(AD67:AH67)</f>
        <v>0</v>
      </c>
      <c r="AJ67" s="878">
        <f>IF('2. Invoer parameters'!$C$10="ja",MIA_BEV_bestel_klein*P67,0)</f>
        <v>0</v>
      </c>
      <c r="AK67" s="882">
        <f>IF($L67=0,0,AJ67/($E67*looptijd*$L67))</f>
        <v>0</v>
      </c>
      <c r="AL67" s="881">
        <f>IF(BPM_belasting="nee",(((AD67-AJ67)-BK67)/2)*Rente_financiering,(((AD67-AJ67+AF67)-BL67)/2)*Rente_financiering)</f>
        <v>0</v>
      </c>
      <c r="AM67" s="880">
        <f>IF($L67=0,0,AL67*looptijd/($E67*looptijd*$L67))</f>
        <v>0</v>
      </c>
      <c r="AO67" s="876">
        <f>(H67*verz_die_bestel_klein)+(I67*verz_benz_bestel_klein)+(J67*verz_CNG_bestel_klein)</f>
        <v>0</v>
      </c>
      <c r="AP67" s="877">
        <f>IF($G67=0,0,(AO67*12*looptijd)/($E67*looptijd*$G67))</f>
        <v>0</v>
      </c>
      <c r="AQ67" s="878">
        <f>(input_MRB_die_bestel_klein*$H67)+(input_MRB_benz_bestel_klein*$I67)+(input_MRB_CNG_bestel_klein*J67)</f>
        <v>0</v>
      </c>
      <c r="AR67" s="877">
        <f>IF($G67=0,0,AQ67/($E67*looptijd*$G67))</f>
        <v>0</v>
      </c>
      <c r="AS67" s="878">
        <f>($E67*H67*(gem_verbr_die_bestel_klein/100)*prijs_die)+($E67*I67*(gem_verbr_benz_bestel_klein/100)*prijs_benz)+($E67*J67*(gem_verbr_CNG_M/100)*prijs_CNG)</f>
        <v>0</v>
      </c>
      <c r="AT67" s="877">
        <f>IF($G67=0,0,(AS67*looptijd)/(looptijd*$E67*$G67))</f>
        <v>0</v>
      </c>
      <c r="AU67" s="878">
        <f>($E67*H67*Onderh_die_bestel_klein_hoog_km)+($E67*I67*Onderh_benz_bestel_klein_hoog_km)+($E67*J67*Onderh_CNG_bestel_klein_hoog_km)</f>
        <v>0</v>
      </c>
      <c r="AV67" s="877">
        <f>IF($G67=0,0,(AU67*looptijd)/(looptijd*$E67*$G67))</f>
        <v>0</v>
      </c>
      <c r="AW67" s="878">
        <f>Rest_perc*SUM(U67:W67)</f>
        <v>0</v>
      </c>
      <c r="AX67" s="881">
        <f>Rest_perc*SUM(U67:Y67)</f>
        <v>0</v>
      </c>
      <c r="AY67" s="878">
        <f>IF(BTW_verrekening="Ja",((U67+W67)-AW67)/(looptijd*12),((U67+W67+Y67)-AX67)/(looptijd*12))</f>
        <v>0</v>
      </c>
      <c r="AZ67" s="877">
        <f>IF($G67=0,0,(AY67*12*looptijd)/(looptijd*$E67*$G67))</f>
        <v>0</v>
      </c>
      <c r="BA67" s="883">
        <f>(_schadekosten_per_km*E67*G67)/12</f>
        <v>0</v>
      </c>
      <c r="BB67" s="884">
        <f>IF($G67=0,0,(BA67*12*looptijd)/($E67*$G67*looptijd))</f>
        <v>0</v>
      </c>
      <c r="BD67" s="876">
        <f>(M67*verz_die_bestel_klein)+(N67*verz_benz_bestel_klein)+(O67*verz_CNG_bestel_klein)+(P67*verz_BEV_bestel_klein)+(Q67*verz_FCEV_bestel_klein)</f>
        <v>0</v>
      </c>
      <c r="BE67" s="877">
        <f>IF($L67=0,0,(BD67*12*looptijd)/($E67*looptijd*$L67))</f>
        <v>0</v>
      </c>
      <c r="BF67" s="878">
        <f>(input_MRB_die_bestel_klein*M67)+(input_MRB_benz_bestel_klein*N67)+(input_MRB_CNG_bestel_klein*O67)+(input_MRB_BEV_bestel_klein*P67)+(input_MRB_FCEV_bestel_klein*Q67)</f>
        <v>0</v>
      </c>
      <c r="BG67" s="877">
        <f>IF($L67=0,0,BF67/($E67*looptijd*$L67))</f>
        <v>0</v>
      </c>
      <c r="BH67" s="878">
        <f>($E67*M67*(gem_verbr_die_bestel_klein/100)*prijs_die)+($E67*N67*(gem_verbr_benz_bestel_klein/100)*prijs_benz)+($E67*O67*(gem_verbr_CNG_bestel_klein/100)*prijs_CNG)+($E67*P67*(gem_verbr_BEV_bestel_klein/100)*prijs_elek_berekening)+($E67*Q67*(gem_verbr_FCEV_bestel_klein_Elek/100)*prijs_elek_berekening*(100%-_verh_H2_accu_bestel_klein))+($E67*Q67*(gem_verbr_FCEV_bestel_klein_H2/100)*prijs_H2*(_verh_H2_accu_bestel_klein))</f>
        <v>0</v>
      </c>
      <c r="BI67" s="877">
        <f>IF($L67=0,0,(BH67*looptijd)/(looptijd*$E67*$L67))</f>
        <v>0</v>
      </c>
      <c r="BJ67" s="885"/>
      <c r="BK67" s="878">
        <f>Rest_perc_ZE*(AD67+AF67)</f>
        <v>0</v>
      </c>
      <c r="BL67" s="878">
        <f>Rest_perc_ZE*(AD67+AF67+AH67)</f>
        <v>0</v>
      </c>
      <c r="BM67" s="885"/>
      <c r="BN67" s="878">
        <f>($E67*M67*Onderh_die_bestel_klein_hoog_km)+($E67*N67*Onderh_benz_bestel_klein_hoog_km)+($E67*O67*Onderh_CNG_bestel_klein_hoog_km)+($E67*P67*Onderh_BEV_bestel_klein_hoog_km)+($E67*Q67*Onderh_FCEV_bestel_klein_hoog_km)</f>
        <v>0</v>
      </c>
      <c r="BO67" s="877">
        <f>IF($L67=0,0,(BN67*looptijd)/(looptijd*$E67*$L67))</f>
        <v>0</v>
      </c>
      <c r="BP67" s="878"/>
      <c r="BQ67" s="878">
        <f>IF(BTW_verrekening="Ja",((AD67+AF67-AJ67)-BK67)/(looptijd*12),((AD67+AF67+AH67-AJ67)-BL67)/(looptijd*12))</f>
        <v>0</v>
      </c>
      <c r="BR67" s="877">
        <f>IF($G67=0,0,(BQ67*12*looptijd)/(looptijd*$E67*$G67))</f>
        <v>0</v>
      </c>
      <c r="BS67" s="885"/>
      <c r="BT67" s="883">
        <f>(_schadekosten_per_km*E67*L67)/12</f>
        <v>0</v>
      </c>
      <c r="BU67" s="884">
        <f>IF($L67=0,0,(BT67*12*looptijd)/($E67*$L67*looptijd))</f>
        <v>0</v>
      </c>
      <c r="BV67" s="881"/>
      <c r="BW67" s="886">
        <f>(Efac_die_TTW*(gem_verbr_die_bestel_klein/100)*$E67*H67)+(Efac_benz_TTW*(gem_verbr_benz_bestel_klein/100)*$E67*I67)+(Efac_CNG_berekening_TTW*(gem_verbr_CNG_bestel_klein/100)*$E67*J67)</f>
        <v>0</v>
      </c>
      <c r="BX67" s="887">
        <f>(Efac_die_WTW*(gem_verbr_die_bestel_klein/100)*$E67*H67)+(Efac_benz_WTW*(gem_verbr_benz_bestel_klein/100)*$E67*I67)+(Efac_CNG_berekening_WTW*(gem_verbr_CNG_bestel_klein/100)*$E67*J67)</f>
        <v>0</v>
      </c>
      <c r="BY67" s="888">
        <f>IF($G67=0,0,(BX67*looptijd)/($E67*$G67*looptijd))</f>
        <v>0</v>
      </c>
      <c r="BZ67" s="889"/>
      <c r="CA67" s="886">
        <f>(Efac_die_TTW*(gem_verbr_die_bestel_klein/100)*$E67*M67)+(Efac_benz_TTW*(gem_verbr_benz_bestel_klein/100)*$E67*N67)+(Efac_CNG_berekening_TTW*(gem_verbr_CNG_bestel_klein/100)*$E67*O67)+(Efac_elek_berekening_TTW*(gem_verbr_BEV_bestel_klein/100)*$E67*P67)+(Efac_elek_berekening_TTW*(gem_verbr_FCEV_bestel_klein_Elek/100)*(100%-_verh_H2_accu_F)*Q67)+(Efac_H2_berekening_TTW*(gem_verbr_FCEV_bestel_klein_H2/100)*(_verh_H2_accu_bestel_klein)*Q67)</f>
        <v>0</v>
      </c>
      <c r="CB67" s="887">
        <f>(Efac_die_WTW*(gem_verbr_die_bestel_klein/100)*$E67*M67)+(Efac_benz_WTW*(gem_verbr_benz_bestel_klein/100)*$E67*N67)+(Efac_CNG_berekening_WTW*(gem_verbr_CNG_bestel_klein/100)*$E67*O67)+(Efac_elek_berekening_WTW*(gem_verbr_BEV_bestel_klein/100)*$E67*P67)+(Efac_elek_berekening_WTW*(gem_verbr_FCEV_bestel_klein_Elek/100)*(100%-_verh_H2_accu_F)*Q67)+(Efac_H2_berekening_WTW*(gem_verbr_FCEV_bestel_klein_H2/100)*(_verh_H2_accu_bestel_klein)*Q67)</f>
        <v>0</v>
      </c>
      <c r="CC67" s="888">
        <f>IF($L67=0,0,(CB67*looptijd)/($L67*$E67*looptijd))</f>
        <v>0</v>
      </c>
    </row>
    <row r="68" spans="1:81">
      <c r="A68" s="891"/>
      <c r="B68" s="867"/>
      <c r="C68" s="868"/>
      <c r="D68" s="868"/>
      <c r="E68" s="872"/>
      <c r="F68" s="873"/>
      <c r="G68" s="870"/>
      <c r="H68" s="868"/>
      <c r="I68" s="868"/>
      <c r="J68" s="872"/>
      <c r="K68" s="873"/>
      <c r="L68" s="870"/>
      <c r="M68" s="868"/>
      <c r="N68" s="868"/>
      <c r="O68" s="868"/>
      <c r="P68" s="868"/>
      <c r="Q68" s="872"/>
      <c r="S68" s="875"/>
      <c r="U68" s="876"/>
      <c r="V68" s="877"/>
      <c r="W68" s="878"/>
      <c r="X68" s="877"/>
      <c r="Y68" s="879"/>
      <c r="Z68" s="879"/>
      <c r="AA68" s="879"/>
      <c r="AB68" s="880"/>
      <c r="AD68" s="876"/>
      <c r="AE68" s="877"/>
      <c r="AF68" s="878"/>
      <c r="AG68" s="878"/>
      <c r="AH68" s="878"/>
      <c r="AI68" s="878"/>
      <c r="AJ68" s="878"/>
      <c r="AK68" s="882"/>
      <c r="AL68" s="881"/>
      <c r="AM68" s="880"/>
      <c r="AO68" s="876"/>
      <c r="AP68" s="877"/>
      <c r="AQ68" s="878"/>
      <c r="AR68" s="877"/>
      <c r="AS68" s="878"/>
      <c r="AT68" s="877"/>
      <c r="AU68" s="878"/>
      <c r="AV68" s="877"/>
      <c r="AW68" s="878"/>
      <c r="AX68" s="881"/>
      <c r="AY68" s="878"/>
      <c r="AZ68" s="877"/>
      <c r="BA68" s="883"/>
      <c r="BB68" s="884"/>
      <c r="BD68" s="876"/>
      <c r="BE68" s="877"/>
      <c r="BF68" s="878"/>
      <c r="BG68" s="877"/>
      <c r="BH68" s="878"/>
      <c r="BI68" s="877"/>
      <c r="BJ68" s="885"/>
      <c r="BK68" s="878"/>
      <c r="BL68" s="878"/>
      <c r="BM68" s="885"/>
      <c r="BN68" s="878"/>
      <c r="BO68" s="877"/>
      <c r="BP68" s="878"/>
      <c r="BQ68" s="878"/>
      <c r="BR68" s="877"/>
      <c r="BS68" s="885"/>
      <c r="BT68" s="883"/>
      <c r="BU68" s="884"/>
      <c r="BV68" s="881"/>
      <c r="BW68" s="886"/>
      <c r="BX68" s="887"/>
      <c r="BY68" s="888"/>
      <c r="BZ68" s="889"/>
      <c r="CA68" s="886"/>
      <c r="CB68" s="887"/>
      <c r="CC68" s="888"/>
    </row>
    <row r="69" spans="1:81">
      <c r="A69" s="891"/>
      <c r="B69" s="894" t="s">
        <v>892</v>
      </c>
      <c r="C69" s="868" t="s">
        <v>748</v>
      </c>
      <c r="D69" s="868"/>
      <c r="E69" s="869">
        <f>$E$3</f>
        <v>10000</v>
      </c>
      <c r="F69" s="873"/>
      <c r="G69" s="870">
        <f t="shared" ref="G69:G97" si="7">SUM(H69:J69)</f>
        <v>0</v>
      </c>
      <c r="H69" s="868">
        <f t="array" ref="H69:H73">TRANSPOSE('1a. Invoer - BESTAAND'!J16:N16)</f>
        <v>0</v>
      </c>
      <c r="I69" s="871">
        <v>0</v>
      </c>
      <c r="J69" s="895">
        <v>0</v>
      </c>
      <c r="K69" s="873"/>
      <c r="L69" s="870">
        <f t="shared" ref="L69:L97" si="8">SUM(M69:Q69)</f>
        <v>0</v>
      </c>
      <c r="M69" s="868">
        <v>0</v>
      </c>
      <c r="N69" s="868">
        <v>0</v>
      </c>
      <c r="O69" s="868">
        <v>0</v>
      </c>
      <c r="P69" s="868">
        <f t="array" ref="P69:P73">TRANSPOSE('1b. Invoer - NIEUW'!E18:I18)</f>
        <v>0</v>
      </c>
      <c r="Q69" s="874">
        <v>0</v>
      </c>
      <c r="S69" s="875">
        <f>(L69*E69*looptijd)</f>
        <v>0</v>
      </c>
      <c r="U69" s="876">
        <f>(Netto_cat_die_bestel_middel*H69)+(Netto_cat_benz_bestel_middel*I69)+(Netto_cat_CNG_bestel_middel*J69)</f>
        <v>0</v>
      </c>
      <c r="V69" s="877">
        <f>IF($G69=0,0,U69/($E69*$G69*looptijd))</f>
        <v>0</v>
      </c>
      <c r="W69" s="878">
        <f>IF(BPM_belasting="ja",(BPM_die_bestel_middel*H69)+(BPM_benz_bestel_middel*I69)+(BPM_CNG_bestel_middel*J69),0)</f>
        <v>0</v>
      </c>
      <c r="X69" s="877">
        <f>IF($G69=0,0,W69/($E69*looptijd*$G69))</f>
        <v>0</v>
      </c>
      <c r="Y69" s="879">
        <f>BTW*U69</f>
        <v>0</v>
      </c>
      <c r="Z69" s="879">
        <f t="shared" si="6"/>
        <v>0</v>
      </c>
      <c r="AA69" s="879">
        <f>IF(BTW_verrekening="ja",((U69+W69-AW69))/2*Rente_financiering,((U69+W69+Y69-AW69)/2)*Rente_financiering)</f>
        <v>0</v>
      </c>
      <c r="AB69" s="880">
        <f>IF(G69=0,0,AA69*looptijd/($E69*looptijd*$G69))</f>
        <v>0</v>
      </c>
      <c r="AD69" s="876">
        <f>(Netto_cat_die_bestel_middel*M69)+(Netto_cat_benz_bestel_middel*N69)+(Netto_cat_CNG_bestel_middel*O69)+(Netto_cat_BEV_bestel_middel*P69)+(Netto_cat_FCEV_bestel_middel*Q69)</f>
        <v>0</v>
      </c>
      <c r="AE69" s="877">
        <f>IF($L69=0,0,AD69/($E69*$L69*looptijd))</f>
        <v>0</v>
      </c>
      <c r="AF69" s="878">
        <f>IF(BPM_belasting="ja",(BPM_benz_A*N69)+(BPM_CNG_A*O69)+(P69*BPM_BEV)+(Q69*BPM_FCEV),0)</f>
        <v>0</v>
      </c>
      <c r="AG69" s="878">
        <f>IF($L69=0,0,AF69/($E69*looptijd*$L69))</f>
        <v>0</v>
      </c>
      <c r="AH69" s="878">
        <f>BTW*AD69</f>
        <v>0</v>
      </c>
      <c r="AI69" s="878">
        <f>SUM(AD69:AH69)</f>
        <v>0</v>
      </c>
      <c r="AJ69" s="878">
        <f>IF('2. Invoer parameters'!$C$10="ja",MIA_BEV_bestel_middel*P69,0)</f>
        <v>0</v>
      </c>
      <c r="AK69" s="882">
        <f>IF($L69=0,0,AJ69/($E69*looptijd*$L69))</f>
        <v>0</v>
      </c>
      <c r="AL69" s="881">
        <f>IF(BPM_belasting="nee",(((AD69-AJ69)-BK69)/2)*Rente_financiering,(((AD69-AJ69+AF69)-BL69)/2)*Rente_financiering)</f>
        <v>0</v>
      </c>
      <c r="AM69" s="880">
        <f>IF($L69=0,0,AL69*looptijd/($E69*looptijd*$L69))</f>
        <v>0</v>
      </c>
      <c r="AO69" s="876">
        <f>(H69*verz_die_bestel_middel)+(I69*verz_benz_bestel_middel)+(J69*verz_CNG_bestel_middel)</f>
        <v>0</v>
      </c>
      <c r="AP69" s="877">
        <f>IF($G69=0,0,(AO69*12*looptijd)/($E69*looptijd*$G69))</f>
        <v>0</v>
      </c>
      <c r="AQ69" s="878">
        <f>(input_MRB_die_bestel_middel*$H69)+(input_MRB_benz_bestel_middel*$I69)+(input_MRB_CNG_bestel_middel*J69)</f>
        <v>0</v>
      </c>
      <c r="AR69" s="877">
        <f>IF($G69=0,0,AQ69/($E69*looptijd*$G69))</f>
        <v>0</v>
      </c>
      <c r="AS69" s="878">
        <f>($E69*H69*(gem_verbr_die_bestel_middel/100)*prijs_die)+($E69*I69*(gem_verbr_benz_bestel_middel/100)*prijs_benz)+($E69*J69*(gem_verbr_CNG_bestel_middel/100)*prijs_CNG)</f>
        <v>0</v>
      </c>
      <c r="AT69" s="877">
        <f>IF($G69=0,0,(AS69*looptijd)/(looptijd*$E69*$G69))</f>
        <v>0</v>
      </c>
      <c r="AU69" s="878">
        <f>($E69*H69*Onderh_die_bestel_middel_hoog_km)+($E69*I69*Onderh_benz_bestel_middel_hoog_km)+($E69*J69*Onderh_CNG_bestel_middel_hoog_km)</f>
        <v>0</v>
      </c>
      <c r="AV69" s="877">
        <f>IF($G69=0,0,(AU69*looptijd)/(looptijd*$E69*$G69))</f>
        <v>0</v>
      </c>
      <c r="AW69" s="878">
        <f>Rest_perc*SUM(U69:W69)</f>
        <v>0</v>
      </c>
      <c r="AX69" s="881">
        <f>Rest_perc*SUM(U69:Y69)</f>
        <v>0</v>
      </c>
      <c r="AY69" s="878">
        <f>IF(BTW_verrekening="Ja",((U69+W69)-AW69)/(looptijd*12),((U69+W69+Y69)-AX69)/(looptijd*12))</f>
        <v>0</v>
      </c>
      <c r="AZ69" s="877">
        <f>IF($G69=0,0,(AY69*12*looptijd)/(looptijd*$E69*$G69))</f>
        <v>0</v>
      </c>
      <c r="BA69" s="883">
        <f>(_schadekosten_per_km*E69*G69)/12</f>
        <v>0</v>
      </c>
      <c r="BB69" s="884">
        <f>IF($G69=0,0,(BA69*12*looptijd)/($E69*$G69*looptijd))</f>
        <v>0</v>
      </c>
      <c r="BD69" s="876">
        <f>(M69*verz_die_bestel_middel)+(N69*verz_benz_bestel_middel)+(O69*verz_CNG_bestel_middel)+(P69*verz_BEV_bestel_middel)+(Q69*verz_FCEV_bestel_middel)</f>
        <v>0</v>
      </c>
      <c r="BE69" s="877">
        <f>IF($L69=0,0,(BD69*12*looptijd)/($E69*looptijd*$L69))</f>
        <v>0</v>
      </c>
      <c r="BF69" s="878">
        <f>(input_MRB_die_bestel_middel*M69)+(input_MRB_benz_bestel_middel*N69)+(input_MRB_CNG_bestel_middel*O69)+(input_MRB_BEV_bestel_middel*P69)+(input_MRB_FCEV_bestel_middel*Q69)</f>
        <v>0</v>
      </c>
      <c r="BG69" s="877">
        <f>IF($L69=0,0,BF69/($E69*looptijd*$L69))</f>
        <v>0</v>
      </c>
      <c r="BH69" s="878">
        <f>($E69*M69*(gem_verbr_die_bestel_middel/100)*prijs_die)+($E69*N69*(gem_verbr_benz_bestel_middel/100)*prijs_benz)+($E69*O69*(gem_verbr_CNG_bestel_middel/100)*prijs_CNG)+($E69*P69*(gem_verbr_BEV_bestel_middel/100)*prijs_elek_berekening)+($E69*Q69*(gem_verbr_FCEV_bestel_middel_Elek/100)*prijs_elek_berekening*(100%-_verh_H2_accu_bestel_middel))+($E69*Q69*(gem_verbr_FCEV_bestel_middel_H2/100)*prijs_H2*(_verh_H2_accu_bestel_middel))</f>
        <v>0</v>
      </c>
      <c r="BI69" s="877">
        <f>IF($L69=0,0,(BH69*looptijd)/(looptijd*$E69*$L69))</f>
        <v>0</v>
      </c>
      <c r="BJ69" s="885"/>
      <c r="BK69" s="878">
        <f>Rest_perc_ZE*(AD69+AF69)</f>
        <v>0</v>
      </c>
      <c r="BL69" s="878">
        <f>Rest_perc_ZE*(AD69+AF69+AH69)</f>
        <v>0</v>
      </c>
      <c r="BM69" s="885"/>
      <c r="BN69" s="878">
        <f>($E69*M69*Onderh_die_bestel_middel)+($E69*N69*Onderh_benz_bestel_middel)+($E69*O69*Onderh_CNG_bestel_middel)+($E69*P69*Onderh_BEV_bestel_middel)+($E69*Q69*Onderh_FCEV_bestel_middel)</f>
        <v>0</v>
      </c>
      <c r="BO69" s="877">
        <f>IF($L69=0,0,(BN69*looptijd)/(looptijd*$E69*$L69))</f>
        <v>0</v>
      </c>
      <c r="BP69" s="878"/>
      <c r="BQ69" s="878">
        <f>IF(BTW_verrekening="Ja",((AD69+AF69-AJ69)-BK69)/(looptijd*12),((AD69+AF69+AH69-AJ69)-BL69)/(looptijd*12))</f>
        <v>0</v>
      </c>
      <c r="BR69" s="877">
        <f>IF($G69=0,0,(BQ69*12*looptijd)/(looptijd*$E69*$G69))</f>
        <v>0</v>
      </c>
      <c r="BS69" s="885"/>
      <c r="BT69" s="883">
        <f>(_schadekosten_per_km*E69*L69)/12</f>
        <v>0</v>
      </c>
      <c r="BU69" s="884">
        <f>IF($L69=0,0,(BT69*12*looptijd)/($E69*$L69*looptijd))</f>
        <v>0</v>
      </c>
      <c r="BV69" s="881"/>
      <c r="BW69" s="886">
        <f>(Efac_die_TTW*(gem_verbr_die_bestel_middel/100)*$E69*H69)+(Efac_benz_TTW*(gem_verbr_benz_bestel_middel/100)*$E69*I69)+(Efac_CNG_berekening_TTW*(gem_verbr_CNG_bestel_middel/100)*$E69*J69)</f>
        <v>0</v>
      </c>
      <c r="BX69" s="887">
        <f>(Efac_die_WTW*(gem_verbr_die_bestel_middel/100)*$E69*H69)+(Efac_benz_WTW*(gem_verbr_benz_bestel_middel/100)*$E69*I69)+(Efac_CNG_berekening_WTW*(gem_verbr_CNG_bestel_middel/100)*$E69*J69)</f>
        <v>0</v>
      </c>
      <c r="BY69" s="888">
        <f>IF($G69=0,0,(BX69*looptijd)/($E69*$G69*looptijd))</f>
        <v>0</v>
      </c>
      <c r="BZ69" s="889"/>
      <c r="CA69" s="886">
        <f>(Efac_die_TTW*(gem_verbr_die_bestel_middel/100)*$E69*M69)+(Efac_benz_TTW*(gem_verbr_benz_bestel_middel/100)*$E69*N69)+(Efac_CNG_berekening_TTW*(gem_verbr_CNG_bestel_middel/100)*$E69*O69)+(Efac_elek_berekening_TTW*(gem_verbr_BEV_bestel_middel/100)*$E69*P69)+(Efac_elek_berekening_TTW*(gem_verbr_FCEV_bestel_middel_Elek/100)*(100%-_verh_H2_accu_bestel_middel)*Q69)+(Efac_H2_berekening_TTW*(gem_verbr_FCEV_bestel_middel_H2/100)*(_verh_H2_accu_bestel_middel)*Q69)</f>
        <v>0</v>
      </c>
      <c r="CB69" s="887">
        <f>(Efac_die_WTW*(gem_verbr_die_bestel_middel/100)*$E69*M69)+(Efac_benz_WTW*(gem_verbr_benz_bestel_middel/100)*$E69*N69)+(Efac_CNG_berekening_WTW*(gem_verbr_CNG_bestel_middel/100)*$E69*O69)+(Efac_elek_berekening_WTW*(gem_verbr_BEV_bestel_middel/100)*$E69*P69)+(Efac_elek_berekening_WTW*(gem_verbr_FCEV_bestel_middel_Elek/100)*(100%-_verh_H2_accu_bestel_middel)*Q69)+(Efac_H2_berekening_WTW*(gem_verbr_FCEV_bestel_middel_H2/100)*(_verh_H2_accu_bestel_middel)*Q69)</f>
        <v>0</v>
      </c>
      <c r="CC69" s="888">
        <f>IF($L69=0,0,(CB69*looptijd)/($L69*$E69*looptijd))</f>
        <v>0</v>
      </c>
    </row>
    <row r="70" spans="1:81">
      <c r="A70" s="891"/>
      <c r="B70" s="894" t="s">
        <v>892</v>
      </c>
      <c r="C70" s="868" t="s">
        <v>749</v>
      </c>
      <c r="D70" s="868"/>
      <c r="E70" s="869">
        <f>$E$4</f>
        <v>15000</v>
      </c>
      <c r="F70" s="873"/>
      <c r="G70" s="870">
        <f t="shared" si="7"/>
        <v>0</v>
      </c>
      <c r="H70" s="868">
        <v>0</v>
      </c>
      <c r="I70" s="871">
        <v>0</v>
      </c>
      <c r="J70" s="895">
        <v>0</v>
      </c>
      <c r="K70" s="873"/>
      <c r="L70" s="870">
        <f t="shared" si="8"/>
        <v>0</v>
      </c>
      <c r="M70" s="868">
        <v>0</v>
      </c>
      <c r="N70" s="868">
        <v>0</v>
      </c>
      <c r="O70" s="868">
        <v>0</v>
      </c>
      <c r="P70" s="868">
        <v>0</v>
      </c>
      <c r="Q70" s="874">
        <v>0</v>
      </c>
      <c r="S70" s="875">
        <f>(L70*E70*looptijd)</f>
        <v>0</v>
      </c>
      <c r="U70" s="876">
        <f>(Netto_cat_die_bestel_middel*H70)+(Netto_cat_benz_bestel_middel*I70)+(Netto_cat_CNG_bestel_middel*J70)</f>
        <v>0</v>
      </c>
      <c r="V70" s="877">
        <f>IF($G70=0,0,U70/($E70*$G70*looptijd))</f>
        <v>0</v>
      </c>
      <c r="W70" s="878">
        <f>IF(BPM_belasting="ja",(BPM_die_bestel_middel*H70)+(BPM_benz_bestel_middel*I70)+(BPM_CNG_bestel_middel*J70),0)</f>
        <v>0</v>
      </c>
      <c r="X70" s="877">
        <f>IF($G70=0,0,W70/($E70*looptijd*$G70))</f>
        <v>0</v>
      </c>
      <c r="Y70" s="879">
        <f>BTW*U70</f>
        <v>0</v>
      </c>
      <c r="Z70" s="879">
        <f t="shared" si="6"/>
        <v>0</v>
      </c>
      <c r="AA70" s="879">
        <f>IF(BTW_verrekening="ja",((U70+W70-AW70))/2*Rente_financiering,((U70+W70+Y70-AW70)/2)*Rente_financiering)</f>
        <v>0</v>
      </c>
      <c r="AB70" s="880">
        <f>IF(G70=0,0,AA70*looptijd/($E70*looptijd*$G70))</f>
        <v>0</v>
      </c>
      <c r="AD70" s="876">
        <f>(Netto_cat_die_bestel_middel*M70)+(Netto_cat_benz_bestel_middel*N70)+(Netto_cat_CNG_bestel_middel*O70)+(Netto_cat_BEV_bestel_middel*P70)+(Netto_cat_FCEV_bestel_middel*Q70)</f>
        <v>0</v>
      </c>
      <c r="AE70" s="877">
        <f>IF($L70=0,0,AD70/($E70*$L70*looptijd))</f>
        <v>0</v>
      </c>
      <c r="AF70" s="878">
        <f>IF(BPM_belasting="ja",(BPM_benz_A*N70)+(BPM_CNG_A*O70)+(P70*BPM_BEV)+(Q70*BPM_FCEV),0)</f>
        <v>0</v>
      </c>
      <c r="AG70" s="878">
        <f>IF($L70=0,0,AF70/($E70*looptijd*$L70))</f>
        <v>0</v>
      </c>
      <c r="AH70" s="878">
        <f>BTW*AD70</f>
        <v>0</v>
      </c>
      <c r="AI70" s="878">
        <f>SUM(AD70:AH70)</f>
        <v>0</v>
      </c>
      <c r="AJ70" s="878">
        <f>IF('2. Invoer parameters'!$C$10="ja",MIA_BEV_bestel_middel*P70,0)</f>
        <v>0</v>
      </c>
      <c r="AK70" s="882">
        <f>IF($L70=0,0,AJ70/($E70*looptijd*$L70))</f>
        <v>0</v>
      </c>
      <c r="AL70" s="881">
        <f>IF(BPM_belasting="nee",(((AD70-AJ70)-BK70)/2)*Rente_financiering,(((AD70-AJ70+AF70)-BL70)/2)*Rente_financiering)</f>
        <v>0</v>
      </c>
      <c r="AM70" s="880">
        <f>IF($L70=0,0,AL70*looptijd/($E70*looptijd*$L70))</f>
        <v>0</v>
      </c>
      <c r="AO70" s="876">
        <f>(H70*verz_die_bestel_middel)+(I70*verz_benz_bestel_middel)+(J70*verz_CNG_bestel_middel)</f>
        <v>0</v>
      </c>
      <c r="AP70" s="877">
        <f>IF($G70=0,0,(AO70*12*looptijd)/($E70*looptijd*$G70))</f>
        <v>0</v>
      </c>
      <c r="AQ70" s="878">
        <f>(input_MRB_die_bestel_middel*$H70)+(input_MRB_benz_bestel_middel*$I70)+(input_MRB_CNG_bestel_middel*J70)</f>
        <v>0</v>
      </c>
      <c r="AR70" s="877">
        <f>IF($G70=0,0,AQ70/($E70*looptijd*$G70))</f>
        <v>0</v>
      </c>
      <c r="AS70" s="878">
        <f>($E70*H70*(gem_verbr_die_bestel_middel/100)*prijs_die)+($E70*I70*(gem_verbr_benz_bestel_middel/100)*prijs_benz)+($E70*J70*(gem_verbr_CNG_bestel_middel/100)*prijs_CNG)</f>
        <v>0</v>
      </c>
      <c r="AT70" s="877">
        <f>IF($G70=0,0,(AS70*looptijd)/(looptijd*$E70*$G70))</f>
        <v>0</v>
      </c>
      <c r="AU70" s="878">
        <f>($E70*H70*Onderh_die_bestel_middel_hoog_km)+($E70*I70*Onderh_benz_bestel_middel_hoog_km)+($E70*J70*Onderh_CNG_bestel_middel_hoog_km)</f>
        <v>0</v>
      </c>
      <c r="AV70" s="877">
        <f>IF($G70=0,0,(AU70*looptijd)/(looptijd*$E70*$G70))</f>
        <v>0</v>
      </c>
      <c r="AW70" s="878">
        <f>Rest_perc*SUM(U70:W70)</f>
        <v>0</v>
      </c>
      <c r="AX70" s="881">
        <f>Rest_perc*SUM(U70:Y70)</f>
        <v>0</v>
      </c>
      <c r="AY70" s="878">
        <f>IF(BTW_verrekening="Ja",((U70+W70)-AW70)/(looptijd*12),((U70+W70+Y70)-AX70)/(looptijd*12))</f>
        <v>0</v>
      </c>
      <c r="AZ70" s="877">
        <f>IF($G70=0,0,(AY70*12*looptijd)/(looptijd*$E70*$G70))</f>
        <v>0</v>
      </c>
      <c r="BA70" s="883">
        <f>(_schadekosten_per_km*E70*G70)/12</f>
        <v>0</v>
      </c>
      <c r="BB70" s="884">
        <f>IF($G70=0,0,(BA70*12*looptijd)/($E70*$G70*looptijd))</f>
        <v>0</v>
      </c>
      <c r="BD70" s="876">
        <f>(M70*verz_die_bestel_middel)+(N70*verz_benz_bestel_middel)+(O70*verz_CNG_bestel_middel)+(P70*verz_BEV_bestel_middel)+(Q70*verz_FCEV_bestel_middel)</f>
        <v>0</v>
      </c>
      <c r="BE70" s="877">
        <f>IF($L70=0,0,(BD70*12*looptijd)/($E70*looptijd*$L70))</f>
        <v>0</v>
      </c>
      <c r="BF70" s="878">
        <f>(input_MRB_die_bestel_middel*M70)+(input_MRB_benz_bestel_middel*N70)+(input_MRB_CNG_bestel_middel*O70)+(input_MRB_BEV_bestel_middel*P70)+(input_MRB_FCEV_bestel_middel*Q70)</f>
        <v>0</v>
      </c>
      <c r="BG70" s="877">
        <f>IF($L70=0,0,BF70/($E70*looptijd*$L70))</f>
        <v>0</v>
      </c>
      <c r="BH70" s="878">
        <f>($E70*M70*(gem_verbr_die_bestel_middel/100)*prijs_die)+($E70*N70*(gem_verbr_benz_bestel_middel/100)*prijs_benz)+($E70*O70*(gem_verbr_CNG_bestel_middel/100)*prijs_CNG)+($E70*P70*(gem_verbr_BEV_bestel_middel/100)*prijs_elek_berekening)+($E70*Q70*(gem_verbr_FCEV_bestel_middel_Elek/100)*prijs_elek_berekening*(100%-_verh_H2_accu_bestel_middel))+($E70*Q70*(gem_verbr_FCEV_bestel_middel_H2/100)*prijs_H2*(_verh_H2_accu_bestel_middel))</f>
        <v>0</v>
      </c>
      <c r="BI70" s="877">
        <f>IF($L70=0,0,(BH70*looptijd)/(looptijd*$E70*$L70))</f>
        <v>0</v>
      </c>
      <c r="BJ70" s="885"/>
      <c r="BK70" s="878">
        <f>Rest_perc_ZE*(AD70+AF70)</f>
        <v>0</v>
      </c>
      <c r="BL70" s="878">
        <f>Rest_perc_ZE*(AD70+AF70+AH70)</f>
        <v>0</v>
      </c>
      <c r="BM70" s="885"/>
      <c r="BN70" s="878">
        <f>($E70*M70*Onderh_die_bestel_middel)+($E70*N70*Onderh_benz_bestel_middel)+($E70*O70*Onderh_CNG_bestel_middel)+($E70*P70*Onderh_BEV_bestel_middel)+($E70*Q70*Onderh_FCEV_bestel_middel)</f>
        <v>0</v>
      </c>
      <c r="BO70" s="877">
        <f>IF($L70=0,0,(BN70*looptijd)/(looptijd*$E70*$L70))</f>
        <v>0</v>
      </c>
      <c r="BP70" s="878"/>
      <c r="BQ70" s="878">
        <f>IF(BTW_verrekening="Ja",((AD70+AF70-AJ70)-BK70)/(looptijd*12),((AD70+AF70+AH70-AJ70)-BL70)/(looptijd*12))</f>
        <v>0</v>
      </c>
      <c r="BR70" s="877">
        <f>IF($G70=0,0,(BQ70*12*looptijd)/(looptijd*$E70*$G70))</f>
        <v>0</v>
      </c>
      <c r="BS70" s="885"/>
      <c r="BT70" s="883">
        <f>(_schadekosten_per_km*E70*L70)/12</f>
        <v>0</v>
      </c>
      <c r="BU70" s="884">
        <f>IF($L70=0,0,(BT70*12*looptijd)/($E70*$L70*looptijd))</f>
        <v>0</v>
      </c>
      <c r="BV70" s="881"/>
      <c r="BW70" s="886">
        <f>(Efac_die_TTW*(gem_verbr_die_bestel_middel/100)*$E70*H70)+(Efac_benz_TTW*(gem_verbr_benz_bestel_middel/100)*$E70*I70)+(Efac_CNG_berekening_TTW*(gem_verbr_CNG_bestel_middel/100)*$E70*J70)</f>
        <v>0</v>
      </c>
      <c r="BX70" s="887">
        <f>(Efac_die_WTW*(gem_verbr_die_bestel_middel/100)*$E70*H70)+(Efac_benz_WTW*(gem_verbr_benz_bestel_middel/100)*$E70*I70)+(Efac_CNG_berekening_WTW*(gem_verbr_CNG_bestel_middel/100)*$E70*J70)</f>
        <v>0</v>
      </c>
      <c r="BY70" s="888">
        <f>IF($G70=0,0,(BX70*looptijd)/($E70*$G70*looptijd))</f>
        <v>0</v>
      </c>
      <c r="BZ70" s="889"/>
      <c r="CA70" s="886">
        <f>(Efac_die_TTW*(gem_verbr_die_bestel_middel/100)*$E70*M70)+(Efac_benz_TTW*(gem_verbr_benz_bestel_middel/100)*$E70*N70)+(Efac_CNG_berekening_TTW*(gem_verbr_CNG_bestel_middel/100)*$E70*O70)+(Efac_elek_berekening_TTW*(gem_verbr_BEV_bestel_middel/100)*$E70*P70)+(Efac_elek_berekening_TTW*(gem_verbr_FCEV_bestel_middel_Elek/100)*(100%-_verh_H2_accu_bestel_middel)*Q70)+(Efac_H2_berekening_TTW*(gem_verbr_FCEV_bestel_middel_H2/100)*(_verh_H2_accu_bestel_middel)*Q70)</f>
        <v>0</v>
      </c>
      <c r="CB70" s="887">
        <f>(Efac_die_WTW*(gem_verbr_die_bestel_middel/100)*$E70*M70)+(Efac_benz_WTW*(gem_verbr_benz_bestel_middel/100)*$E70*N70)+(Efac_CNG_berekening_WTW*(gem_verbr_CNG_bestel_middel/100)*$E70*O70)+(Efac_elek_berekening_WTW*(gem_verbr_BEV_bestel_middel/100)*$E70*P70)+(Efac_elek_berekening_WTW*(gem_verbr_FCEV_bestel_middel_Elek/100)*(100%-_verh_H2_accu_bestel_middel)*Q70)+(Efac_H2_berekening_WTW*(gem_verbr_FCEV_bestel_middel_H2/100)*(_verh_H2_accu_bestel_middel)*Q70)</f>
        <v>0</v>
      </c>
      <c r="CC70" s="888">
        <f>IF($L70=0,0,(CB70*looptijd)/($L70*$E70*looptijd))</f>
        <v>0</v>
      </c>
    </row>
    <row r="71" spans="1:81">
      <c r="A71" s="891"/>
      <c r="B71" s="894" t="s">
        <v>892</v>
      </c>
      <c r="C71" s="868" t="s">
        <v>750</v>
      </c>
      <c r="D71" s="868"/>
      <c r="E71" s="869">
        <f>$E$5</f>
        <v>25000</v>
      </c>
      <c r="F71" s="873"/>
      <c r="G71" s="870">
        <f t="shared" si="7"/>
        <v>0</v>
      </c>
      <c r="H71" s="868">
        <v>0</v>
      </c>
      <c r="I71" s="871">
        <v>0</v>
      </c>
      <c r="J71" s="895">
        <v>0</v>
      </c>
      <c r="K71" s="873"/>
      <c r="L71" s="870">
        <f t="shared" si="8"/>
        <v>0</v>
      </c>
      <c r="M71" s="868">
        <v>0</v>
      </c>
      <c r="N71" s="868">
        <v>0</v>
      </c>
      <c r="O71" s="868">
        <v>0</v>
      </c>
      <c r="P71" s="868">
        <v>0</v>
      </c>
      <c r="Q71" s="874">
        <v>0</v>
      </c>
      <c r="S71" s="875">
        <f>(L71*E71*looptijd)</f>
        <v>0</v>
      </c>
      <c r="U71" s="876">
        <f>(Netto_cat_die_bestel_middel*H71)+(Netto_cat_benz_bestel_middel*I71)+(Netto_cat_CNG_bestel_middel*J71)</f>
        <v>0</v>
      </c>
      <c r="V71" s="877">
        <f>IF($G71=0,0,U71/($E71*$G71*looptijd))</f>
        <v>0</v>
      </c>
      <c r="W71" s="878">
        <f>IF(BPM_belasting="ja",(BPM_die_bestel_middel*H71)+(BPM_benz_bestel_middel*I71)+(BPM_CNG_bestel_middel*J71),0)</f>
        <v>0</v>
      </c>
      <c r="X71" s="877">
        <f>IF($G71=0,0,W71/($E71*looptijd*$G71))</f>
        <v>0</v>
      </c>
      <c r="Y71" s="879">
        <f>BTW*U71</f>
        <v>0</v>
      </c>
      <c r="Z71" s="879">
        <f t="shared" si="6"/>
        <v>0</v>
      </c>
      <c r="AA71" s="879">
        <f>IF(BTW_verrekening="ja",((U71+W71-AW71))/2*Rente_financiering,((U71+W71+Y71-AW71)/2)*Rente_financiering)</f>
        <v>0</v>
      </c>
      <c r="AB71" s="880">
        <f>IF(G71=0,0,AA71*looptijd/($E71*looptijd*$G71))</f>
        <v>0</v>
      </c>
      <c r="AD71" s="876">
        <f>(Netto_cat_die_bestel_middel*M71)+(Netto_cat_benz_bestel_middel*N71)+(Netto_cat_CNG_bestel_middel*O71)+(Netto_cat_BEV_bestel_middel*P71)+(Netto_cat_FCEV_bestel_middel*Q71)</f>
        <v>0</v>
      </c>
      <c r="AE71" s="877">
        <f>IF($L71=0,0,AD71/($E71*$L71*looptijd))</f>
        <v>0</v>
      </c>
      <c r="AF71" s="878">
        <f>IF(BPM_belasting="ja",(BPM_benz_A*N71)+(BPM_CNG_A*O71)+(P71*BPM_BEV)+(Q71*BPM_FCEV),0)</f>
        <v>0</v>
      </c>
      <c r="AG71" s="878">
        <f>IF($L71=0,0,AF71/($E71*looptijd*$L71))</f>
        <v>0</v>
      </c>
      <c r="AH71" s="878">
        <f>BTW*AD71</f>
        <v>0</v>
      </c>
      <c r="AI71" s="878">
        <f>SUM(AD71:AH71)</f>
        <v>0</v>
      </c>
      <c r="AJ71" s="878">
        <f>IF('2. Invoer parameters'!$C$10="ja",MIA_BEV_bestel_middel*P71,0)</f>
        <v>0</v>
      </c>
      <c r="AK71" s="882">
        <f>IF($L71=0,0,AJ71/($E71*looptijd*$L71))</f>
        <v>0</v>
      </c>
      <c r="AL71" s="881">
        <f>IF(BPM_belasting="nee",(((AD71-AJ71)-BK71)/2)*Rente_financiering,(((AD71-AJ71+AF71)-BL71)/2)*Rente_financiering)</f>
        <v>0</v>
      </c>
      <c r="AM71" s="880">
        <f>IF($L71=0,0,AL71*looptijd/($E71*looptijd*$L71))</f>
        <v>0</v>
      </c>
      <c r="AO71" s="876">
        <f>(H71*verz_die_bestel_middel)+(I71*verz_benz_bestel_middel)+(J71*verz_CNG_bestel_middel)</f>
        <v>0</v>
      </c>
      <c r="AP71" s="877">
        <f>IF($G71=0,0,(AO71*12*looptijd)/($E71*looptijd*$G71))</f>
        <v>0</v>
      </c>
      <c r="AQ71" s="878">
        <f>(input_MRB_die_bestel_middel*$H71)+(input_MRB_benz_bestel_middel*$I71)+(input_MRB_CNG_bestel_middel*J71)</f>
        <v>0</v>
      </c>
      <c r="AR71" s="877">
        <f>IF($G71=0,0,AQ71/($E71*looptijd*$G71))</f>
        <v>0</v>
      </c>
      <c r="AS71" s="878">
        <f>($E71*H71*(gem_verbr_die_bestel_middel/100)*prijs_die)+($E71*I71*(gem_verbr_benz_bestel_middel/100)*prijs_benz)+($E71*J71*(gem_verbr_CNG_bestel_middel/100)*prijs_CNG)</f>
        <v>0</v>
      </c>
      <c r="AT71" s="877">
        <f>IF($G71=0,0,(AS71*looptijd)/(looptijd*$E71*$G71))</f>
        <v>0</v>
      </c>
      <c r="AU71" s="878">
        <f>($E71*H71*Onderh_die_bestel_middel_hoog_km)+($E71*I71*Onderh_benz_bestel_middel_hoog_km)+($E71*J71*Onderh_CNG_bestel_middel_hoog_km)</f>
        <v>0</v>
      </c>
      <c r="AV71" s="877">
        <f>IF($G71=0,0,(AU71*looptijd)/(looptijd*$E71*$G71))</f>
        <v>0</v>
      </c>
      <c r="AW71" s="878">
        <f>Rest_perc*SUM(U71:W71)</f>
        <v>0</v>
      </c>
      <c r="AX71" s="881">
        <f>Rest_perc*SUM(U71:Y71)</f>
        <v>0</v>
      </c>
      <c r="AY71" s="878">
        <f>IF(BTW_verrekening="Ja",((U71+W71)-AW71)/(looptijd*12),((U71+W71+Y71)-AX71)/(looptijd*12))</f>
        <v>0</v>
      </c>
      <c r="AZ71" s="877">
        <f>IF($G71=0,0,(AY71*12*looptijd)/(looptijd*$E71*$G71))</f>
        <v>0</v>
      </c>
      <c r="BA71" s="883">
        <f>(_schadekosten_per_km*E71*G71)/12</f>
        <v>0</v>
      </c>
      <c r="BB71" s="884">
        <f>IF($G71=0,0,(BA71*12*looptijd)/($E71*$G71*looptijd))</f>
        <v>0</v>
      </c>
      <c r="BD71" s="876">
        <f>(M71*verz_die_bestel_middel)+(N71*verz_benz_bestel_middel)+(O71*verz_CNG_bestel_middel)+(P71*verz_BEV_bestel_middel)+(Q71*verz_FCEV_bestel_middel)</f>
        <v>0</v>
      </c>
      <c r="BE71" s="877">
        <f>IF($L71=0,0,(BD71*12*looptijd)/($E71*looptijd*$L71))</f>
        <v>0</v>
      </c>
      <c r="BF71" s="878">
        <f>(input_MRB_die_bestel_middel*M71)+(input_MRB_benz_bestel_middel*N71)+(input_MRB_CNG_bestel_middel*O71)+(input_MRB_BEV_bestel_middel*P71)+(input_MRB_FCEV_bestel_middel*Q71)</f>
        <v>0</v>
      </c>
      <c r="BG71" s="877">
        <f>IF($L71=0,0,BF71/($E71*looptijd*$L71))</f>
        <v>0</v>
      </c>
      <c r="BH71" s="878">
        <f>($E71*M71*(gem_verbr_die_bestel_middel/100)*prijs_die)+($E71*N71*(gem_verbr_benz_bestel_middel/100)*prijs_benz)+($E71*O71*(gem_verbr_CNG_bestel_middel/100)*prijs_CNG)+($E71*P71*(gem_verbr_BEV_bestel_middel/100)*prijs_elek_berekening)+($E71*Q71*(gem_verbr_FCEV_bestel_middel_Elek/100)*prijs_elek_berekening*(100%-_verh_H2_accu_bestel_middel))+($E71*Q71*(gem_verbr_FCEV_bestel_middel_H2/100)*prijs_H2*(_verh_H2_accu_bestel_middel))</f>
        <v>0</v>
      </c>
      <c r="BI71" s="877">
        <f>IF($L71=0,0,(BH71*looptijd)/(looptijd*$E71*$L71))</f>
        <v>0</v>
      </c>
      <c r="BJ71" s="885"/>
      <c r="BK71" s="878">
        <f>Rest_perc_ZE*(AD71+AF71)</f>
        <v>0</v>
      </c>
      <c r="BL71" s="878">
        <f>Rest_perc_ZE*(AD71+AF71+AH71)</f>
        <v>0</v>
      </c>
      <c r="BM71" s="885"/>
      <c r="BN71" s="878">
        <f>($E71*M71*Onderh_die_bestel_middel)+($E71*N71*Onderh_benz_bestel_middel)+($E71*O71*Onderh_CNG_bestel_middel)+($E71*P71*Onderh_BEV_bestel_middel)+($E71*Q71*Onderh_FCEV_bestel_middel)</f>
        <v>0</v>
      </c>
      <c r="BO71" s="877">
        <f>IF($L71=0,0,(BN71*looptijd)/(looptijd*$E71*$L71))</f>
        <v>0</v>
      </c>
      <c r="BP71" s="878"/>
      <c r="BQ71" s="878">
        <f>IF(BTW_verrekening="Ja",((AD71+AF71-AJ71)-BK71)/(looptijd*12),((AD71+AF71+AH71-AJ71)-BL71)/(looptijd*12))</f>
        <v>0</v>
      </c>
      <c r="BR71" s="877">
        <f>IF($G71=0,0,(BQ71*12*looptijd)/(looptijd*$E71*$G71))</f>
        <v>0</v>
      </c>
      <c r="BS71" s="885"/>
      <c r="BT71" s="883">
        <f>(_schadekosten_per_km*E71*L71)/12</f>
        <v>0</v>
      </c>
      <c r="BU71" s="884">
        <f>IF($L71=0,0,(BT71*12*looptijd)/($E71*$L71*looptijd))</f>
        <v>0</v>
      </c>
      <c r="BV71" s="881"/>
      <c r="BW71" s="886">
        <f>(Efac_die_TTW*(gem_verbr_die_bestel_middel/100)*$E71*H71)+(Efac_benz_TTW*(gem_verbr_benz_bestel_middel/100)*$E71*I71)+(Efac_CNG_berekening_TTW*(gem_verbr_CNG_bestel_middel/100)*$E71*J71)</f>
        <v>0</v>
      </c>
      <c r="BX71" s="887">
        <f>(Efac_die_WTW*(gem_verbr_die_bestel_middel/100)*$E71*H71)+(Efac_benz_WTW*(gem_verbr_benz_bestel_middel/100)*$E71*I71)+(Efac_CNG_berekening_WTW*(gem_verbr_CNG_bestel_middel/100)*$E71*J71)</f>
        <v>0</v>
      </c>
      <c r="BY71" s="888">
        <f>IF($G71=0,0,(BX71*looptijd)/($E71*$G71*looptijd))</f>
        <v>0</v>
      </c>
      <c r="BZ71" s="889"/>
      <c r="CA71" s="886">
        <f>(Efac_die_TTW*(gem_verbr_die_bestel_middel/100)*$E71*M71)+(Efac_benz_TTW*(gem_verbr_benz_bestel_middel/100)*$E71*N71)+(Efac_CNG_berekening_TTW*(gem_verbr_CNG_bestel_middel/100)*$E71*O71)+(Efac_elek_berekening_TTW*(gem_verbr_BEV_bestel_middel/100)*$E71*P71)+(Efac_elek_berekening_TTW*(gem_verbr_FCEV_bestel_middel_Elek/100)*(100%-_verh_H2_accu_bestel_middel)*Q71)+(Efac_H2_berekening_TTW*(gem_verbr_FCEV_bestel_middel_H2/100)*(_verh_H2_accu_bestel_middel)*Q71)</f>
        <v>0</v>
      </c>
      <c r="CB71" s="887">
        <f>(Efac_die_WTW*(gem_verbr_die_bestel_middel/100)*$E71*M71)+(Efac_benz_WTW*(gem_verbr_benz_bestel_middel/100)*$E71*N71)+(Efac_CNG_berekening_WTW*(gem_verbr_CNG_bestel_middel/100)*$E71*O71)+(Efac_elek_berekening_WTW*(gem_verbr_BEV_bestel_middel/100)*$E71*P71)+(Efac_elek_berekening_WTW*(gem_verbr_FCEV_bestel_middel_Elek/100)*(100%-_verh_H2_accu_bestel_middel)*Q71)+(Efac_H2_berekening_WTW*(gem_verbr_FCEV_bestel_middel_H2/100)*(_verh_H2_accu_bestel_middel)*Q71)</f>
        <v>0</v>
      </c>
      <c r="CC71" s="888">
        <f>IF($L71=0,0,(CB71*looptijd)/($L71*$E71*looptijd))</f>
        <v>0</v>
      </c>
    </row>
    <row r="72" spans="1:81">
      <c r="A72" s="891"/>
      <c r="B72" s="894" t="s">
        <v>892</v>
      </c>
      <c r="C72" s="868" t="s">
        <v>752</v>
      </c>
      <c r="D72" s="868"/>
      <c r="E72" s="872">
        <v>50000</v>
      </c>
      <c r="F72" s="873"/>
      <c r="G72" s="870">
        <f t="shared" si="7"/>
        <v>0</v>
      </c>
      <c r="H72" s="868">
        <v>0</v>
      </c>
      <c r="I72" s="871">
        <v>0</v>
      </c>
      <c r="J72" s="895">
        <v>0</v>
      </c>
      <c r="K72" s="873"/>
      <c r="L72" s="870">
        <f t="shared" si="8"/>
        <v>0</v>
      </c>
      <c r="M72" s="868">
        <v>0</v>
      </c>
      <c r="N72" s="868">
        <v>0</v>
      </c>
      <c r="O72" s="868">
        <v>0</v>
      </c>
      <c r="P72" s="868">
        <v>0</v>
      </c>
      <c r="Q72" s="874">
        <v>0</v>
      </c>
      <c r="S72" s="875">
        <f>(L72*E72*looptijd)</f>
        <v>0</v>
      </c>
      <c r="U72" s="876">
        <f>(Netto_cat_die_bestel_middel*H72)+(Netto_cat_benz_bestel_middel*I72)+(Netto_cat_CNG_bestel_middel*J72)</f>
        <v>0</v>
      </c>
      <c r="V72" s="877">
        <f>IF($G72=0,0,U72/($E72*$G72*looptijd))</f>
        <v>0</v>
      </c>
      <c r="W72" s="878">
        <f>IF(BPM_belasting="ja",(BPM_die_bestel_middel*H72)+(BPM_benz_bestel_middel*I72)+(BPM_CNG_bestel_middel*J72),0)</f>
        <v>0</v>
      </c>
      <c r="X72" s="877">
        <f>IF($G72=0,0,W72/($E72*looptijd*$G72))</f>
        <v>0</v>
      </c>
      <c r="Y72" s="879">
        <f>BTW*U72</f>
        <v>0</v>
      </c>
      <c r="Z72" s="879">
        <f t="shared" si="6"/>
        <v>0</v>
      </c>
      <c r="AA72" s="879">
        <f>IF(BTW_verrekening="ja",((U72+W72-AW72))/2*Rente_financiering,((U72+W72+Y72-AW72)/2)*Rente_financiering)</f>
        <v>0</v>
      </c>
      <c r="AB72" s="880">
        <f>IF(G72=0,0,AA72*looptijd/($E72*looptijd*$G72))</f>
        <v>0</v>
      </c>
      <c r="AD72" s="876">
        <f>(Netto_cat_die_bestel_middel*M72)+(Netto_cat_benz_bestel_middel*N72)+(Netto_cat_CNG_bestel_middel*O72)+(Netto_cat_BEV_bestel_middel*P72)+(Netto_cat_FCEV_bestel_middel*Q72)</f>
        <v>0</v>
      </c>
      <c r="AE72" s="877">
        <f>IF($L72=0,0,AD72/($E72*$L72*looptijd))</f>
        <v>0</v>
      </c>
      <c r="AF72" s="878">
        <f>IF(BPM_belasting="ja",(BPM_benz_A*N72)+(BPM_CNG_A*O72)+(P72*BPM_BEV)+(Q72*BPM_FCEV),0)</f>
        <v>0</v>
      </c>
      <c r="AG72" s="878">
        <f>IF($L72=0,0,AF72/($E72*looptijd*$L72))</f>
        <v>0</v>
      </c>
      <c r="AH72" s="878">
        <f>BTW*AD72</f>
        <v>0</v>
      </c>
      <c r="AI72" s="878">
        <f>SUM(AD72:AH72)</f>
        <v>0</v>
      </c>
      <c r="AJ72" s="878">
        <f>IF('2. Invoer parameters'!$C$10="ja",MIA_BEV_bestel_middel*P72,0)</f>
        <v>0</v>
      </c>
      <c r="AK72" s="882">
        <f>IF($L72=0,0,AJ72/($E72*looptijd*$L72))</f>
        <v>0</v>
      </c>
      <c r="AL72" s="881">
        <f>IF(BPM_belasting="nee",(((AD72-AJ72)-BK72)/2)*Rente_financiering,(((AD72-AJ72+AF72)-BL72)/2)*Rente_financiering)</f>
        <v>0</v>
      </c>
      <c r="AM72" s="880">
        <f>IF($L72=0,0,AL72*looptijd/($E72*looptijd*$L72))</f>
        <v>0</v>
      </c>
      <c r="AO72" s="876">
        <f>(H72*verz_die_bestel_middel)+(I72*verz_benz_bestel_middel)+(J72*verz_CNG_bestel_middel)</f>
        <v>0</v>
      </c>
      <c r="AP72" s="877">
        <f>IF($G72=0,0,(AO72*12*looptijd)/($E72*looptijd*$G72))</f>
        <v>0</v>
      </c>
      <c r="AQ72" s="878">
        <f>(input_MRB_die_bestel_middel*$H72)+(input_MRB_benz_bestel_middel*$I72)+(input_MRB_CNG_bestel_middel*J72)</f>
        <v>0</v>
      </c>
      <c r="AR72" s="877">
        <f>IF($G72=0,0,AQ72/($E72*looptijd*$G72))</f>
        <v>0</v>
      </c>
      <c r="AS72" s="878">
        <f>($E72*H72*(gem_verbr_die_bestel_middel/100)*prijs_die)+($E72*I72*(gem_verbr_benz_bestel_middel/100)*prijs_benz)+($E72*J72*(gem_verbr_CNG_bestel_middel/100)*prijs_CNG)</f>
        <v>0</v>
      </c>
      <c r="AT72" s="877">
        <f>IF($G72=0,0,(AS72*looptijd)/(looptijd*$E72*$G72))</f>
        <v>0</v>
      </c>
      <c r="AU72" s="878">
        <f>($E72*H72*Onderh_die_bestel_middel_hoog_km)+($E72*I72*Onderh_benz_bestel_middel_hoog_km)+($E72*J72*Onderh_CNG_bestel_middel_hoog_km)</f>
        <v>0</v>
      </c>
      <c r="AV72" s="877">
        <f>IF($G72=0,0,(AU72*looptijd)/(looptijd*$E72*$G72))</f>
        <v>0</v>
      </c>
      <c r="AW72" s="878">
        <f>Rest_perc*SUM(U72:W72)</f>
        <v>0</v>
      </c>
      <c r="AX72" s="881">
        <f>Rest_perc*SUM(U72:Y72)</f>
        <v>0</v>
      </c>
      <c r="AY72" s="878">
        <f>IF(BTW_verrekening="Ja",((U72+W72)-AW72)/(looptijd*12),((U72+W72+Y72)-AX72)/(looptijd*12))</f>
        <v>0</v>
      </c>
      <c r="AZ72" s="877">
        <f>IF($G72=0,0,(AY72*12*looptijd)/(looptijd*$E72*$G72))</f>
        <v>0</v>
      </c>
      <c r="BA72" s="883">
        <f>(_schadekosten_per_km*E72*G72)/12</f>
        <v>0</v>
      </c>
      <c r="BB72" s="884">
        <f>IF($G72=0,0,(BA72*12*looptijd)/($E72*$G72*looptijd))</f>
        <v>0</v>
      </c>
      <c r="BD72" s="876">
        <f>(M72*verz_die_bestel_middel)+(N72*verz_benz_bestel_middel)+(O72*verz_CNG_bestel_middel)+(P72*verz_BEV_bestel_middel)+(Q72*verz_FCEV_bestel_middel)</f>
        <v>0</v>
      </c>
      <c r="BE72" s="877">
        <f>IF($L72=0,0,(BD72*12*looptijd)/($E72*looptijd*$L72))</f>
        <v>0</v>
      </c>
      <c r="BF72" s="878">
        <f>(input_MRB_die_bestel_middel*M72)+(input_MRB_benz_bestel_middel*N72)+(input_MRB_CNG_bestel_middel*O72)+(input_MRB_BEV_bestel_middel*P72)+(input_MRB_FCEV_bestel_middel*Q72)</f>
        <v>0</v>
      </c>
      <c r="BG72" s="877">
        <f>IF($L72=0,0,BF72/($E72*looptijd*$L72))</f>
        <v>0</v>
      </c>
      <c r="BH72" s="878">
        <f>($E72*M72*(gem_verbr_die_bestel_middel/100)*prijs_die)+($E72*N72*(gem_verbr_benz_bestel_middel/100)*prijs_benz)+($E72*O72*(gem_verbr_CNG_bestel_middel/100)*prijs_CNG)+($E72*P72*(gem_verbr_BEV_bestel_middel/100)*prijs_elek_berekening)+($E72*Q72*(gem_verbr_FCEV_bestel_middel_Elek/100)*prijs_elek_berekening*(100%-_verh_H2_accu_bestel_middel))+($E72*Q72*(gem_verbr_FCEV_bestel_middel_H2/100)*prijs_H2*(_verh_H2_accu_bestel_middel))</f>
        <v>0</v>
      </c>
      <c r="BI72" s="877">
        <f>IF($L72=0,0,(BH72*looptijd)/(looptijd*$E72*$L72))</f>
        <v>0</v>
      </c>
      <c r="BJ72" s="885"/>
      <c r="BK72" s="878">
        <f>Rest_perc_ZE*(AD72+AF72)</f>
        <v>0</v>
      </c>
      <c r="BL72" s="878">
        <f>Rest_perc_ZE*(AD72+AF72+AH72)</f>
        <v>0</v>
      </c>
      <c r="BM72" s="885"/>
      <c r="BN72" s="878">
        <f>($E72*M72*Onderh_die_bestel_middel_hoog_km)+($E72*N72*Onderh_benz_bestel_middel_hoog_km)+($E72*O72*Onderh_CNG_bestel_middel_hoog_km)+($E72*P72*Onderh_BEV_bestel_middel_hoog_km)+($E72*Q72*Onderh_FCEV_bestel_middel_hoog_km)</f>
        <v>0</v>
      </c>
      <c r="BO72" s="877">
        <f>IF($L72=0,0,(BN72*looptijd)/(looptijd*$E72*$L72))</f>
        <v>0</v>
      </c>
      <c r="BP72" s="878"/>
      <c r="BQ72" s="878">
        <f>IF(BTW_verrekening="Ja",((AD72+AF72-AJ72)-BK72)/(looptijd*12),((AD72+AF72+AH72-AJ72)-BL72)/(looptijd*12))</f>
        <v>0</v>
      </c>
      <c r="BR72" s="877">
        <f>IF($G72=0,0,(BQ72*12*looptijd)/(looptijd*$E72*$G72))</f>
        <v>0</v>
      </c>
      <c r="BS72" s="885"/>
      <c r="BT72" s="883">
        <f>(_schadekosten_per_km*E72*L72)/12</f>
        <v>0</v>
      </c>
      <c r="BU72" s="884">
        <f>IF($L72=0,0,(BT72*12*looptijd)/($E72*$L72*looptijd))</f>
        <v>0</v>
      </c>
      <c r="BV72" s="881"/>
      <c r="BW72" s="886">
        <f>(Efac_die_TTW*(gem_verbr_die_bestel_middel/100)*$E72*H72)+(Efac_benz_TTW*(gem_verbr_benz_bestel_middel/100)*$E72*I72)+(Efac_CNG_berekening_TTW*(gem_verbr_CNG_bestel_middel/100)*$E72*J72)</f>
        <v>0</v>
      </c>
      <c r="BX72" s="887">
        <f>(Efac_die_WTW*(gem_verbr_die_bestel_middel/100)*$E72*H72)+(Efac_benz_WTW*(gem_verbr_benz_bestel_middel/100)*$E72*I72)+(Efac_CNG_berekening_WTW*(gem_verbr_CNG_bestel_middel/100)*$E72*J72)</f>
        <v>0</v>
      </c>
      <c r="BY72" s="888">
        <f>IF($G72=0,0,(BX72*looptijd)/($E72*$G72*looptijd))</f>
        <v>0</v>
      </c>
      <c r="BZ72" s="889"/>
      <c r="CA72" s="886">
        <f>(Efac_die_TTW*(gem_verbr_die_bestel_middel/100)*$E72*M72)+(Efac_benz_TTW*(gem_verbr_benz_bestel_middel/100)*$E72*N72)+(Efac_CNG_berekening_TTW*(gem_verbr_CNG_bestel_middel/100)*$E72*O72)+(Efac_elek_berekening_TTW*(gem_verbr_BEV_bestel_middel/100)*$E72*P72)+(Efac_elek_berekening_TTW*(gem_verbr_FCEV_bestel_middel_Elek/100)*(100%-_verh_H2_accu_bestel_middel)*Q72)+(Efac_H2_berekening_TTW*(gem_verbr_FCEV_bestel_middel_H2/100)*(_verh_H2_accu_bestel_middel)*Q72)</f>
        <v>0</v>
      </c>
      <c r="CB72" s="887">
        <f>(Efac_die_WTW*(gem_verbr_die_bestel_middel/100)*$E72*M72)+(Efac_benz_WTW*(gem_verbr_benz_bestel_middel/100)*$E72*N72)+(Efac_CNG_berekening_WTW*(gem_verbr_CNG_bestel_middel/100)*$E72*O72)+(Efac_elek_berekening_WTW*(gem_verbr_BEV_bestel_middel/100)*$E72*P72)+(Efac_elek_berekening_WTW*(gem_verbr_FCEV_bestel_middel_Elek/100)*(100%-_verh_H2_accu_bestel_middel)*Q72)+(Efac_H2_berekening_WTW*(gem_verbr_FCEV_bestel_middel_H2/100)*(_verh_H2_accu_bestel_middel)*Q72)</f>
        <v>0</v>
      </c>
      <c r="CC72" s="888">
        <f>IF($L72=0,0,(CB72*looptijd)/($L72*$E72*looptijd))</f>
        <v>0</v>
      </c>
    </row>
    <row r="73" spans="1:81">
      <c r="A73" s="891"/>
      <c r="B73" s="894" t="s">
        <v>892</v>
      </c>
      <c r="C73" s="868" t="s">
        <v>1695</v>
      </c>
      <c r="D73" s="868"/>
      <c r="E73" s="872">
        <v>75000</v>
      </c>
      <c r="F73" s="873"/>
      <c r="G73" s="870">
        <f t="shared" si="7"/>
        <v>0</v>
      </c>
      <c r="H73" s="868">
        <v>0</v>
      </c>
      <c r="I73" s="871">
        <v>0</v>
      </c>
      <c r="J73" s="895">
        <v>0</v>
      </c>
      <c r="K73" s="873"/>
      <c r="L73" s="870">
        <f t="shared" si="8"/>
        <v>0</v>
      </c>
      <c r="M73" s="868">
        <v>0</v>
      </c>
      <c r="N73" s="868">
        <v>0</v>
      </c>
      <c r="O73" s="868">
        <v>0</v>
      </c>
      <c r="P73" s="868">
        <v>0</v>
      </c>
      <c r="Q73" s="874">
        <v>0</v>
      </c>
      <c r="S73" s="875">
        <f>(L73*E73*looptijd)</f>
        <v>0</v>
      </c>
      <c r="U73" s="876">
        <f>(Netto_cat_die_bestel_middel*H73)+(Netto_cat_benz_bestel_middel*I73)+(Netto_cat_CNG_bestel_middel*J73)</f>
        <v>0</v>
      </c>
      <c r="V73" s="877">
        <f>IF($G73=0,0,U73/($E73*$G73*looptijd))</f>
        <v>0</v>
      </c>
      <c r="W73" s="878">
        <f>IF(BPM_belasting="ja",(BPM_die_bestel_middel*H73)+(BPM_benz_bestel_middel*I73)+(BPM_CNG_bestel_middel*J73),0)</f>
        <v>0</v>
      </c>
      <c r="X73" s="877">
        <f>IF($G73=0,0,W73/($E73*looptijd*$G73))</f>
        <v>0</v>
      </c>
      <c r="Y73" s="879">
        <f>BTW*U73</f>
        <v>0</v>
      </c>
      <c r="Z73" s="879">
        <f t="shared" si="6"/>
        <v>0</v>
      </c>
      <c r="AA73" s="879">
        <f>IF(BTW_verrekening="ja",((U73+W73-AW73))/2*Rente_financiering,((U73+W73+Y73-AW73)/2)*Rente_financiering)</f>
        <v>0</v>
      </c>
      <c r="AB73" s="880">
        <f>IF(G73=0,0,AA73*looptijd/($E73*looptijd*$G73))</f>
        <v>0</v>
      </c>
      <c r="AD73" s="876">
        <f>(Netto_cat_die_bestel_middel*M73)+(Netto_cat_benz_bestel_middel*N73)+(Netto_cat_CNG_bestel_middel*O73)+(Netto_cat_BEV_bestel_middel*P73)+(Netto_cat_FCEV_bestel_middel*Q73)</f>
        <v>0</v>
      </c>
      <c r="AE73" s="877">
        <f>IF($L73=0,0,AD73/($E73*$L73*looptijd))</f>
        <v>0</v>
      </c>
      <c r="AF73" s="878">
        <f>IF(BPM_belasting="ja",(BPM_benz_A*N73)+(BPM_CNG_A*O73)+(P73*BPM_BEV)+(Q73*BPM_FCEV),0)</f>
        <v>0</v>
      </c>
      <c r="AG73" s="878">
        <f>IF($L73=0,0,AF73/($E73*looptijd*$L73))</f>
        <v>0</v>
      </c>
      <c r="AH73" s="878">
        <f>BTW*AD73</f>
        <v>0</v>
      </c>
      <c r="AI73" s="878">
        <f>SUM(AD73:AH73)</f>
        <v>0</v>
      </c>
      <c r="AJ73" s="878">
        <f>IF('2. Invoer parameters'!$C$10="ja",MIA_BEV_bestel_middel*P73,0)</f>
        <v>0</v>
      </c>
      <c r="AK73" s="882">
        <f>IF($L73=0,0,AJ73/($E73*looptijd*$L73))</f>
        <v>0</v>
      </c>
      <c r="AL73" s="881">
        <f>IF(BPM_belasting="nee",(((AD73-AJ73)-BK73)/2)*Rente_financiering,(((AD73-AJ73+AF73)-BL73)/2)*Rente_financiering)</f>
        <v>0</v>
      </c>
      <c r="AM73" s="880">
        <f>IF($L73=0,0,AL73*looptijd/($E73*looptijd*$L73))</f>
        <v>0</v>
      </c>
      <c r="AO73" s="876">
        <f>(H73*verz_die_bestel_middel)+(I73*verz_benz_bestel_middel)+(J73*verz_CNG_bestel_middel)</f>
        <v>0</v>
      </c>
      <c r="AP73" s="877">
        <f>IF($G73=0,0,(AO73*12*looptijd)/($E73*looptijd*$G73))</f>
        <v>0</v>
      </c>
      <c r="AQ73" s="878">
        <f>(input_MRB_die_bestel_middel*$H73)+(input_MRB_benz_bestel_middel*$I73)+(input_MRB_CNG_bestel_middel*J73)</f>
        <v>0</v>
      </c>
      <c r="AR73" s="877">
        <f>IF($G73=0,0,AQ73/($E73*looptijd*$G73))</f>
        <v>0</v>
      </c>
      <c r="AS73" s="878">
        <f>($E73*H73*(gem_verbr_die_bestel_middel/100)*prijs_die)+($E73*I73*(gem_verbr_benz_bestel_middel/100)*prijs_benz)+($E73*J73*(gem_verbr_CNG_bestel_middel/100)*prijs_CNG)</f>
        <v>0</v>
      </c>
      <c r="AT73" s="877">
        <f>IF($G73=0,0,(AS73*looptijd)/(looptijd*$E73*$G73))</f>
        <v>0</v>
      </c>
      <c r="AU73" s="878">
        <f>($E73*H73*Onderh_die_bestel_middel_hoog_km)+($E73*I73*Onderh_benz_bestel_middel_hoog_km)+($E73*J73*Onderh_CNG_bestel_middel_hoog_km)</f>
        <v>0</v>
      </c>
      <c r="AV73" s="877">
        <f>IF($G73=0,0,(AU73*looptijd)/(looptijd*$E73*$G73))</f>
        <v>0</v>
      </c>
      <c r="AW73" s="878">
        <f>Rest_perc*SUM(U73:W73)</f>
        <v>0</v>
      </c>
      <c r="AX73" s="881">
        <f>Rest_perc*SUM(U73:Y73)</f>
        <v>0</v>
      </c>
      <c r="AY73" s="878">
        <f>IF(BTW_verrekening="Ja",((U73+W73)-AW73)/(looptijd*12),((U73+W73+Y73)-AX73)/(looptijd*12))</f>
        <v>0</v>
      </c>
      <c r="AZ73" s="877">
        <f>IF($G73=0,0,(AY73*12*looptijd)/(looptijd*$E73*$G73))</f>
        <v>0</v>
      </c>
      <c r="BA73" s="883">
        <f>(_schadekosten_per_km*E73*G73)/12</f>
        <v>0</v>
      </c>
      <c r="BB73" s="884">
        <f>IF($G73=0,0,(BA73*12*looptijd)/($E73*$G73*looptijd))</f>
        <v>0</v>
      </c>
      <c r="BD73" s="876">
        <f>(M73*verz_die_bestel_middel)+(N73*verz_benz_bestel_middel)+(O73*verz_CNG_bestel_middel)+(P73*verz_BEV_bestel_middel)+(Q73*verz_FCEV_bestel_middel)</f>
        <v>0</v>
      </c>
      <c r="BE73" s="877">
        <f>IF($L73=0,0,(BD73*12*looptijd)/($E73*looptijd*$L73))</f>
        <v>0</v>
      </c>
      <c r="BF73" s="878">
        <f>(input_MRB_die_bestel_middel*M73)+(input_MRB_benz_bestel_middel*N73)+(input_MRB_CNG_bestel_middel*O73)+(input_MRB_BEV_bestel_middel*P73)+(input_MRB_FCEV_bestel_middel*Q73)</f>
        <v>0</v>
      </c>
      <c r="BG73" s="877">
        <f>IF($L73=0,0,BF73/($E73*looptijd*$L73))</f>
        <v>0</v>
      </c>
      <c r="BH73" s="878">
        <f>($E73*M73*(gem_verbr_die_bestel_middel/100)*prijs_die)+($E73*N73*(gem_verbr_benz_bestel_middel/100)*prijs_benz)+($E73*O73*(gem_verbr_CNG_bestel_middel/100)*prijs_CNG)+($E73*P73*(gem_verbr_BEV_bestel_middel/100)*prijs_elek_berekening)+($E73*Q73*(gem_verbr_FCEV_bestel_middel_Elek/100)*prijs_elek_berekening*(100%-_verh_H2_accu_bestel_middel))+($E73*Q73*(gem_verbr_FCEV_bestel_middel_H2/100)*prijs_H2*(_verh_H2_accu_bestel_middel))</f>
        <v>0</v>
      </c>
      <c r="BI73" s="877">
        <f>IF($L73=0,0,(BH73*looptijd)/(looptijd*$E73*$L73))</f>
        <v>0</v>
      </c>
      <c r="BJ73" s="885"/>
      <c r="BK73" s="878">
        <f>Rest_perc_ZE*(AD73+AF73)</f>
        <v>0</v>
      </c>
      <c r="BL73" s="878">
        <f>Rest_perc_ZE*(AD73+AF73+AH73)</f>
        <v>0</v>
      </c>
      <c r="BM73" s="885"/>
      <c r="BN73" s="878">
        <f>($E73*M73*Onderh_die_bestel_middel_hoog_km)+($E73*N73*Onderh_benz_bestel_middel_hoog_km)+($E73*O73*Onderh_CNG_bestel_middel_hoog_km)+($E73*P73*Onderh_BEV_bestel_middel_hoog_km)+($E73*Q73*Onderh_FCEV_bestel_middel_hoog_km)</f>
        <v>0</v>
      </c>
      <c r="BO73" s="877">
        <f>IF($L73=0,0,(BN73*looptijd)/(looptijd*$E73*$L73))</f>
        <v>0</v>
      </c>
      <c r="BP73" s="878"/>
      <c r="BQ73" s="878">
        <f>IF(BTW_verrekening="Ja",((AD73+AF73-AJ73)-BK73)/(looptijd*12),((AD73+AF73+AH73-AJ73)-BL73)/(looptijd*12))</f>
        <v>0</v>
      </c>
      <c r="BR73" s="877">
        <f>IF($G73=0,0,(BQ73*12*looptijd)/(looptijd*$E73*$G73))</f>
        <v>0</v>
      </c>
      <c r="BS73" s="885"/>
      <c r="BT73" s="883">
        <f>(_schadekosten_per_km*E73*L73)/12</f>
        <v>0</v>
      </c>
      <c r="BU73" s="884">
        <f>IF($L73=0,0,(BT73*12*looptijd)/($E73*$L73*looptijd))</f>
        <v>0</v>
      </c>
      <c r="BV73" s="881"/>
      <c r="BW73" s="886">
        <f>(Efac_die_TTW*(gem_verbr_die_bestel_middel/100)*$E73*H73)+(Efac_benz_TTW*(gem_verbr_benz_bestel_middel/100)*$E73*I73)+(Efac_CNG_berekening_TTW*(gem_verbr_CNG_bestel_middel/100)*$E73*J73)</f>
        <v>0</v>
      </c>
      <c r="BX73" s="887">
        <f>(Efac_die_WTW*(gem_verbr_die_bestel_middel/100)*$E73*H73)+(Efac_benz_WTW*(gem_verbr_benz_bestel_middel/100)*$E73*I73)+(Efac_CNG_berekening_WTW*(gem_verbr_CNG_bestel_middel/100)*$E73*J73)</f>
        <v>0</v>
      </c>
      <c r="BY73" s="888">
        <f>IF($G73=0,0,(BX73*looptijd)/($E73*$G73*looptijd))</f>
        <v>0</v>
      </c>
      <c r="BZ73" s="889"/>
      <c r="CA73" s="886">
        <f>(Efac_die_TTW*(gem_verbr_die_bestel_middel/100)*$E73*M73)+(Efac_benz_TTW*(gem_verbr_benz_bestel_middel/100)*$E73*N73)+(Efac_CNG_berekening_TTW*(gem_verbr_CNG_bestel_middel/100)*$E73*O73)+(Efac_elek_berekening_TTW*(gem_verbr_BEV_bestel_middel/100)*$E73*P73)+(Efac_elek_berekening_TTW*(gem_verbr_FCEV_bestel_middel_Elek/100)*(100%-_verh_H2_accu_bestel_middel)*Q73)+(Efac_H2_berekening_TTW*(gem_verbr_FCEV_bestel_middel_H2/100)*(_verh_H2_accu_bestel_middel)*Q73)</f>
        <v>0</v>
      </c>
      <c r="CB73" s="887">
        <f>(Efac_die_WTW*(gem_verbr_die_bestel_middel/100)*$E73*M73)+(Efac_benz_WTW*(gem_verbr_benz_bestel_middel/100)*$E73*N73)+(Efac_CNG_berekening_WTW*(gem_verbr_CNG_bestel_middel/100)*$E73*O73)+(Efac_elek_berekening_WTW*(gem_verbr_BEV_bestel_middel/100)*$E73*P73)+(Efac_elek_berekening_WTW*(gem_verbr_FCEV_bestel_middel_Elek/100)*(100%-_verh_H2_accu_bestel_middel)*Q73)+(Efac_H2_berekening_WTW*(gem_verbr_FCEV_bestel_middel_H2/100)*(_verh_H2_accu_bestel_middel)*Q73)</f>
        <v>0</v>
      </c>
      <c r="CC73" s="888">
        <f>IF($L73=0,0,(CB73*looptijd)/($L73*$E73*looptijd))</f>
        <v>0</v>
      </c>
    </row>
    <row r="74" spans="1:81">
      <c r="A74" s="891"/>
      <c r="B74" s="867"/>
      <c r="C74" s="868"/>
      <c r="D74" s="868"/>
      <c r="E74" s="872"/>
      <c r="F74" s="873"/>
      <c r="G74" s="870"/>
      <c r="H74" s="868"/>
      <c r="I74" s="868"/>
      <c r="J74" s="872"/>
      <c r="K74" s="873"/>
      <c r="L74" s="870"/>
      <c r="M74" s="868"/>
      <c r="N74" s="868"/>
      <c r="O74" s="868"/>
      <c r="P74" s="868"/>
      <c r="Q74" s="872"/>
      <c r="S74" s="875"/>
      <c r="U74" s="876"/>
      <c r="V74" s="877"/>
      <c r="W74" s="878"/>
      <c r="X74" s="877"/>
      <c r="Y74" s="879"/>
      <c r="Z74" s="879"/>
      <c r="AA74" s="879"/>
      <c r="AB74" s="880"/>
      <c r="AD74" s="876"/>
      <c r="AE74" s="877"/>
      <c r="AF74" s="878"/>
      <c r="AG74" s="878"/>
      <c r="AH74" s="878"/>
      <c r="AI74" s="878"/>
      <c r="AJ74" s="878"/>
      <c r="AK74" s="882"/>
      <c r="AL74" s="881"/>
      <c r="AM74" s="880"/>
      <c r="AO74" s="876"/>
      <c r="AP74" s="877"/>
      <c r="AQ74" s="878"/>
      <c r="AR74" s="877"/>
      <c r="AS74" s="878"/>
      <c r="AT74" s="877"/>
      <c r="AU74" s="878"/>
      <c r="AV74" s="877"/>
      <c r="AW74" s="878"/>
      <c r="AX74" s="881"/>
      <c r="AY74" s="878"/>
      <c r="AZ74" s="877"/>
      <c r="BA74" s="883"/>
      <c r="BB74" s="884"/>
      <c r="BD74" s="876"/>
      <c r="BE74" s="877"/>
      <c r="BF74" s="878"/>
      <c r="BG74" s="877"/>
      <c r="BH74" s="878"/>
      <c r="BI74" s="877"/>
      <c r="BJ74" s="885"/>
      <c r="BK74" s="878"/>
      <c r="BL74" s="878"/>
      <c r="BM74" s="885"/>
      <c r="BN74" s="878"/>
      <c r="BO74" s="877"/>
      <c r="BP74" s="878"/>
      <c r="BQ74" s="878"/>
      <c r="BR74" s="877"/>
      <c r="BS74" s="885"/>
      <c r="BT74" s="883"/>
      <c r="BU74" s="884"/>
      <c r="BV74" s="881"/>
      <c r="BW74" s="886"/>
      <c r="BX74" s="887"/>
      <c r="BY74" s="888"/>
      <c r="BZ74" s="889"/>
      <c r="CA74" s="886"/>
      <c r="CB74" s="887"/>
      <c r="CC74" s="888"/>
    </row>
    <row r="75" spans="1:81">
      <c r="A75" s="891"/>
      <c r="B75" s="894" t="s">
        <v>120</v>
      </c>
      <c r="C75" s="868" t="s">
        <v>748</v>
      </c>
      <c r="D75" s="868"/>
      <c r="E75" s="869">
        <f>$E$3</f>
        <v>10000</v>
      </c>
      <c r="F75" s="873"/>
      <c r="G75" s="870">
        <f t="shared" si="7"/>
        <v>0</v>
      </c>
      <c r="H75" s="868">
        <f t="array" ref="H75:H79">TRANSPOSE('1a. Invoer - BESTAAND'!J17:N17)</f>
        <v>0</v>
      </c>
      <c r="I75" s="871">
        <v>0</v>
      </c>
      <c r="J75" s="872">
        <f t="array" ref="J75:J79">TRANSPOSE('1a. Invoer - BESTAAND'!E46:I46)</f>
        <v>0</v>
      </c>
      <c r="K75" s="873"/>
      <c r="L75" s="870">
        <f t="shared" si="8"/>
        <v>0</v>
      </c>
      <c r="M75" s="868">
        <v>0</v>
      </c>
      <c r="N75" s="868">
        <v>0</v>
      </c>
      <c r="O75" s="868">
        <v>0</v>
      </c>
      <c r="P75" s="868">
        <f t="array" ref="P75:P79">TRANSPOSE('1b. Invoer - NIEUW'!E19:I19)</f>
        <v>0</v>
      </c>
      <c r="Q75" s="872">
        <f t="array" ref="Q75:Q79">TRANSPOSE('1b. Invoer - NIEUW'!J19:N19)</f>
        <v>0</v>
      </c>
      <c r="S75" s="875">
        <f>(L75*E75*looptijd)</f>
        <v>0</v>
      </c>
      <c r="U75" s="876">
        <f>(Netto_cat_die_bestel_groot*H75)+(Netto_cat_benz_bestel_groot*I75)+(Netto_cat_CNG_bestel_groot*J75)</f>
        <v>0</v>
      </c>
      <c r="V75" s="877">
        <f>IF($G75=0,0,U75/($E75*$G75*looptijd))</f>
        <v>0</v>
      </c>
      <c r="W75" s="878">
        <f>IF(BPM_belasting="ja",(BPM_die_bestel_groot*H75)+(BPM_benz_bestel_groot*I75)+(BPM_CNG_bestel_groot*J75),0)</f>
        <v>0</v>
      </c>
      <c r="X75" s="877">
        <f>IF($G75=0,0,W75/($E75*looptijd*$G75))</f>
        <v>0</v>
      </c>
      <c r="Y75" s="879">
        <f>BTW*U75</f>
        <v>0</v>
      </c>
      <c r="Z75" s="879">
        <f t="shared" si="6"/>
        <v>0</v>
      </c>
      <c r="AA75" s="879">
        <f>IF(BTW_verrekening="ja",((U75+W75-AW75))/2*Rente_financiering,((U75+W75+Y75-AW75)/2)*Rente_financiering)</f>
        <v>0</v>
      </c>
      <c r="AB75" s="880">
        <f>IF(G75=0,0,AA75*looptijd/($E75*looptijd*$G75))</f>
        <v>0</v>
      </c>
      <c r="AD75" s="876">
        <f>(Netto_cat_die_bestel_groot*M75)+(Netto_cat_benz_bestel_groot*N75)+(Netto_cat_CNG_bestel_groot*O75)+(Netto_cat_BEV_bestel_groot*P75)+(Netto_cat_FCEV_bestel_groot*Q75)</f>
        <v>0</v>
      </c>
      <c r="AE75" s="877">
        <f>IF($L75=0,0,AD75/($E75*$L75*looptijd))</f>
        <v>0</v>
      </c>
      <c r="AF75" s="878">
        <f>IF(BPM_belasting="ja",(BPM_benz_A*N75)+(BPM_CNG_A*O75)+(P75*BPM_BEV)+(Q75*BPM_FCEV),0)</f>
        <v>0</v>
      </c>
      <c r="AG75" s="878">
        <f>IF($L75=0,0,AF75/($E75*looptijd*$L75))</f>
        <v>0</v>
      </c>
      <c r="AH75" s="878">
        <f>BTW*AD75</f>
        <v>0</v>
      </c>
      <c r="AI75" s="878">
        <f>SUM(AD75:AH75)</f>
        <v>0</v>
      </c>
      <c r="AJ75" s="878">
        <f>IF('2. Invoer parameters'!$C$10="ja",MIA_BEV_bestel_groot*P75,0)</f>
        <v>0</v>
      </c>
      <c r="AK75" s="882">
        <f>IF($L75=0,0,AJ75/($E75*looptijd*$L75))</f>
        <v>0</v>
      </c>
      <c r="AL75" s="881">
        <f>IF(BPM_belasting="nee",(((AD75-AJ75)-BK75)/2)*Rente_financiering,(((AD75-AJ75+AF75)-BL75)/2)*Rente_financiering)</f>
        <v>0</v>
      </c>
      <c r="AM75" s="880">
        <f>IF($L75=0,0,AL75*looptijd/($E75*looptijd*$L75))</f>
        <v>0</v>
      </c>
      <c r="AO75" s="876">
        <f>(H75*verz_die_bestel_groot)+(I75*verz_benz_bestel_groot)+(J75*verz_CNG_bestel_groot)</f>
        <v>0</v>
      </c>
      <c r="AP75" s="877">
        <f>IF($G75=0,0,(AO75*12*looptijd)/($E75*looptijd*$G75))</f>
        <v>0</v>
      </c>
      <c r="AQ75" s="878">
        <f>(input_MRB_die_bestel_groot*$H75)+(input_MRB_benz_bestel_groot*$I75)+(input_MRB_CNG_bestel_groot*J75)</f>
        <v>0</v>
      </c>
      <c r="AR75" s="877">
        <f>IF($G75=0,0,AQ75/($E75*looptijd*$G75))</f>
        <v>0</v>
      </c>
      <c r="AS75" s="878">
        <f>($E75*H75*(gem_verbr_die_bestel_groot/100)*prijs_die)+($E75*I75*(gem_verbr_benz_bestel_groot/100)*prijs_benz)+($E75*J75*(gem_verbr_CNG_bestel_groot/100)*prijs_CNG)</f>
        <v>0</v>
      </c>
      <c r="AT75" s="877">
        <f>IF($G75=0,0,(AS75*looptijd)/(looptijd*$E75*$G75))</f>
        <v>0</v>
      </c>
      <c r="AU75" s="878">
        <f>($E75*H75*Onderh_die_bestel_groot_hoog_km)+($E75*I75*Onderh_benz_bestel_groot_hoog_km)+($E75*J75*Onderh_CNG_bestel_groot_hoog_km)</f>
        <v>0</v>
      </c>
      <c r="AV75" s="877">
        <f>IF($G75=0,0,(AU75*looptijd)/(looptijd*$E75*$G75))</f>
        <v>0</v>
      </c>
      <c r="AW75" s="878">
        <f>Rest_perc*SUM(U75:W75)</f>
        <v>0</v>
      </c>
      <c r="AX75" s="881">
        <f>Rest_perc*SUM(U75:Y75)</f>
        <v>0</v>
      </c>
      <c r="AY75" s="878">
        <f>IF(BTW_verrekening="Ja",((U75+W75)-AW75)/(looptijd*12),((U75+W75+Y75)-AX75)/(looptijd*12))</f>
        <v>0</v>
      </c>
      <c r="AZ75" s="877">
        <f>IF($G75=0,0,(AY75*12*looptijd)/(looptijd*$E75*$G75))</f>
        <v>0</v>
      </c>
      <c r="BA75" s="883">
        <f>(_schadekosten_per_km*E75*G75)/12</f>
        <v>0</v>
      </c>
      <c r="BB75" s="884">
        <f>IF($G75=0,0,(BA75*12*looptijd)/($E75*$G75*looptijd))</f>
        <v>0</v>
      </c>
      <c r="BD75" s="876">
        <f>(M75*verz_die_bestel_groot)+(N75*verz_benz_bestel_groot)+(O75*verz_CNG_bestel_groot)+(P75*verz_BEV_bestel_groot)+(Q75*verz_FCEV_bestel_groot)</f>
        <v>0</v>
      </c>
      <c r="BE75" s="877">
        <f>IF($L75=0,0,(BD75*12*looptijd)/($E75*looptijd*$L75))</f>
        <v>0</v>
      </c>
      <c r="BF75" s="878">
        <f>(input_MRB_die_bestel_groot*M75)+(input_MRB_benz_bestel_groot*N75)+(input_MRB_CNG_bestel_groot*O75)+(input_MRB_BEV_bestel_middel*P75)+(input_MRB_FCEV_bestel_middel*Q75)</f>
        <v>0</v>
      </c>
      <c r="BG75" s="877">
        <f>IF($L75=0,0,BF75/($E75*looptijd*$L75))</f>
        <v>0</v>
      </c>
      <c r="BH75" s="896">
        <f>($E75*M75*(gem_verbr_die_bestel_groot/100)*prijs_die)+($E75*N75*(gem_verbr_benz_bestel_groot/100)*prijs_benz)+($E75*O75*(gem_verbr_CNG_bestel_groot/100)*prijs_CNG)+($E75*P75*(gem_verbr_BEV_bestel_groot/100)*prijs_elek_berekening)+($E75*Q75*(gem_verbr_FCEV_bestel_groot_Elek/100)*prijs_elek_berekening*(100%-_verh_H2_accu_bestel_groot))+($E75*Q75*(gem_verbr_FCEV_bestel_groot_H2/100)*prijs_H2*(_verh_H2_accu_bestel_groot))</f>
        <v>0</v>
      </c>
      <c r="BI75" s="877">
        <f>IF($L75=0,0,(BH75*looptijd)/(looptijd*$E75*$L75))</f>
        <v>0</v>
      </c>
      <c r="BJ75" s="885"/>
      <c r="BK75" s="878">
        <f>Rest_perc_ZE*(AD75+AF75)</f>
        <v>0</v>
      </c>
      <c r="BL75" s="878">
        <f>Rest_perc_ZE*(AD75+AF75+AH75)</f>
        <v>0</v>
      </c>
      <c r="BM75" s="885"/>
      <c r="BN75" s="878">
        <f>($E75*M75*Onderh_die_bestel_groot)+($E75*N75*Onderh_benz_bestel_groot)+($E75*O75*Onderh_CNG_bestel_groot)+($E75*P75*Onderh_BEV_bestel_groot)+($E75*Q75*Onderh_FCEV_bestel_groot)</f>
        <v>0</v>
      </c>
      <c r="BO75" s="877">
        <f>IF($L75=0,0,(BN75*looptijd)/(looptijd*$E75*$L75))</f>
        <v>0</v>
      </c>
      <c r="BP75" s="878"/>
      <c r="BQ75" s="878">
        <f>IF(BTW_verrekening="Ja",((AD75+AF75-AJ75)-BK75)/(looptijd*12),((AD75+AF75+AH75-AJ75)-BL75)/(looptijd*12))</f>
        <v>0</v>
      </c>
      <c r="BR75" s="877">
        <f>IF($G75=0,0,(BQ75*12*looptijd)/(looptijd*$E75*$G75))</f>
        <v>0</v>
      </c>
      <c r="BS75" s="885"/>
      <c r="BT75" s="883">
        <f>(_schadekosten_per_km*E75*L75)/12</f>
        <v>0</v>
      </c>
      <c r="BU75" s="884">
        <f>IF($L75=0,0,(BT75*12*looptijd)/($E75*$L75*looptijd))</f>
        <v>0</v>
      </c>
      <c r="BV75" s="881"/>
      <c r="BW75" s="886">
        <f>(Efac_die_TTW*(gem_verbr_die_bestel_groot/100)*$E75*H75)+(Efac_benz_TTW*(gem_verbr_benz_bestel_groot/100)*$E75*I75)+(Efac_CNG_berekening_TTW*(gem_verbr_CNG_bestel_groot/100)*$E75*J75)</f>
        <v>0</v>
      </c>
      <c r="BX75" s="887">
        <f>(Efac_die_WTW*(gem_verbr_die_bestel_groot/100)*$E75*H75)+(Efac_benz_WTW*(gem_verbr_benz_bestel_groot/100)*$E75*I75)+(Efac_CNG_berekening_WTW*(gem_verbr_CNG_bestel_groot/100)*$E75*J75)</f>
        <v>0</v>
      </c>
      <c r="BY75" s="888">
        <f>IF($G75=0,0,(BX75*looptijd)/($E75*$G75*looptijd))</f>
        <v>0</v>
      </c>
      <c r="BZ75" s="889"/>
      <c r="CA75" s="886">
        <f>(Efac_die_TTW*(gem_verbr_die_bestel_groot/100)*$E75*M75)+(Efac_benz_TTW*(gem_verbr_benz_bestel_groot/100)*$E75*N75)+(Efac_CNG_berekening_TTW*(gem_verbr_CNG_bestel_groot/100)*$E75*O75)+(Efac_elek_berekening_TTW*(gem_verbr_BEV_bestel_groot/100)*$E75*P75)+(Efac_elek_berekening_TTW*(gem_verbr_FCEV_bestel_groot_Elek/100)*(100%-_verh_H2_accu_bestel_groot)*Q75)+(Efac_H2_berekening_TTW*(gem_verbr_FCEV_bestel_groot_H2/100)*(_verh_H2_accu_bestel_groot)*Q75)</f>
        <v>0</v>
      </c>
      <c r="CB75" s="887">
        <f>(Efac_die_WTW*(gem_verbr_die_bestel_groot/100)*$E75*M75)+(Efac_benz_WTW*(gem_verbr_benz_bestel_groot/100)*$E75*N75)+(Efac_CNG_berekening_WTW*(gem_verbr_CNG_bestel_groot/100)*$E75*O75)+(Efac_elek_berekening_WTW*(gem_verbr_BEV_bestel_groot/100)*$E75*P75)+(Efac_elek_berekening_WTW*(gem_verbr_FCEV_bestel_groot_Elek/100)*(100%-_verh_H2_accu_bestel_groot)*Q75)+(Efac_H2_berekening_WTW*(gem_verbr_FCEV_bestel_groot_H2/100)*(_verh_H2_accu_bestel_groot)*Q75)</f>
        <v>0</v>
      </c>
      <c r="CC75" s="888">
        <f>IF($L75=0,0,(CB75*looptijd)/($L75*$E75*looptijd))</f>
        <v>0</v>
      </c>
    </row>
    <row r="76" spans="1:81">
      <c r="A76" s="891"/>
      <c r="B76" s="894" t="s">
        <v>120</v>
      </c>
      <c r="C76" s="868" t="s">
        <v>749</v>
      </c>
      <c r="D76" s="868"/>
      <c r="E76" s="869">
        <f>$E$4</f>
        <v>15000</v>
      </c>
      <c r="F76" s="873"/>
      <c r="G76" s="870">
        <f>SUM(H76:J76)</f>
        <v>0</v>
      </c>
      <c r="H76" s="868">
        <v>0</v>
      </c>
      <c r="I76" s="871">
        <v>0</v>
      </c>
      <c r="J76" s="872">
        <v>0</v>
      </c>
      <c r="K76" s="873"/>
      <c r="L76" s="870">
        <f t="shared" si="8"/>
        <v>0</v>
      </c>
      <c r="M76" s="868">
        <v>0</v>
      </c>
      <c r="N76" s="868">
        <v>0</v>
      </c>
      <c r="O76" s="868">
        <v>0</v>
      </c>
      <c r="P76" s="868">
        <v>0</v>
      </c>
      <c r="Q76" s="872">
        <v>0</v>
      </c>
      <c r="S76" s="875">
        <f>(L76*E76*looptijd)</f>
        <v>0</v>
      </c>
      <c r="U76" s="876">
        <f>(Netto_cat_die_bestel_groot*H76)+(Netto_cat_benz_bestel_groot*I76)+(Netto_cat_CNG_bestel_groot*J76)</f>
        <v>0</v>
      </c>
      <c r="V76" s="877">
        <f>IF($G76=0,0,U76/($E76*$G76*looptijd))</f>
        <v>0</v>
      </c>
      <c r="W76" s="878">
        <f>IF(BPM_belasting="ja",(BPM_die_bestel_groot*H76)+(BPM_benz_bestel_groot*I76)+(BPM_CNG_bestel_groot*J76),0)</f>
        <v>0</v>
      </c>
      <c r="X76" s="877">
        <f>IF($G76=0,0,W76/($E76*looptijd*$G76))</f>
        <v>0</v>
      </c>
      <c r="Y76" s="879">
        <f>BTW*U76</f>
        <v>0</v>
      </c>
      <c r="Z76" s="879">
        <f t="shared" si="6"/>
        <v>0</v>
      </c>
      <c r="AA76" s="879">
        <f>IF(BTW_verrekening="ja",((U76+W76-AW76))/2*Rente_financiering,((U76+W76+Y76-AW76)/2)*Rente_financiering)</f>
        <v>0</v>
      </c>
      <c r="AB76" s="880">
        <f>IF(G76=0,0,AA76*looptijd/($E76*looptijd*$G76))</f>
        <v>0</v>
      </c>
      <c r="AD76" s="876">
        <f>(Netto_cat_die_bestel_groot*M76)+(Netto_cat_benz_bestel_groot*N76)+(Netto_cat_CNG_bestel_groot*O76)+(Netto_cat_BEV_bestel_groot*P76)+(Netto_cat_FCEV_bestel_groot*Q76)</f>
        <v>0</v>
      </c>
      <c r="AE76" s="877">
        <f>IF($L76=0,0,AD76/($E76*$L76*looptijd))</f>
        <v>0</v>
      </c>
      <c r="AF76" s="878">
        <f>IF(BPM_belasting="ja",(BPM_benz_A*N76)+(BPM_CNG_A*O76)+(P76*BPM_BEV)+(Q76*BPM_FCEV),0)</f>
        <v>0</v>
      </c>
      <c r="AG76" s="878">
        <f>IF($L76=0,0,AF76/($E76*looptijd*$L76))</f>
        <v>0</v>
      </c>
      <c r="AH76" s="878">
        <f>BTW*AD76</f>
        <v>0</v>
      </c>
      <c r="AI76" s="878">
        <f>SUM(AD76:AH76)</f>
        <v>0</v>
      </c>
      <c r="AJ76" s="878">
        <f>IF('2. Invoer parameters'!$C$10="ja",MIA_BEV_bestel_groot*P76,0)</f>
        <v>0</v>
      </c>
      <c r="AK76" s="882">
        <f>IF($L76=0,0,AJ76/($E76*looptijd*$L76))</f>
        <v>0</v>
      </c>
      <c r="AL76" s="881">
        <f>IF(BPM_belasting="nee",(((AD76-AJ76)-BK76)/2)*Rente_financiering,(((AD76-AJ76+AF76)-BL76)/2)*Rente_financiering)</f>
        <v>0</v>
      </c>
      <c r="AM76" s="880">
        <f>IF($L76=0,0,AL76*looptijd/($E76*looptijd*$L76))</f>
        <v>0</v>
      </c>
      <c r="AO76" s="876">
        <f>(H76*verz_die_bestel_groot)+(I76*verz_benz_bestel_groot)+(J76*verz_CNG_bestel_groot)</f>
        <v>0</v>
      </c>
      <c r="AP76" s="877">
        <f>IF($G76=0,0,(AO76*12*looptijd)/($E76*looptijd*$G76))</f>
        <v>0</v>
      </c>
      <c r="AQ76" s="878">
        <f>(input_MRB_die_bestel_groot*$H76)+(input_MRB_benz_bestel_groot*$I76)+(input_MRB_CNG_bestel_groot*J76)</f>
        <v>0</v>
      </c>
      <c r="AR76" s="877">
        <f>IF($G76=0,0,AQ76/($E76*looptijd*$G76))</f>
        <v>0</v>
      </c>
      <c r="AS76" s="878">
        <f>($E76*H76*(gem_verbr_die_bestel_groot/100)*prijs_die)+($E76*I76*(gem_verbr_benz_bestel_groot/100)*prijs_benz)+($E76*J76*(gem_verbr_CNG_bestel_groot/100)*prijs_CNG)</f>
        <v>0</v>
      </c>
      <c r="AT76" s="877">
        <f>IF($G76=0,0,(AS76*looptijd)/(looptijd*$E76*$G76))</f>
        <v>0</v>
      </c>
      <c r="AU76" s="878">
        <f>($E76*H76*Onderh_die_bestel_groot_hoog_km)+($E76*I76*Onderh_benz_bestel_groot_hoog_km)+($E76*J76*Onderh_CNG_bestel_groot_hoog_km)</f>
        <v>0</v>
      </c>
      <c r="AV76" s="877">
        <f>IF($G76=0,0,(AU76*looptijd)/(looptijd*$E76*$G76))</f>
        <v>0</v>
      </c>
      <c r="AW76" s="878">
        <f>Rest_perc*SUM(U76:W76)</f>
        <v>0</v>
      </c>
      <c r="AX76" s="881">
        <f>Rest_perc*SUM(U76:Y76)</f>
        <v>0</v>
      </c>
      <c r="AY76" s="878">
        <f>IF(BTW_verrekening="Ja",((U76+W76)-AW76)/(looptijd*12),((U76+W76+Y76)-AX76)/(looptijd*12))</f>
        <v>0</v>
      </c>
      <c r="AZ76" s="877">
        <f>IF($G76=0,0,(AY76*12*looptijd)/(looptijd*$E76*$G76))</f>
        <v>0</v>
      </c>
      <c r="BA76" s="883">
        <f>(_schadekosten_per_km*E76*G76)/12</f>
        <v>0</v>
      </c>
      <c r="BB76" s="884">
        <f>IF($G76=0,0,(BA76*12*looptijd)/($E76*$G76*looptijd))</f>
        <v>0</v>
      </c>
      <c r="BD76" s="876">
        <f>(M76*verz_die_bestel_groot)+(N76*verz_benz_bestel_groot)+(O76*verz_CNG_bestel_groot)+(P76*verz_BEV_bestel_groot)+(Q76*verz_FCEV_bestel_groot)</f>
        <v>0</v>
      </c>
      <c r="BE76" s="877">
        <f>IF($L76=0,0,(BD76*12*looptijd)/($E76*looptijd*$L76))</f>
        <v>0</v>
      </c>
      <c r="BF76" s="878">
        <f>(input_MRB_die_bestel_groot*M76)+(input_MRB_benz_bestel_groot*N76)+(input_MRB_CNG_bestel_groot*O76)+(input_MRB_BEV_bestel_middel*P76)+(input_MRB_FCEV_bestel_middel*Q76)</f>
        <v>0</v>
      </c>
      <c r="BG76" s="877">
        <f>IF($L76=0,0,BF76/($E76*looptijd*$L76))</f>
        <v>0</v>
      </c>
      <c r="BH76" s="896">
        <f>($E76*M76*(gem_verbr_die_bestel_groot/100)*prijs_die)+($E76*N76*(gem_verbr_benz_bestel_groot/100)*prijs_benz)+($E76*O76*(gem_verbr_CNG_bestel_groot/100)*prijs_CNG)+($E76*P76*(gem_verbr_BEV_bestel_groot/100)*prijs_elek_berekening)+($E76*Q76*(gem_verbr_FCEV_bestel_groot_Elek/100)*prijs_elek_berekening*(100%-_verh_H2_accu_bestel_groot))+($E76*Q76*(gem_verbr_FCEV_bestel_groot_H2/100)*prijs_H2*(_verh_H2_accu_bestel_groot))</f>
        <v>0</v>
      </c>
      <c r="BI76" s="877">
        <f>IF($L76=0,0,(BH76*looptijd)/(looptijd*$E76*$L76))</f>
        <v>0</v>
      </c>
      <c r="BJ76" s="885"/>
      <c r="BK76" s="878">
        <f>Rest_perc_ZE*(AD76+AF76)</f>
        <v>0</v>
      </c>
      <c r="BL76" s="878">
        <f>Rest_perc_ZE*(AD76+AF76+AH76)</f>
        <v>0</v>
      </c>
      <c r="BM76" s="885"/>
      <c r="BN76" s="878">
        <f>($E76*M76*Onderh_die_bestel_groot)+($E76*N76*Onderh_benz_bestel_groot)+($E76*O76*Onderh_CNG_bestel_groot)+($E76*P76*Onderh_BEV_bestel_groot)+($E76*Q76*Onderh_FCEV_bestel_groot)</f>
        <v>0</v>
      </c>
      <c r="BO76" s="877">
        <f>IF($L76=0,0,(BN76*looptijd)/(looptijd*$E76*$L76))</f>
        <v>0</v>
      </c>
      <c r="BP76" s="878"/>
      <c r="BQ76" s="878">
        <f>IF(BTW_verrekening="Ja",((AD76+AF76-AJ76)-BK76)/(looptijd*12),((AD76+AF76+AH76-AJ76)-BL76)/(looptijd*12))</f>
        <v>0</v>
      </c>
      <c r="BR76" s="877">
        <f>IF($G76=0,0,(BQ76*12*looptijd)/(looptijd*$E76*$G76))</f>
        <v>0</v>
      </c>
      <c r="BS76" s="885"/>
      <c r="BT76" s="883">
        <f>(_schadekosten_per_km*E76*L76)/12</f>
        <v>0</v>
      </c>
      <c r="BU76" s="884">
        <f>IF($L76=0,0,(BT76*12*looptijd)/($E76*$L76*looptijd))</f>
        <v>0</v>
      </c>
      <c r="BV76" s="881"/>
      <c r="BW76" s="886">
        <f>(Efac_die_TTW*(gem_verbr_die_bestel_groot/100)*$E76*H76)+(Efac_benz_TTW*(gem_verbr_benz_bestel_groot/100)*$E76*I76)+(Efac_CNG_berekening_TTW*(gem_verbr_CNG_bestel_groot/100)*$E76*J76)</f>
        <v>0</v>
      </c>
      <c r="BX76" s="887">
        <f>(Efac_die_WTW*(gem_verbr_die_bestel_groot/100)*$E76*H76)+(Efac_benz_WTW*(gem_verbr_benz_bestel_groot/100)*$E76*I76)+(Efac_CNG_berekening_WTW*(gem_verbr_CNG_bestel_groot/100)*$E76*J76)</f>
        <v>0</v>
      </c>
      <c r="BY76" s="888">
        <f>IF($G76=0,0,(BX76*looptijd)/($E76*$G76*looptijd))</f>
        <v>0</v>
      </c>
      <c r="BZ76" s="889"/>
      <c r="CA76" s="886">
        <f>(Efac_die_TTW*(gem_verbr_die_bestel_groot/100)*$E76*M76)+(Efac_benz_TTW*(gem_verbr_benz_bestel_groot/100)*$E76*N76)+(Efac_CNG_berekening_TTW*(gem_verbr_CNG_bestel_groot/100)*$E76*O76)+(Efac_elek_berekening_TTW*(gem_verbr_BEV_bestel_groot/100)*$E76*P76)+(Efac_elek_berekening_TTW*(gem_verbr_FCEV_bestel_groot_Elek/100)*(100%-_verh_H2_accu_bestel_groot)*Q76)+(Efac_H2_berekening_TTW*(gem_verbr_FCEV_bestel_groot_H2/100)*(_verh_H2_accu_bestel_groot)*Q76)</f>
        <v>0</v>
      </c>
      <c r="CB76" s="887">
        <f>(Efac_die_WTW*(gem_verbr_die_bestel_groot/100)*$E76*M76)+(Efac_benz_WTW*(gem_verbr_benz_bestel_groot/100)*$E76*N76)+(Efac_CNG_berekening_WTW*(gem_verbr_CNG_bestel_groot/100)*$E76*O76)+(Efac_elek_berekening_WTW*(gem_verbr_BEV_bestel_groot/100)*$E76*P76)+(Efac_elek_berekening_WTW*(gem_verbr_FCEV_bestel_groot_Elek/100)*(100%-_verh_H2_accu_bestel_groot)*Q76)+(Efac_H2_berekening_WTW*(gem_verbr_FCEV_bestel_groot_H2/100)*(_verh_H2_accu_bestel_groot)*Q76)</f>
        <v>0</v>
      </c>
      <c r="CC76" s="888">
        <f>IF($L76=0,0,(CB76*looptijd)/($L76*$E76*looptijd))</f>
        <v>0</v>
      </c>
    </row>
    <row r="77" spans="1:81">
      <c r="A77" s="891"/>
      <c r="B77" s="894" t="s">
        <v>120</v>
      </c>
      <c r="C77" s="868" t="s">
        <v>750</v>
      </c>
      <c r="D77" s="868"/>
      <c r="E77" s="869">
        <f>$E$5</f>
        <v>25000</v>
      </c>
      <c r="F77" s="873"/>
      <c r="G77" s="870">
        <f t="shared" si="7"/>
        <v>0</v>
      </c>
      <c r="H77" s="868">
        <v>0</v>
      </c>
      <c r="I77" s="871">
        <v>0</v>
      </c>
      <c r="J77" s="872">
        <v>0</v>
      </c>
      <c r="K77" s="873"/>
      <c r="L77" s="870">
        <f t="shared" si="8"/>
        <v>0</v>
      </c>
      <c r="M77" s="868">
        <v>0</v>
      </c>
      <c r="N77" s="868">
        <v>0</v>
      </c>
      <c r="O77" s="868">
        <v>0</v>
      </c>
      <c r="P77" s="868">
        <v>0</v>
      </c>
      <c r="Q77" s="872">
        <v>0</v>
      </c>
      <c r="S77" s="875">
        <f>(L77*E77*looptijd)</f>
        <v>0</v>
      </c>
      <c r="U77" s="876">
        <f>(Netto_cat_die_bestel_groot*H77)+(Netto_cat_benz_bestel_groot*I77)+(Netto_cat_CNG_bestel_groot*J77)</f>
        <v>0</v>
      </c>
      <c r="V77" s="877">
        <f>IF($G77=0,0,U77/($E77*$G77*looptijd))</f>
        <v>0</v>
      </c>
      <c r="W77" s="878">
        <f>IF(BPM_belasting="ja",(BPM_die_bestel_groot*H77)+(BPM_benz_bestel_groot*I77)+(BPM_CNG_bestel_groot*J77),0)</f>
        <v>0</v>
      </c>
      <c r="X77" s="877">
        <f>IF($G77=0,0,W77/($E77*looptijd*$G77))</f>
        <v>0</v>
      </c>
      <c r="Y77" s="879">
        <f>BTW*U77</f>
        <v>0</v>
      </c>
      <c r="Z77" s="879">
        <f t="shared" si="6"/>
        <v>0</v>
      </c>
      <c r="AA77" s="879">
        <f>IF(BTW_verrekening="ja",((U77+W77-AW77))/2*Rente_financiering,((U77+W77+Y77-AW77)/2)*Rente_financiering)</f>
        <v>0</v>
      </c>
      <c r="AB77" s="880">
        <f>IF(G77=0,0,AA77*looptijd/($E77*looptijd*$G77))</f>
        <v>0</v>
      </c>
      <c r="AD77" s="876">
        <f>(Netto_cat_die_bestel_groot*M77)+(Netto_cat_benz_bestel_groot*N77)+(Netto_cat_CNG_bestel_groot*O77)+(Netto_cat_BEV_bestel_groot*P77)+(Netto_cat_FCEV_bestel_groot*Q77)</f>
        <v>0</v>
      </c>
      <c r="AE77" s="877">
        <f>IF($L77=0,0,AD77/($E77*$L77*looptijd))</f>
        <v>0</v>
      </c>
      <c r="AF77" s="878">
        <f>IF(BPM_belasting="ja",(BPM_benz_A*N77)+(BPM_CNG_A*O77)+(P77*BPM_BEV)+(Q77*BPM_FCEV),0)</f>
        <v>0</v>
      </c>
      <c r="AG77" s="878">
        <f>IF($L77=0,0,AF77/($E77*looptijd*$L77))</f>
        <v>0</v>
      </c>
      <c r="AH77" s="878">
        <f>BTW*AD77</f>
        <v>0</v>
      </c>
      <c r="AI77" s="878">
        <f>SUM(AD77:AH77)</f>
        <v>0</v>
      </c>
      <c r="AJ77" s="878">
        <f>IF('2. Invoer parameters'!$C$10="ja",MIA_BEV_bestel_groot*P77,0)</f>
        <v>0</v>
      </c>
      <c r="AK77" s="882">
        <f>IF($L77=0,0,AJ77/($E77*looptijd*$L77))</f>
        <v>0</v>
      </c>
      <c r="AL77" s="881">
        <f>IF(BPM_belasting="nee",(((AD77-AJ77)-BK77)/2)*Rente_financiering,(((AD77-AJ77+AF77)-BL77)/2)*Rente_financiering)</f>
        <v>0</v>
      </c>
      <c r="AM77" s="880">
        <f>IF($L77=0,0,AL77*looptijd/($E77*looptijd*$L77))</f>
        <v>0</v>
      </c>
      <c r="AO77" s="876">
        <f>(H77*verz_die_bestel_groot)+(I77*verz_benz_bestel_groot)+(J77*verz_CNG_bestel_groot)</f>
        <v>0</v>
      </c>
      <c r="AP77" s="877">
        <f>IF($G77=0,0,(AO77*12*looptijd)/($E77*looptijd*$G77))</f>
        <v>0</v>
      </c>
      <c r="AQ77" s="878">
        <f>(input_MRB_die_bestel_groot*$H77)+(input_MRB_benz_bestel_groot*$I77)+(input_MRB_CNG_bestel_groot*J77)</f>
        <v>0</v>
      </c>
      <c r="AR77" s="877">
        <f>IF($G77=0,0,AQ77/($E77*looptijd*$G77))</f>
        <v>0</v>
      </c>
      <c r="AS77" s="878">
        <f>($E77*H77*(gem_verbr_die_bestel_groot/100)*prijs_die)+($E77*I77*(gem_verbr_benz_bestel_groot/100)*prijs_benz)+($E77*J77*(gem_verbr_CNG_bestel_groot/100)*prijs_CNG)</f>
        <v>0</v>
      </c>
      <c r="AT77" s="877">
        <f>IF($G77=0,0,(AS77*looptijd)/(looptijd*$E77*$G77))</f>
        <v>0</v>
      </c>
      <c r="AU77" s="878">
        <f>($E77*H77*Onderh_die_bestel_groot_hoog_km)+($E77*I77*Onderh_benz_bestel_groot_hoog_km)+($E77*J77*Onderh_CNG_bestel_groot_hoog_km)</f>
        <v>0</v>
      </c>
      <c r="AV77" s="877">
        <f>IF($G77=0,0,(AU77*looptijd)/(looptijd*$E77*$G77))</f>
        <v>0</v>
      </c>
      <c r="AW77" s="878">
        <f>Rest_perc*SUM(U77:W77)</f>
        <v>0</v>
      </c>
      <c r="AX77" s="881">
        <f>Rest_perc*SUM(U77:Y77)</f>
        <v>0</v>
      </c>
      <c r="AY77" s="878">
        <f>IF(BTW_verrekening="Ja",((U77+W77)-AW77)/(looptijd*12),((U77+W77+Y77)-AX77)/(looptijd*12))</f>
        <v>0</v>
      </c>
      <c r="AZ77" s="877">
        <f>IF($G77=0,0,(AY77*12*looptijd)/(looptijd*$E77*$G77))</f>
        <v>0</v>
      </c>
      <c r="BA77" s="883">
        <f>(_schadekosten_per_km*E77*G77)/12</f>
        <v>0</v>
      </c>
      <c r="BB77" s="884">
        <f>IF($G77=0,0,(BA77*12*looptijd)/($E77*$G77*looptijd))</f>
        <v>0</v>
      </c>
      <c r="BD77" s="876">
        <f>(M77*verz_die_bestel_groot)+(N77*verz_benz_bestel_groot)+(O77*verz_CNG_bestel_groot)+(P77*verz_BEV_bestel_groot)+(Q77*verz_FCEV_bestel_groot)</f>
        <v>0</v>
      </c>
      <c r="BE77" s="877">
        <f>IF($L77=0,0,(BD77*12*looptijd)/($E77*looptijd*$L77))</f>
        <v>0</v>
      </c>
      <c r="BF77" s="878">
        <f>(input_MRB_die_bestel_groot*M77)+(input_MRB_benz_bestel_groot*N77)+(input_MRB_CNG_bestel_groot*O77)+(input_MRB_BEV_bestel_middel*P77)+(input_MRB_FCEV_bestel_middel*Q77)</f>
        <v>0</v>
      </c>
      <c r="BG77" s="877">
        <f>IF($L77=0,0,BF77/($E77*looptijd*$L77))</f>
        <v>0</v>
      </c>
      <c r="BH77" s="896">
        <f>($E77*M77*(gem_verbr_die_bestel_groot/100)*prijs_die)+($E77*N77*(gem_verbr_benz_bestel_groot/100)*prijs_benz)+($E77*O77*(gem_verbr_CNG_bestel_groot/100)*prijs_CNG)+($E77*P77*(gem_verbr_BEV_bestel_groot/100)*prijs_elek_berekening)+($E77*Q77*(gem_verbr_FCEV_bestel_groot_Elek/100)*prijs_elek_berekening*(100%-_verh_H2_accu_bestel_groot))+($E77*Q77*(gem_verbr_FCEV_bestel_groot_H2/100)*prijs_H2*(_verh_H2_accu_bestel_groot))</f>
        <v>0</v>
      </c>
      <c r="BI77" s="877">
        <f>IF($L77=0,0,(BH77*looptijd)/(looptijd*$E77*$L77))</f>
        <v>0</v>
      </c>
      <c r="BJ77" s="885"/>
      <c r="BK77" s="878">
        <f>Rest_perc_ZE*(AD77+AF77)</f>
        <v>0</v>
      </c>
      <c r="BL77" s="878">
        <f>Rest_perc_ZE*(AD77+AF77+AH77)</f>
        <v>0</v>
      </c>
      <c r="BM77" s="885"/>
      <c r="BN77" s="878">
        <f>($E77*M77*Onderh_die_bestel_groot)+($E77*N77*Onderh_benz_bestel_groot)+($E77*O77*Onderh_CNG_bestel_groot)+($E77*P77*Onderh_BEV_bestel_groot)+($E77*Q77*Onderh_FCEV_bestel_groot)</f>
        <v>0</v>
      </c>
      <c r="BO77" s="877">
        <f>IF($L77=0,0,(BN77*looptijd)/(looptijd*$E77*$L77))</f>
        <v>0</v>
      </c>
      <c r="BP77" s="878"/>
      <c r="BQ77" s="878">
        <f>IF(BTW_verrekening="Ja",((AD77+AF77-AJ77)-BK77)/(looptijd*12),((AD77+AF77+AH77-AJ77)-BL77)/(looptijd*12))</f>
        <v>0</v>
      </c>
      <c r="BR77" s="877">
        <f>IF($G77=0,0,(BQ77*12*looptijd)/(looptijd*$E77*$G77))</f>
        <v>0</v>
      </c>
      <c r="BS77" s="885"/>
      <c r="BT77" s="883">
        <f>(_schadekosten_per_km*E77*L77)/12</f>
        <v>0</v>
      </c>
      <c r="BU77" s="884">
        <f>IF($L77=0,0,(BT77*12*looptijd)/($E77*$L77*looptijd))</f>
        <v>0</v>
      </c>
      <c r="BV77" s="881"/>
      <c r="BW77" s="886">
        <f>(Efac_die_TTW*(gem_verbr_die_bestel_groot/100)*$E77*H77)+(Efac_benz_TTW*(gem_verbr_benz_bestel_groot/100)*$E77*I77)+(Efac_CNG_berekening_TTW*(gem_verbr_CNG_bestel_groot/100)*$E77*J77)</f>
        <v>0</v>
      </c>
      <c r="BX77" s="887">
        <f>(Efac_die_WTW*(gem_verbr_die_bestel_groot/100)*$E77*H77)+(Efac_benz_WTW*(gem_verbr_benz_bestel_groot/100)*$E77*I77)+(Efac_CNG_berekening_WTW*(gem_verbr_CNG_bestel_groot/100)*$E77*J77)</f>
        <v>0</v>
      </c>
      <c r="BY77" s="888">
        <f>IF($G77=0,0,(BX77*looptijd)/($E77*$G77*looptijd))</f>
        <v>0</v>
      </c>
      <c r="BZ77" s="889"/>
      <c r="CA77" s="886">
        <f>(Efac_die_TTW*(gem_verbr_die_bestel_groot/100)*$E77*M77)+(Efac_benz_TTW*(gem_verbr_benz_bestel_groot/100)*$E77*N77)+(Efac_CNG_berekening_TTW*(gem_verbr_CNG_bestel_groot/100)*$E77*O77)+(Efac_elek_berekening_TTW*(gem_verbr_BEV_bestel_groot/100)*$E77*P77)+(Efac_elek_berekening_TTW*(gem_verbr_FCEV_bestel_groot_Elek/100)*(100%-_verh_H2_accu_bestel_groot)*Q77)+(Efac_H2_berekening_TTW*(gem_verbr_FCEV_bestel_groot_H2/100)*(_verh_H2_accu_bestel_groot)*Q77)</f>
        <v>0</v>
      </c>
      <c r="CB77" s="887">
        <f>(Efac_die_WTW*(gem_verbr_die_bestel_groot/100)*$E77*M77)+(Efac_benz_WTW*(gem_verbr_benz_bestel_groot/100)*$E77*N77)+(Efac_CNG_berekening_WTW*(gem_verbr_CNG_bestel_groot/100)*$E77*O77)+(Efac_elek_berekening_WTW*(gem_verbr_BEV_bestel_groot/100)*$E77*P77)+(Efac_elek_berekening_WTW*(gem_verbr_FCEV_bestel_groot_Elek/100)*(100%-_verh_H2_accu_bestel_groot)*Q77)+(Efac_H2_berekening_WTW*(gem_verbr_FCEV_bestel_groot_H2/100)*(_verh_H2_accu_bestel_groot)*Q77)</f>
        <v>0</v>
      </c>
      <c r="CC77" s="888">
        <f>IF($L77=0,0,(CB77*looptijd)/($L77*$E77*looptijd))</f>
        <v>0</v>
      </c>
    </row>
    <row r="78" spans="1:81">
      <c r="A78" s="891"/>
      <c r="B78" s="894" t="s">
        <v>120</v>
      </c>
      <c r="C78" s="868" t="s">
        <v>752</v>
      </c>
      <c r="D78" s="868"/>
      <c r="E78" s="872">
        <v>50000</v>
      </c>
      <c r="F78" s="873"/>
      <c r="G78" s="870">
        <f t="shared" si="7"/>
        <v>0</v>
      </c>
      <c r="H78" s="868">
        <v>0</v>
      </c>
      <c r="I78" s="871">
        <v>0</v>
      </c>
      <c r="J78" s="872">
        <v>0</v>
      </c>
      <c r="K78" s="873"/>
      <c r="L78" s="870">
        <f t="shared" si="8"/>
        <v>0</v>
      </c>
      <c r="M78" s="868">
        <v>0</v>
      </c>
      <c r="N78" s="868">
        <v>0</v>
      </c>
      <c r="O78" s="868">
        <v>0</v>
      </c>
      <c r="P78" s="868">
        <v>0</v>
      </c>
      <c r="Q78" s="872">
        <v>0</v>
      </c>
      <c r="S78" s="875">
        <f>(L78*E78*looptijd)</f>
        <v>0</v>
      </c>
      <c r="U78" s="876">
        <f>(Netto_cat_die_bestel_groot*H78)+(Netto_cat_benz_bestel_groot*I78)+(Netto_cat_CNG_bestel_groot*J78)</f>
        <v>0</v>
      </c>
      <c r="V78" s="877">
        <f>IF($G78=0,0,U78/($E78*$G78*looptijd))</f>
        <v>0</v>
      </c>
      <c r="W78" s="878">
        <f>IF(BPM_belasting="ja",(BPM_die_bestel_groot*H78)+(BPM_benz_bestel_groot*I78)+(BPM_CNG_bestel_groot*J78),0)</f>
        <v>0</v>
      </c>
      <c r="X78" s="877">
        <f>IF($G78=0,0,W78/($E78*looptijd*$G78))</f>
        <v>0</v>
      </c>
      <c r="Y78" s="879">
        <f>BTW*U78</f>
        <v>0</v>
      </c>
      <c r="Z78" s="879">
        <f t="shared" si="6"/>
        <v>0</v>
      </c>
      <c r="AA78" s="879">
        <f>IF(BTW_verrekening="ja",((U78+W78-AW78))/2*Rente_financiering,((U78+W78+Y78-AW78)/2)*Rente_financiering)</f>
        <v>0</v>
      </c>
      <c r="AB78" s="880">
        <f>IF(G78=0,0,AA78*looptijd/($E78*looptijd*$G78))</f>
        <v>0</v>
      </c>
      <c r="AD78" s="876">
        <f>(Netto_cat_die_bestel_groot*M78)+(Netto_cat_benz_bestel_groot*N78)+(Netto_cat_CNG_bestel_groot*O78)+(Netto_cat_BEV_bestel_groot*P78)+(Netto_cat_FCEV_bestel_groot*Q78)</f>
        <v>0</v>
      </c>
      <c r="AE78" s="877">
        <f>IF($L78=0,0,AD78/($E78*$L78*looptijd))</f>
        <v>0</v>
      </c>
      <c r="AF78" s="878">
        <f>IF(BPM_belasting="ja",(BPM_benz_A*N78)+(BPM_CNG_A*O78)+(P78*BPM_BEV)+(Q78*BPM_FCEV),0)</f>
        <v>0</v>
      </c>
      <c r="AG78" s="878">
        <f>IF($L78=0,0,AF78/($E78*looptijd*$L78))</f>
        <v>0</v>
      </c>
      <c r="AH78" s="878">
        <f>BTW*AD78</f>
        <v>0</v>
      </c>
      <c r="AI78" s="878">
        <f>SUM(AD78:AH78)</f>
        <v>0</v>
      </c>
      <c r="AJ78" s="878">
        <f>IF('2. Invoer parameters'!$C$10="ja",MIA_BEV_bestel_groot*P78,0)</f>
        <v>0</v>
      </c>
      <c r="AK78" s="882">
        <f>IF($L78=0,0,AJ78/($E78*looptijd*$L78))</f>
        <v>0</v>
      </c>
      <c r="AL78" s="881">
        <f>IF(BPM_belasting="nee",(((AD78-AJ78)-BK78)/2)*Rente_financiering,(((AD78-AJ78+AF78)-BL78)/2)*Rente_financiering)</f>
        <v>0</v>
      </c>
      <c r="AM78" s="880">
        <f>IF($L78=0,0,AL78*looptijd/($E78*looptijd*$L78))</f>
        <v>0</v>
      </c>
      <c r="AO78" s="876">
        <f>(H78*verz_die_bestel_groot)+(I78*verz_benz_bestel_groot)+(J78*verz_CNG_bestel_groot)</f>
        <v>0</v>
      </c>
      <c r="AP78" s="877">
        <f>IF($G78=0,0,(AO78*12*looptijd)/($E78*looptijd*$G78))</f>
        <v>0</v>
      </c>
      <c r="AQ78" s="878">
        <f>(input_MRB_die_bestel_groot*$H78)+(input_MRB_benz_bestel_groot*$I78)+(input_MRB_CNG_bestel_groot*J78)</f>
        <v>0</v>
      </c>
      <c r="AR78" s="877">
        <f>IF($G78=0,0,AQ78/($E78*looptijd*$G78))</f>
        <v>0</v>
      </c>
      <c r="AS78" s="878">
        <f>($E78*H78*(gem_verbr_die_bestel_groot/100)*prijs_die)+($E78*I78*(gem_verbr_benz_bestel_groot/100)*prijs_benz)+($E78*J78*(gem_verbr_CNG_bestel_groot/100)*prijs_CNG)</f>
        <v>0</v>
      </c>
      <c r="AT78" s="877">
        <f>IF($G78=0,0,(AS78*looptijd)/(looptijd*$E78*$G78))</f>
        <v>0</v>
      </c>
      <c r="AU78" s="878">
        <f>($E78*H78*Onderh_die_bestel_groot_hoog_km)+($E78*I78*Onderh_benz_bestel_groot_hoog_km)+($E78*J78*Onderh_CNG_bestel_groot_hoog_km)</f>
        <v>0</v>
      </c>
      <c r="AV78" s="877">
        <f>IF($G78=0,0,(AU78*looptijd)/(looptijd*$E78*$G78))</f>
        <v>0</v>
      </c>
      <c r="AW78" s="878">
        <f>Rest_perc*SUM(U78:W78)</f>
        <v>0</v>
      </c>
      <c r="AX78" s="881">
        <f>Rest_perc*SUM(U78:Y78)</f>
        <v>0</v>
      </c>
      <c r="AY78" s="878">
        <f>IF(BTW_verrekening="Ja",((U78+W78)-AW78)/(looptijd*12),((U78+W78+Y78)-AX78)/(looptijd*12))</f>
        <v>0</v>
      </c>
      <c r="AZ78" s="877">
        <f>IF($G78=0,0,(AY78*12*looptijd)/(looptijd*$E78*$G78))</f>
        <v>0</v>
      </c>
      <c r="BA78" s="883">
        <f>(_schadekosten_per_km*E78*G78)/12</f>
        <v>0</v>
      </c>
      <c r="BB78" s="884">
        <f>IF($G78=0,0,(BA78*12*looptijd)/($E78*$G78*looptijd))</f>
        <v>0</v>
      </c>
      <c r="BD78" s="876">
        <f>(M78*verz_die_bestel_groot)+(N78*verz_benz_bestel_groot)+(O78*verz_CNG_bestel_groot)+(P78*verz_BEV_bestel_groot)+(Q78*verz_FCEV_bestel_groot)</f>
        <v>0</v>
      </c>
      <c r="BE78" s="877">
        <f>IF($L78=0,0,(BD78*12*looptijd)/($E78*looptijd*$L78))</f>
        <v>0</v>
      </c>
      <c r="BF78" s="878">
        <f>(input_MRB_die_bestel_groot*M78)+(input_MRB_benz_bestel_groot*N78)+(input_MRB_CNG_bestel_groot*O78)+(input_MRB_BEV_bestel_middel*P78)+(input_MRB_FCEV_bestel_middel*Q78)</f>
        <v>0</v>
      </c>
      <c r="BG78" s="877">
        <f>IF($L78=0,0,BF78/($E78*looptijd*$L78))</f>
        <v>0</v>
      </c>
      <c r="BH78" s="896">
        <f>($E78*M78*(gem_verbr_die_bestel_groot/100)*prijs_die)+($E78*N78*(gem_verbr_benz_bestel_groot/100)*prijs_benz)+($E78*O78*(gem_verbr_CNG_bestel_groot/100)*prijs_CNG)+($E78*P78*(gem_verbr_BEV_bestel_groot/100)*prijs_elek_berekening)+($E78*Q78*(gem_verbr_FCEV_bestel_groot_Elek/100)*prijs_elek_berekening*(100%-_verh_H2_accu_bestel_groot))+($E78*Q78*(gem_verbr_FCEV_bestel_groot_H2/100)*prijs_H2*(_verh_H2_accu_bestel_groot))</f>
        <v>0</v>
      </c>
      <c r="BI78" s="877">
        <f>IF($L78=0,0,(BH78*looptijd)/(looptijd*$E78*$L78))</f>
        <v>0</v>
      </c>
      <c r="BJ78" s="885"/>
      <c r="BK78" s="878">
        <f>Rest_perc_ZE*(AD78+AF78)</f>
        <v>0</v>
      </c>
      <c r="BL78" s="878">
        <f>Rest_perc_ZE*(AD78+AF78+AH78)</f>
        <v>0</v>
      </c>
      <c r="BM78" s="885"/>
      <c r="BN78" s="878">
        <f>($E78*M78*Onderh_die_bestel_groot_hoog_km)+($E78*N78*Onderh_benz_bestel_groot_hoog_km)+($E78*O78*Onderh_CNG_bestel_groot_hoog_km)+($E78*P78*Onderh_BEV_bestel_groot_hoog_km)+($E78*Q78*Onderh_FCEV_bestel_groot_hoog_km)</f>
        <v>0</v>
      </c>
      <c r="BO78" s="877">
        <f>IF($L78=0,0,(BN78*looptijd)/(looptijd*$E78*$L78))</f>
        <v>0</v>
      </c>
      <c r="BP78" s="878"/>
      <c r="BQ78" s="878">
        <f>IF(BTW_verrekening="Ja",((AD78+AF78-AJ78)-BK78)/(looptijd*12),((AD78+AF78+AH78-AJ78)-BL78)/(looptijd*12))</f>
        <v>0</v>
      </c>
      <c r="BR78" s="877">
        <f>IF($G78=0,0,(BQ78*12*looptijd)/(looptijd*$E78*$G78))</f>
        <v>0</v>
      </c>
      <c r="BS78" s="885"/>
      <c r="BT78" s="883">
        <f>(_schadekosten_per_km*E78*L78)/12</f>
        <v>0</v>
      </c>
      <c r="BU78" s="884">
        <f>IF($L78=0,0,(BT78*12*looptijd)/($E78*$L78*looptijd))</f>
        <v>0</v>
      </c>
      <c r="BV78" s="881"/>
      <c r="BW78" s="886">
        <f>(Efac_die_TTW*(gem_verbr_die_bestel_groot/100)*$E78*H78)+(Efac_benz_TTW*(gem_verbr_benz_bestel_groot/100)*$E78*I78)+(Efac_CNG_berekening_TTW*(gem_verbr_CNG_bestel_groot/100)*$E78*J78)</f>
        <v>0</v>
      </c>
      <c r="BX78" s="887">
        <f>(Efac_die_WTW*(gem_verbr_die_bestel_groot/100)*$E78*H78)+(Efac_benz_WTW*(gem_verbr_benz_bestel_groot/100)*$E78*I78)+(Efac_CNG_berekening_WTW*(gem_verbr_CNG_bestel_groot/100)*$E78*J78)</f>
        <v>0</v>
      </c>
      <c r="BY78" s="888">
        <f>IF($G78=0,0,(BX78*looptijd)/($E78*$G78*looptijd))</f>
        <v>0</v>
      </c>
      <c r="BZ78" s="889"/>
      <c r="CA78" s="886">
        <f>(Efac_die_TTW*(gem_verbr_die_bestel_groot/100)*$E78*M78)+(Efac_benz_TTW*(gem_verbr_benz_bestel_groot/100)*$E78*N78)+(Efac_CNG_berekening_TTW*(gem_verbr_CNG_bestel_groot/100)*$E78*O78)+(Efac_elek_berekening_TTW*(gem_verbr_BEV_bestel_groot/100)*$E78*P78)+(Efac_elek_berekening_TTW*(gem_verbr_FCEV_bestel_groot_Elek/100)*(100%-_verh_H2_accu_bestel_groot)*Q78)+(Efac_H2_berekening_TTW*(gem_verbr_FCEV_bestel_groot_H2/100)*(_verh_H2_accu_bestel_groot)*Q78)</f>
        <v>0</v>
      </c>
      <c r="CB78" s="887">
        <f>(Efac_die_WTW*(gem_verbr_die_bestel_groot/100)*$E78*M78)+(Efac_benz_WTW*(gem_verbr_benz_bestel_groot/100)*$E78*N78)+(Efac_CNG_berekening_WTW*(gem_verbr_CNG_bestel_groot/100)*$E78*O78)+(Efac_elek_berekening_WTW*(gem_verbr_BEV_bestel_groot/100)*$E78*P78)+(Efac_elek_berekening_WTW*(gem_verbr_FCEV_bestel_groot_Elek/100)*(100%-_verh_H2_accu_bestel_groot)*Q78)+(Efac_H2_berekening_WTW*(gem_verbr_FCEV_bestel_groot_H2/100)*(_verh_H2_accu_bestel_groot)*Q78)</f>
        <v>0</v>
      </c>
      <c r="CC78" s="888">
        <f>IF($L78=0,0,(CB78*looptijd)/($L78*$E78*looptijd))</f>
        <v>0</v>
      </c>
    </row>
    <row r="79" spans="1:81">
      <c r="A79" s="891"/>
      <c r="B79" s="894" t="s">
        <v>120</v>
      </c>
      <c r="C79" s="868" t="s">
        <v>1695</v>
      </c>
      <c r="D79" s="868"/>
      <c r="E79" s="872">
        <v>75000</v>
      </c>
      <c r="F79" s="873"/>
      <c r="G79" s="870">
        <f t="shared" si="7"/>
        <v>0</v>
      </c>
      <c r="H79" s="868">
        <v>0</v>
      </c>
      <c r="I79" s="871">
        <v>0</v>
      </c>
      <c r="J79" s="872">
        <v>0</v>
      </c>
      <c r="K79" s="873"/>
      <c r="L79" s="870">
        <f t="shared" si="8"/>
        <v>0</v>
      </c>
      <c r="M79" s="868">
        <v>0</v>
      </c>
      <c r="N79" s="868">
        <v>0</v>
      </c>
      <c r="O79" s="868">
        <v>0</v>
      </c>
      <c r="P79" s="868">
        <v>0</v>
      </c>
      <c r="Q79" s="872">
        <v>0</v>
      </c>
      <c r="S79" s="875">
        <f>(L79*E79*looptijd)</f>
        <v>0</v>
      </c>
      <c r="U79" s="876">
        <f>(Netto_cat_die_bestel_groot*H79)+(Netto_cat_benz_bestel_groot*I79)+(Netto_cat_CNG_bestel_groot*J79)</f>
        <v>0</v>
      </c>
      <c r="V79" s="877">
        <f>IF($G79=0,0,U79/($E79*$G79*looptijd))</f>
        <v>0</v>
      </c>
      <c r="W79" s="878">
        <f>IF(BPM_belasting="ja",(BPM_die_bestel_groot*H79)+(BPM_benz_bestel_groot*I79)+(BPM_CNG_bestel_groot*J79),0)</f>
        <v>0</v>
      </c>
      <c r="X79" s="877">
        <f>IF($G79=0,0,W79/($E79*looptijd*$G79))</f>
        <v>0</v>
      </c>
      <c r="Y79" s="879">
        <f>BTW*U79</f>
        <v>0</v>
      </c>
      <c r="Z79" s="879">
        <f t="shared" si="6"/>
        <v>0</v>
      </c>
      <c r="AA79" s="879">
        <f>IF(BTW_verrekening="ja",((U79+W79-AW79))/2*Rente_financiering,((U79+W79+Y79-AW79)/2)*Rente_financiering)</f>
        <v>0</v>
      </c>
      <c r="AB79" s="880">
        <f>IF(G79=0,0,AA79*looptijd/($E79*looptijd*$G79))</f>
        <v>0</v>
      </c>
      <c r="AD79" s="876">
        <f>(Netto_cat_die_bestel_groot*M79)+(Netto_cat_benz_bestel_groot*N79)+(Netto_cat_CNG_bestel_groot*O79)+(Netto_cat_BEV_bestel_groot*P79)+(Netto_cat_FCEV_bestel_groot*Q79)</f>
        <v>0</v>
      </c>
      <c r="AE79" s="877">
        <f>IF($L79=0,0,AD79/($E79*$L79*looptijd))</f>
        <v>0</v>
      </c>
      <c r="AF79" s="878">
        <f>IF(BPM_belasting="ja",(BPM_benz_A*N79)+(BPM_CNG_A*O79)+(P79*BPM_BEV)+(Q79*BPM_FCEV),0)</f>
        <v>0</v>
      </c>
      <c r="AG79" s="878">
        <f>IF($L79=0,0,AF79/($E79*looptijd*$L79))</f>
        <v>0</v>
      </c>
      <c r="AH79" s="878">
        <f>BTW*AD79</f>
        <v>0</v>
      </c>
      <c r="AI79" s="878">
        <f>SUM(AD79:AH79)</f>
        <v>0</v>
      </c>
      <c r="AJ79" s="878">
        <f>IF('2. Invoer parameters'!$C$10="ja",MIA_BEV_bestel_groot*P79,0)</f>
        <v>0</v>
      </c>
      <c r="AK79" s="882">
        <f>IF($L79=0,0,AJ79/($E79*looptijd*$L79))</f>
        <v>0</v>
      </c>
      <c r="AL79" s="881">
        <f>IF(BPM_belasting="nee",(((AD79-AJ79)-BK79)/2)*Rente_financiering,(((AD79-AJ79+AF79)-BL79)/2)*Rente_financiering)</f>
        <v>0</v>
      </c>
      <c r="AM79" s="880">
        <f>IF($L79=0,0,AL79*looptijd/($E79*looptijd*$L79))</f>
        <v>0</v>
      </c>
      <c r="AO79" s="876">
        <f>(H79*verz_die_bestel_groot)+(I79*verz_benz_bestel_groot)+(J79*verz_CNG_bestel_groot)</f>
        <v>0</v>
      </c>
      <c r="AP79" s="877">
        <f>IF($G79=0,0,(AO79*12*looptijd)/($E79*looptijd*$G79))</f>
        <v>0</v>
      </c>
      <c r="AQ79" s="878">
        <f>(input_MRB_die_bestel_groot*$H79)+(input_MRB_benz_bestel_groot*$I79)+(input_MRB_CNG_bestel_groot*J79)</f>
        <v>0</v>
      </c>
      <c r="AR79" s="877">
        <f>IF($G79=0,0,AQ79/($E79*looptijd*$G79))</f>
        <v>0</v>
      </c>
      <c r="AS79" s="878">
        <f>($E79*H79*(gem_verbr_die_bestel_groot/100)*prijs_die)+($E79*I79*(gem_verbr_benz_bestel_groot/100)*prijs_benz)+($E79*J79*(gem_verbr_CNG_bestel_groot/100)*prijs_CNG)</f>
        <v>0</v>
      </c>
      <c r="AT79" s="877">
        <f>IF($G79=0,0,(AS79*looptijd)/(looptijd*$E79*$G79))</f>
        <v>0</v>
      </c>
      <c r="AU79" s="878">
        <f>($E79*H79*Onderh_die_bestel_groot_hoog_km)+($E79*I79*Onderh_benz_bestel_groot_hoog_km)+($E79*J79*Onderh_CNG_bestel_groot_hoog_km)</f>
        <v>0</v>
      </c>
      <c r="AV79" s="877">
        <f>IF($G79=0,0,(AU79*looptijd)/(looptijd*$E79*$G79))</f>
        <v>0</v>
      </c>
      <c r="AW79" s="878">
        <f>Rest_perc*SUM(U79:W79)</f>
        <v>0</v>
      </c>
      <c r="AX79" s="881">
        <f>Rest_perc*SUM(U79:Y79)</f>
        <v>0</v>
      </c>
      <c r="AY79" s="878">
        <f>IF(BTW_verrekening="Ja",((U79+W79)-AW79)/(looptijd*12),((U79+W79+Y79)-AX79)/(looptijd*12))</f>
        <v>0</v>
      </c>
      <c r="AZ79" s="877">
        <f>IF($G79=0,0,(AY79*12*looptijd)/(looptijd*$E79*$G79))</f>
        <v>0</v>
      </c>
      <c r="BA79" s="883">
        <f>(_schadekosten_per_km*E79*G79)/12</f>
        <v>0</v>
      </c>
      <c r="BB79" s="884">
        <f>IF($G79=0,0,(BA79*12*looptijd)/($E79*$G79*looptijd))</f>
        <v>0</v>
      </c>
      <c r="BD79" s="876">
        <f>(M79*verz_die_bestel_groot)+(N79*verz_benz_bestel_groot)+(O79*verz_CNG_bestel_groot)+(P79*verz_BEV_bestel_groot)+(Q79*verz_FCEV_bestel_groot)</f>
        <v>0</v>
      </c>
      <c r="BE79" s="877">
        <f>IF($L79=0,0,(BD79*12*looptijd)/($E79*looptijd*$L79))</f>
        <v>0</v>
      </c>
      <c r="BF79" s="878">
        <f>(input_MRB_die_bestel_groot*M79)+(input_MRB_benz_bestel_groot*N79)+(input_MRB_CNG_bestel_groot*O79)+(input_MRB_BEV_bestel_middel*P79)+(input_MRB_FCEV_bestel_middel*Q79)</f>
        <v>0</v>
      </c>
      <c r="BG79" s="877">
        <f>IF($L79=0,0,BF79/($E79*looptijd*$L79))</f>
        <v>0</v>
      </c>
      <c r="BH79" s="896">
        <f>($E79*M79*(gem_verbr_die_bestel_groot/100)*prijs_die)+($E79*N79*(gem_verbr_benz_bestel_groot/100)*prijs_benz)+($E79*O79*(gem_verbr_CNG_bestel_groot/100)*prijs_CNG)+($E79*P79*(gem_verbr_BEV_bestel_groot/100)*prijs_elek_berekening)+($E79*Q79*(gem_verbr_FCEV_bestel_groot_Elek/100)*prijs_elek_berekening*(100%-_verh_H2_accu_bestel_groot))+($E79*Q79*(gem_verbr_FCEV_bestel_groot_H2/100)*prijs_H2*(_verh_H2_accu_bestel_groot))</f>
        <v>0</v>
      </c>
      <c r="BI79" s="877">
        <f>IF($L79=0,0,(BH79*looptijd)/(looptijd*$E79*$L79))</f>
        <v>0</v>
      </c>
      <c r="BJ79" s="885"/>
      <c r="BK79" s="878">
        <f>Rest_perc_ZE*(AD79+AF79)</f>
        <v>0</v>
      </c>
      <c r="BL79" s="878">
        <f>Rest_perc_ZE*(AD79+AF79+AH79)</f>
        <v>0</v>
      </c>
      <c r="BM79" s="885"/>
      <c r="BN79" s="878">
        <f>($E79*M79*Onderh_die_bestel_groot_hoog_km)+($E79*N79*Onderh_benz_bestel_groot_hoog_km)+($E79*O79*Onderh_CNG_bestel_groot_hoog_km)+($E79*P79*Onderh_BEV_bestel_groot_hoog_km)+($E79*Q79*Onderh_FCEV_bestel_groot_hoog_km)</f>
        <v>0</v>
      </c>
      <c r="BO79" s="877">
        <f>IF($L79=0,0,(BN79*looptijd)/(looptijd*$E79*$L79))</f>
        <v>0</v>
      </c>
      <c r="BP79" s="878"/>
      <c r="BQ79" s="878">
        <f>IF(BTW_verrekening="Ja",((AD79+AF79-AJ79)-BK79)/(looptijd*12),((AD79+AF79+AH79-AJ79)-BL79)/(looptijd*12))</f>
        <v>0</v>
      </c>
      <c r="BR79" s="877">
        <f>IF($G79=0,0,(BQ79*12*looptijd)/(looptijd*$E79*$G79))</f>
        <v>0</v>
      </c>
      <c r="BS79" s="885"/>
      <c r="BT79" s="883">
        <f>(_schadekosten_per_km*E79*L79)/12</f>
        <v>0</v>
      </c>
      <c r="BU79" s="884">
        <f>IF($L79=0,0,(BT79*12*looptijd)/($E79*$L79*looptijd))</f>
        <v>0</v>
      </c>
      <c r="BV79" s="881"/>
      <c r="BW79" s="886">
        <f>(Efac_die_TTW*(gem_verbr_die_bestel_groot/100)*$E79*H79)+(Efac_benz_TTW*(gem_verbr_benz_bestel_groot/100)*$E79*I79)+(Efac_CNG_berekening_TTW*(gem_verbr_CNG_bestel_groot/100)*$E79*J79)</f>
        <v>0</v>
      </c>
      <c r="BX79" s="887">
        <f>(Efac_die_WTW*(gem_verbr_die_bestel_groot/100)*$E79*H79)+(Efac_benz_WTW*(gem_verbr_benz_bestel_groot/100)*$E79*I79)+(Efac_CNG_berekening_WTW*(gem_verbr_CNG_bestel_groot/100)*$E79*J79)</f>
        <v>0</v>
      </c>
      <c r="BY79" s="888">
        <f>IF($G79=0,0,(BX79*looptijd)/($E79*$G79*looptijd))</f>
        <v>0</v>
      </c>
      <c r="BZ79" s="889"/>
      <c r="CA79" s="886">
        <f>(Efac_die_TTW*(gem_verbr_die_bestel_groot/100)*$E79*M79)+(Efac_benz_TTW*(gem_verbr_benz_bestel_groot/100)*$E79*N79)+(Efac_CNG_berekening_TTW*(gem_verbr_CNG_bestel_groot/100)*$E79*O79)+(Efac_elek_berekening_TTW*(gem_verbr_BEV_bestel_groot/100)*$E79*P79)+(Efac_elek_berekening_TTW*(gem_verbr_FCEV_bestel_groot_Elek/100)*(100%-_verh_H2_accu_bestel_groot)*Q79)+(Efac_H2_berekening_TTW*(gem_verbr_FCEV_bestel_groot_H2/100)*(_verh_H2_accu_bestel_groot)*Q79)</f>
        <v>0</v>
      </c>
      <c r="CB79" s="887">
        <f>(Efac_die_WTW*(gem_verbr_die_bestel_groot/100)*$E79*M79)+(Efac_benz_WTW*(gem_verbr_benz_bestel_groot/100)*$E79*N79)+(Efac_CNG_berekening_WTW*(gem_verbr_CNG_bestel_groot/100)*$E79*O79)+(Efac_elek_berekening_WTW*(gem_verbr_BEV_bestel_groot/100)*$E79*P79)+(Efac_elek_berekening_WTW*(gem_verbr_FCEV_bestel_groot_Elek/100)*(100%-_verh_H2_accu_bestel_groot)*Q79)+(Efac_H2_berekening_WTW*(gem_verbr_FCEV_bestel_groot_H2/100)*(_verh_H2_accu_bestel_groot)*Q79)</f>
        <v>0</v>
      </c>
      <c r="CC79" s="888">
        <f>IF($L79=0,0,(CB79*looptijd)/($L79*$E79*looptijd))</f>
        <v>0</v>
      </c>
    </row>
    <row r="80" spans="1:81">
      <c r="B80" s="867"/>
      <c r="C80" s="889"/>
      <c r="D80" s="889"/>
      <c r="E80" s="869"/>
      <c r="G80" s="870"/>
      <c r="H80" s="868"/>
      <c r="I80" s="868"/>
      <c r="J80" s="872"/>
      <c r="K80" s="873"/>
      <c r="L80" s="870"/>
      <c r="M80" s="868"/>
      <c r="N80" s="868"/>
      <c r="O80" s="868"/>
      <c r="P80" s="868"/>
      <c r="Q80" s="872"/>
      <c r="S80" s="875"/>
      <c r="U80" s="867"/>
      <c r="V80" s="877"/>
      <c r="W80" s="889"/>
      <c r="X80" s="877"/>
      <c r="Y80" s="879"/>
      <c r="Z80" s="879"/>
      <c r="AA80" s="879"/>
      <c r="AB80" s="880"/>
      <c r="AD80" s="867"/>
      <c r="AE80" s="877"/>
      <c r="AF80" s="878"/>
      <c r="AG80" s="878"/>
      <c r="AH80" s="878"/>
      <c r="AI80" s="878"/>
      <c r="AJ80" s="878"/>
      <c r="AK80" s="882"/>
      <c r="AL80" s="881"/>
      <c r="AM80" s="880"/>
      <c r="AO80" s="867"/>
      <c r="AP80" s="877"/>
      <c r="AQ80" s="889"/>
      <c r="AR80" s="877"/>
      <c r="AS80" s="889"/>
      <c r="AT80" s="877"/>
      <c r="AU80" s="889"/>
      <c r="AV80" s="877"/>
      <c r="AW80" s="878"/>
      <c r="AX80" s="881"/>
      <c r="AY80" s="878"/>
      <c r="AZ80" s="877"/>
      <c r="BA80" s="883"/>
      <c r="BB80" s="884"/>
      <c r="BD80" s="876"/>
      <c r="BE80" s="877"/>
      <c r="BF80" s="878"/>
      <c r="BG80" s="877"/>
      <c r="BH80" s="878"/>
      <c r="BI80" s="877"/>
      <c r="BJ80" s="892"/>
      <c r="BK80" s="878"/>
      <c r="BL80" s="878"/>
      <c r="BM80" s="885"/>
      <c r="BN80" s="889"/>
      <c r="BO80" s="877"/>
      <c r="BP80" s="889"/>
      <c r="BQ80" s="878"/>
      <c r="BR80" s="877"/>
      <c r="BS80" s="885"/>
      <c r="BT80" s="883"/>
      <c r="BU80" s="884"/>
      <c r="BV80" s="881"/>
      <c r="BW80" s="886"/>
      <c r="BX80" s="887"/>
      <c r="BY80" s="888"/>
      <c r="BZ80" s="889"/>
      <c r="CA80" s="886"/>
      <c r="CB80" s="889"/>
      <c r="CC80" s="888"/>
    </row>
    <row r="81" spans="1:81">
      <c r="A81" s="891">
        <v>41</v>
      </c>
      <c r="B81" s="894" t="s">
        <v>728</v>
      </c>
      <c r="C81" s="868" t="s">
        <v>748</v>
      </c>
      <c r="D81" s="868"/>
      <c r="E81" s="869">
        <f>$E$3</f>
        <v>10000</v>
      </c>
      <c r="G81" s="870">
        <f t="shared" si="7"/>
        <v>0</v>
      </c>
      <c r="H81" s="868">
        <f t="array" ref="H81:H85">TRANSPOSE('1a. Invoer - BESTAAND'!J19:N19)</f>
        <v>0</v>
      </c>
      <c r="I81" s="868">
        <f t="array" ref="I81:I85">TRANSPOSE('1a. Invoer - BESTAAND'!E19:I19)</f>
        <v>0</v>
      </c>
      <c r="J81" s="872">
        <f t="array" ref="J81:J85">TRANSPOSE('1a. Invoer - BESTAAND'!E48:I48
)</f>
        <v>0</v>
      </c>
      <c r="K81" s="873"/>
      <c r="L81" s="870">
        <f t="shared" si="8"/>
        <v>0</v>
      </c>
      <c r="M81" s="868">
        <v>0</v>
      </c>
      <c r="N81" s="868">
        <v>0</v>
      </c>
      <c r="O81" s="868">
        <v>0</v>
      </c>
      <c r="P81" s="868">
        <f t="array" ref="P81:P85">TRANSPOSE('1b. Invoer - NIEUW'!E21:I21)</f>
        <v>0</v>
      </c>
      <c r="Q81" s="874">
        <v>0</v>
      </c>
      <c r="S81" s="875">
        <f>(L81*E81*looptijd)</f>
        <v>0</v>
      </c>
      <c r="U81" s="876">
        <f>(Netto_cat_die_taxibus_klein*H81)+(Netto_cat_benz_taxibus_klein*I81)+(Netto_cat_CNG_taxibus_klein*J81)</f>
        <v>0</v>
      </c>
      <c r="V81" s="877">
        <f>IF($G81=0,0,U81/($E81*$G81*looptijd))</f>
        <v>0</v>
      </c>
      <c r="W81" s="878">
        <f>IF(BPM_belasting="ja",(BPM_die_taxibus_klein*H81)+(BPM_benz_taxibus_klein*I81)+(BPM_CNG_taxibus_klein*J81),0)</f>
        <v>0</v>
      </c>
      <c r="X81" s="877">
        <f>IF($G81=0,0,W81/($E81*looptijd*$G81))</f>
        <v>0</v>
      </c>
      <c r="Y81" s="879">
        <f>BTW*U81</f>
        <v>0</v>
      </c>
      <c r="Z81" s="879">
        <f>SUM(U81:Y81)</f>
        <v>0</v>
      </c>
      <c r="AA81" s="879">
        <f>IF(BTW_verrekening="ja",((U81+W81-AW81))/2*Rente_financiering,((U81+W81+Y81-AW81)/2)*Rente_financiering)</f>
        <v>0</v>
      </c>
      <c r="AB81" s="880">
        <f>IF(G81=0,0,AA81*looptijd/($E81*looptijd*$G81))</f>
        <v>0</v>
      </c>
      <c r="AD81" s="876">
        <f>(Netto_cat_die_taxibus_klein*M81)+(Netto_cat_benz_taxibus_klein*N81)+(Netto_cat_CNG_taxibus_klein*O81)+(Netto_cat_BEV_taxibus_klein*P81)+(Netto_cat_FCEV_taxi_klein*Q81)</f>
        <v>0</v>
      </c>
      <c r="AE81" s="877">
        <f>IF($L81=0,0,AD81/($E81*$L81*looptijd))</f>
        <v>0</v>
      </c>
      <c r="AF81" s="878">
        <f>IF(BPM_belasting="ja",(BPM_benz_A*N81)+(BPM_CNG_A*O81)+(P81*BPM_BEV)+(Q81*BPM_FCEV),0)</f>
        <v>0</v>
      </c>
      <c r="AG81" s="878">
        <f>IF($L81=0,0,AF81/($E81*looptijd*$L81))</f>
        <v>0</v>
      </c>
      <c r="AH81" s="878">
        <f>BTW*AD81</f>
        <v>0</v>
      </c>
      <c r="AI81" s="878">
        <f>SUM(AD81:AH81)</f>
        <v>0</v>
      </c>
      <c r="AJ81" s="878">
        <f>IF('2. Invoer parameters'!$C$10="ja",MIA_BEV_taxibus_klein*P81,0)</f>
        <v>0</v>
      </c>
      <c r="AK81" s="882">
        <f>IF($L81=0,0,AJ81/($E81*looptijd*$L81))</f>
        <v>0</v>
      </c>
      <c r="AL81" s="881">
        <f>IF(BPM_belasting="nee",(((AD81-AJ81)-BK81)/2)*Rente_financiering,(((AD81-AJ81+AF81)-BL81)/2)*Rente_financiering)</f>
        <v>0</v>
      </c>
      <c r="AM81" s="880">
        <f>IF($L81=0,0,AL81*looptijd/($E81*looptijd*$L81))</f>
        <v>0</v>
      </c>
      <c r="AO81" s="876">
        <f>(H81*verz_die_taxibus_klein)+(I81*verz_benz_taxibus_klein)+(J81*verz_CNG_taxibus_klein)</f>
        <v>0</v>
      </c>
      <c r="AP81" s="877">
        <f>IF($G81=0,0,(AO81*12*looptijd)/($E81*looptijd*$G81))</f>
        <v>0</v>
      </c>
      <c r="AQ81" s="878">
        <f>(input_MRB_die_taxibus_klein*$H81)+(input_MRB_benz_taxibus_klein*$I81)+(input_MRB_CNG_taxibus_klein*J81)</f>
        <v>0</v>
      </c>
      <c r="AR81" s="877">
        <f>IF($G81=0,0,AQ81/($E81*looptijd*$G81))</f>
        <v>0</v>
      </c>
      <c r="AS81" s="878">
        <f>($E81*H81*(gem_verbr_die_taxi_klein/100)*prijs_die)+($E81*I81*(gem_verbr_benz_taxi_klein/100)*prijs_benz)+($E81*J81*(gem_verbr_CNG_taxi_klein/100)*prijs_CNG)</f>
        <v>0</v>
      </c>
      <c r="AT81" s="877">
        <f>IF($G81=0,0,(AS81*looptijd)/(looptijd*$E81*$G81))</f>
        <v>0</v>
      </c>
      <c r="AU81" s="878">
        <f>($E81*H81*Onderh_die_taxibus_klein)+($E81*I81*Onderh_benz_taxibus_klein)+($E81*J81*Onderh_CNG_taxibus_klein)</f>
        <v>0</v>
      </c>
      <c r="AV81" s="877">
        <f>IF($G81=0,0,(AU81*looptijd)/(looptijd*$E81*$G81))</f>
        <v>0</v>
      </c>
      <c r="AW81" s="878">
        <f>Rest_perc*SUM(U81:W81)</f>
        <v>0</v>
      </c>
      <c r="AX81" s="881">
        <f>Rest_perc*SUM(U81:Y81)</f>
        <v>0</v>
      </c>
      <c r="AY81" s="878">
        <f>IF(BTW_verrekening="Ja",((U81+W81)-AW81)/(looptijd*12),((U81+W81+Y81)-AX81)/(looptijd*12))</f>
        <v>0</v>
      </c>
      <c r="AZ81" s="877">
        <f>IF($G81=0,0,(AY81*12*looptijd)/(looptijd*$E81*$G81))</f>
        <v>0</v>
      </c>
      <c r="BA81" s="883">
        <f>(_schadekosten_per_km*E81*G81)/12</f>
        <v>0</v>
      </c>
      <c r="BB81" s="884">
        <f>IF($G81=0,0,(BA81*12*looptijd)/($E81*$G81*looptijd))</f>
        <v>0</v>
      </c>
      <c r="BD81" s="876">
        <f>(M81*verz_die_taxibus_klein)+(N81*verz_benz_taxibus_klein)+(O81*verz_CNG_taxibus_klein)+(P81*verz_BEV_taxibus_klein)+(Q81*verz_FCEV_taxi_klein)</f>
        <v>0</v>
      </c>
      <c r="BE81" s="877">
        <f>IF($L81=0,0,(BD81*12*looptijd)/($E81*looptijd*$L81))</f>
        <v>0</v>
      </c>
      <c r="BF81" s="878">
        <f>(input_MRB_die_taxibus_klein*M81)+(input_MRB_benz_taxibus_klein*N81)+(input_MRB_CNG_taxibus_klein*O81)+(input_MRB_BEV_taxibus_klein*P81)+(input_MRB_FCEV_taxi_klein*Q81)</f>
        <v>0</v>
      </c>
      <c r="BG81" s="877">
        <f>IF($L81=0,0,BF81/($E81*looptijd*$L81))</f>
        <v>0</v>
      </c>
      <c r="BH81" s="878">
        <f>($E81*M81*(gem_verbr_die_taxi_klein/100)*prijs_die)+($E81*N81*(gem_verbr_die_taxi_klein/100)*prijs_benz)+($E81*O81*(gem_verbr_CNG_taxi_klein/100)*prijs_CNG)+($E81*P81*(gem_verbr_BEV_taxi_klein/100)*prijs_elek_berekening)+($E81*Q81*(gem_verbr_FCEV_taxi_klein_Elek/100)*prijs_elek_berekening*(100%-_verh_H2_accu_taxi_klein))+($E81*Q81*(gem_verbr_FCEV_taxi_klein_H2/100)*prijs_H2*(_verh_H2_accu_taxi_klein))</f>
        <v>0</v>
      </c>
      <c r="BI81" s="877">
        <f>IF($L81=0,0,(BH81*looptijd)/(looptijd*$E81*$L81))</f>
        <v>0</v>
      </c>
      <c r="BJ81" s="885"/>
      <c r="BK81" s="878">
        <f>Rest_perc_ZE*(AD81+AF81)</f>
        <v>0</v>
      </c>
      <c r="BL81" s="878">
        <f>Rest_perc_ZE*(AD81+AF81+AH81)</f>
        <v>0</v>
      </c>
      <c r="BM81" s="885"/>
      <c r="BN81" s="878">
        <f>($E81*M81*Onderh_die_taxibus_klein)+($E81*N81*Onderh_benz_taxibus_klein)+($E81*O81*Onderh_CNG_taxibus_klein)+($E81*P81*Onderh_BEV_taxibus_klein)+($E81*Q81*Onderh_FCEV_taxi_klein)</f>
        <v>0</v>
      </c>
      <c r="BO81" s="877">
        <f>IF($L81=0,0,(BN81*looptijd)/(looptijd*$E81*$L81))</f>
        <v>0</v>
      </c>
      <c r="BP81" s="878"/>
      <c r="BQ81" s="878">
        <f>IF(BTW_verrekening="Ja",((AD81+AF81-AJ81)-BK81)/(looptijd*12),((AD81+AF81+AH81-AJ81)-BL81)/(looptijd*12))</f>
        <v>0</v>
      </c>
      <c r="BR81" s="877">
        <f>IF($G81=0,0,(BQ81*12*looptijd)/(looptijd*$E81*$G81))</f>
        <v>0</v>
      </c>
      <c r="BS81" s="885"/>
      <c r="BT81" s="883">
        <f>(_schadekosten_per_km*E81*L81)/12</f>
        <v>0</v>
      </c>
      <c r="BU81" s="884">
        <f>IF($L81=0,0,(BT81*12*looptijd)/($E81*$L81*looptijd))</f>
        <v>0</v>
      </c>
      <c r="BV81" s="881"/>
      <c r="BW81" s="886">
        <f>(Efac_die_TTW*(gem_verbr_die_taxi_klein/100)*$E81*H81)+(Efac_benz_TTW*(gem_verbr_benz_taxi_klein/100)*$E81*I81)+(Efac_CNG_berekening_TTW*(gem_verbr_CNG_taxi_klein/100)*$E81*J81)</f>
        <v>0</v>
      </c>
      <c r="BX81" s="887">
        <f>(Efac_die_WTW*(gem_verbr_die_taxi_klein/100)*$E81*H81)+(Efac_benz_WTW*(gem_verbr_benz_taxi_klein/100)*$E81*I81)+(Efac_CNG_berekening_WTW*(gem_verbr_CNG_taxi_klein/100)*$E81*J81)</f>
        <v>0</v>
      </c>
      <c r="BY81" s="888">
        <f>IF($G81=0,0,(BX81*looptijd)/($E81*$G81*looptijd))</f>
        <v>0</v>
      </c>
      <c r="BZ81" s="889"/>
      <c r="CA81" s="886">
        <f>(Efac_die_TTW*(gem_verbr_die_taxi_klein/100)*$E81*M81)+(Efac_benz_TTW*(gem_verbr_benz_taxi_klein/100)*$E81*N81)+(Efac_CNG_berekening_TTW*(gem_verbr_CNG_taxi_klein/100)*$E81*O81)+(Efac_elek_berekening_TTW*(gem_verbr_BEV_taxi_klein/100)*$E81*P81)+(Efac_elek_berekening_TTW*(gem_verbr_FCEV_taxi_klein_Elek/100)*(100%-_verh_H2_accu_taxi_klein)*Q81)+(Efac_H2_berekening_TTW*(gem_verbr_FCEV_taxi_klein_H2/100)*(_verh_H2_accu_taxi_klein)*Q81)</f>
        <v>0</v>
      </c>
      <c r="CB81" s="887">
        <f>(Efac_die_WTW*(gem_verbr_die_taxi_klein/100)*$E81*M81)+(Efac_benz_WTW*(gem_verbr_benz_taxi_klein/100)*$E81*N81)+(Efac_CNG_berekening_WTW*(gem_verbr_CNG_taxi_klein/100)*$E81*O81)+(Efac_elek_berekening_WTW*(gem_verbr_BEV_taxi_klein/100)*$E81*P81)+(Efac_elek_berekening_WTW*(gem_verbr_FCEV_taxi_klein_Elek/100)*(100%-_verh_H2_accu_taxi_klein)*Q81)+(Efac_H2_berekening_WTW*(gem_verbr_FCEV_taxi_klein_H2/100)*(_verh_H2_accu_taxi_klein)*Q81)</f>
        <v>0</v>
      </c>
      <c r="CC81" s="888">
        <f>IF($L81=0,0,(CB81*looptijd)/($L81*$E81*looptijd))</f>
        <v>0</v>
      </c>
    </row>
    <row r="82" spans="1:81">
      <c r="A82" s="891">
        <v>42</v>
      </c>
      <c r="B82" s="894" t="s">
        <v>728</v>
      </c>
      <c r="C82" s="868" t="s">
        <v>749</v>
      </c>
      <c r="D82" s="868"/>
      <c r="E82" s="869">
        <f>$E$4</f>
        <v>15000</v>
      </c>
      <c r="G82" s="870">
        <f t="shared" si="7"/>
        <v>0</v>
      </c>
      <c r="H82" s="868">
        <v>0</v>
      </c>
      <c r="I82" s="868">
        <v>0</v>
      </c>
      <c r="J82" s="872">
        <v>0</v>
      </c>
      <c r="K82" s="873"/>
      <c r="L82" s="870">
        <f t="shared" si="8"/>
        <v>0</v>
      </c>
      <c r="M82" s="868">
        <v>0</v>
      </c>
      <c r="N82" s="868">
        <v>0</v>
      </c>
      <c r="O82" s="868">
        <v>0</v>
      </c>
      <c r="P82" s="868">
        <v>0</v>
      </c>
      <c r="Q82" s="874">
        <v>0</v>
      </c>
      <c r="S82" s="875">
        <f>(L82*E82*looptijd)</f>
        <v>0</v>
      </c>
      <c r="U82" s="876">
        <f>(Netto_cat_die_taxibus_klein*H82)+(Netto_cat_benz_taxibus_klein*I82)+(Netto_cat_CNG_taxibus_klein*J82)</f>
        <v>0</v>
      </c>
      <c r="V82" s="877">
        <f>IF($G82=0,0,U82/($E82*$G82*looptijd))</f>
        <v>0</v>
      </c>
      <c r="W82" s="878">
        <f>IF(BPM_belasting="ja",(BPM_die_taxibus_klein*H82)+(BPM_benz_taxibus_klein*I82)+(BPM_CNG_taxibus_klein*J82),0)</f>
        <v>0</v>
      </c>
      <c r="X82" s="877">
        <f>IF($G82=0,0,W82/($E82*looptijd*$G82))</f>
        <v>0</v>
      </c>
      <c r="Y82" s="879">
        <f>BTW*U82</f>
        <v>0</v>
      </c>
      <c r="Z82" s="879">
        <f>SUM(U82:Y82)</f>
        <v>0</v>
      </c>
      <c r="AA82" s="879">
        <f>IF(BTW_verrekening="ja",((U82+W82-AW82))/2*Rente_financiering,((U82+W82+Y82-AW82)/2)*Rente_financiering)</f>
        <v>0</v>
      </c>
      <c r="AB82" s="880">
        <f>IF(G82=0,0,AA82*looptijd/($E82*looptijd*$G82))</f>
        <v>0</v>
      </c>
      <c r="AD82" s="876">
        <f>(Netto_cat_die_taxibus_klein*M82)+(Netto_cat_benz_taxibus_klein*N82)+(Netto_cat_CNG_taxibus_klein*O82)+(Netto_cat_BEV_taxibus_klein*P82)+(Netto_cat_FCEV_taxi_klein*Q82)</f>
        <v>0</v>
      </c>
      <c r="AE82" s="877">
        <f>IF($L82=0,0,AD82/($E82*$L82*looptijd))</f>
        <v>0</v>
      </c>
      <c r="AF82" s="878">
        <f>IF(BPM_belasting="ja",(BPM_benz_A*N82)+(BPM_CNG_A*O82)+(P82*BPM_BEV)+(Q82*BPM_FCEV),0)</f>
        <v>0</v>
      </c>
      <c r="AG82" s="878">
        <f>IF($L82=0,0,AF82/($E82*looptijd*$L82))</f>
        <v>0</v>
      </c>
      <c r="AH82" s="878">
        <f>BTW*AD82</f>
        <v>0</v>
      </c>
      <c r="AI82" s="878">
        <f>SUM(AD82:AH82)</f>
        <v>0</v>
      </c>
      <c r="AJ82" s="878">
        <f>IF('2. Invoer parameters'!$C$10="ja",MIA_BEV_taxibus_klein*P82,0)</f>
        <v>0</v>
      </c>
      <c r="AK82" s="882">
        <f>IF($L82=0,0,AJ82/($E82*looptijd*$L82))</f>
        <v>0</v>
      </c>
      <c r="AL82" s="881">
        <f>IF(BPM_belasting="nee",(((AD82-AJ82)-BK82)/2)*Rente_financiering,(((AD82-AJ82+AF82)-BL82)/2)*Rente_financiering)</f>
        <v>0</v>
      </c>
      <c r="AM82" s="880">
        <f>IF($L82=0,0,AL82*looptijd/($E82*looptijd*$L82))</f>
        <v>0</v>
      </c>
      <c r="AO82" s="876">
        <f>(H82*verz_die_taxibus_klein)+(I82*verz_benz_taxibus_klein)+(J82*verz_CNG_taxibus_klein)</f>
        <v>0</v>
      </c>
      <c r="AP82" s="877">
        <f>IF($G82=0,0,(AO82*12*looptijd)/($E82*looptijd*$G82))</f>
        <v>0</v>
      </c>
      <c r="AQ82" s="878">
        <f>(input_MRB_die_taxibus_klein*$H82)+(input_MRB_benz_taxibus_klein*$I82)+(input_MRB_CNG_taxibus_klein*J82)</f>
        <v>0</v>
      </c>
      <c r="AR82" s="877">
        <f>IF($G82=0,0,AQ82/($E82*looptijd*$G82))</f>
        <v>0</v>
      </c>
      <c r="AS82" s="878">
        <f>($E82*H82*(gem_verbr_die_taxi_klein/100)*prijs_die)+($E82*I82*(gem_verbr_benz_taxi_klein/100)*prijs_benz)+($E82*J82*(gem_verbr_CNG_taxi_klein/100)*prijs_CNG)</f>
        <v>0</v>
      </c>
      <c r="AT82" s="877">
        <f>IF($G82=0,0,(AS82*looptijd)/(looptijd*$E82*$G82))</f>
        <v>0</v>
      </c>
      <c r="AU82" s="878">
        <f>($E82*H82*Onderh_die_taxibus_klein)+($E82*I82*Onderh_benz_taxibus_klein)+($E82*J82*Onderh_CNG_taxibus_klein)</f>
        <v>0</v>
      </c>
      <c r="AV82" s="877">
        <f>IF($G82=0,0,(AU82*looptijd)/(looptijd*$E82*$G82))</f>
        <v>0</v>
      </c>
      <c r="AW82" s="878">
        <f>Rest_perc*SUM(U82:W82)</f>
        <v>0</v>
      </c>
      <c r="AX82" s="881">
        <f>Rest_perc*SUM(U82:Y82)</f>
        <v>0</v>
      </c>
      <c r="AY82" s="878">
        <f>IF(BTW_verrekening="Ja",((U82+W82)-AW82)/(looptijd*12),((U82+W82+Y82)-AX82)/(looptijd*12))</f>
        <v>0</v>
      </c>
      <c r="AZ82" s="877">
        <f>IF($G82=0,0,(AY82*12*looptijd)/(looptijd*$E82*$G82))</f>
        <v>0</v>
      </c>
      <c r="BA82" s="883">
        <f>(_schadekosten_per_km*E82*G82)/12</f>
        <v>0</v>
      </c>
      <c r="BB82" s="884">
        <f>IF($G82=0,0,(BA82*12*looptijd)/($E82*$G82*looptijd))</f>
        <v>0</v>
      </c>
      <c r="BD82" s="876">
        <f>(M82*verz_die_taxibus_klein)+(N82*verz_benz_taxibus_klein)+(O82*verz_CNG_taxibus_klein)+(P82*verz_BEV_taxibus_klein)+(Q82*verz_FCEV_taxi_klein)</f>
        <v>0</v>
      </c>
      <c r="BE82" s="877">
        <f>IF($L82=0,0,(BD82*12*looptijd)/($E82*looptijd*$L82))</f>
        <v>0</v>
      </c>
      <c r="BF82" s="878">
        <f>(input_MRB_die_taxibus_klein*M82)+(input_MRB_benz_taxibus_klein*N82)+(input_MRB_CNG_taxibus_klein*O82)+(input_MRB_BEV_taxibus_klein*P82)+(input_MRB_FCEV_taxi_klein*Q82)</f>
        <v>0</v>
      </c>
      <c r="BG82" s="877">
        <f>IF($L82=0,0,BF82/($E82*looptijd*$L82))</f>
        <v>0</v>
      </c>
      <c r="BH82" s="878">
        <f>($E82*M82*(gem_verbr_die_taxi_klein/100)*prijs_die)+($E82*N82*(gem_verbr_die_taxi_klein/100)*prijs_benz)+($E82*O82*(gem_verbr_CNG_taxi_klein/100)*prijs_CNG)+($E82*P82*(gem_verbr_BEV_taxi_klein/100)*prijs_elek_berekening)+($E82*Q82*(gem_verbr_FCEV_taxi_klein_Elek/100)*prijs_elek_berekening*(100%-_verh_H2_accu_taxi_klein))+($E82*Q82*(gem_verbr_FCEV_taxi_klein_H2/100)*prijs_H2*(_verh_H2_accu_taxi_klein))</f>
        <v>0</v>
      </c>
      <c r="BI82" s="877">
        <f>IF($L82=0,0,(BH82*looptijd)/(looptijd*$E82*$L82))</f>
        <v>0</v>
      </c>
      <c r="BJ82" s="885"/>
      <c r="BK82" s="878">
        <f>Rest_perc_ZE*(AD82+AF82)</f>
        <v>0</v>
      </c>
      <c r="BL82" s="878">
        <f>Rest_perc_ZE*(AD82+AF82+AH82)</f>
        <v>0</v>
      </c>
      <c r="BM82" s="885"/>
      <c r="BN82" s="878">
        <f>($E82*M82*Onderh_die_taxibus_klein)+($E82*N82*Onderh_benz_taxibus_klein)+($E82*O82*Onderh_CNG_taxibus_klein)+($E82*P82*Onderh_BEV_taxibus_klein)+($E82*Q82*Onderh_FCEV_taxi_klein)</f>
        <v>0</v>
      </c>
      <c r="BO82" s="877">
        <f>IF($L82=0,0,(BN82*looptijd)/(looptijd*$E82*$L82))</f>
        <v>0</v>
      </c>
      <c r="BP82" s="878"/>
      <c r="BQ82" s="878">
        <f>IF(BTW_verrekening="Ja",((AD82+AF82-AJ82)-BK82)/(looptijd*12),((AD82+AF82+AH82-AJ82)-BL82)/(looptijd*12))</f>
        <v>0</v>
      </c>
      <c r="BR82" s="877">
        <f>IF($G82=0,0,(BQ82*12*looptijd)/(looptijd*$E82*$G82))</f>
        <v>0</v>
      </c>
      <c r="BS82" s="885"/>
      <c r="BT82" s="883">
        <f>(_schadekosten_per_km*E82*L82)/12</f>
        <v>0</v>
      </c>
      <c r="BU82" s="884">
        <f>IF($L82=0,0,(BT82*12*looptijd)/($E82*$L82*looptijd))</f>
        <v>0</v>
      </c>
      <c r="BV82" s="881"/>
      <c r="BW82" s="886">
        <f>(Efac_die_TTW*(gem_verbr_die_taxi_klein/100)*$E82*H82)+(Efac_benz_TTW*(gem_verbr_benz_taxi_klein/100)*$E82*I82)+(Efac_CNG_berekening_TTW*(gem_verbr_CNG_taxi_klein/100)*$E82*J82)</f>
        <v>0</v>
      </c>
      <c r="BX82" s="887">
        <f>(Efac_die_WTW*(gem_verbr_die_taxi_klein/100)*$E82*H82)+(Efac_benz_WTW*(gem_verbr_benz_taxi_klein/100)*$E82*I82)+(Efac_CNG_berekening_WTW*(gem_verbr_CNG_taxi_klein/100)*$E82*J82)</f>
        <v>0</v>
      </c>
      <c r="BY82" s="888">
        <f>IF($G82=0,0,(BX82*looptijd)/($E82*$G82*looptijd))</f>
        <v>0</v>
      </c>
      <c r="BZ82" s="889"/>
      <c r="CA82" s="886">
        <f>(Efac_die_TTW*(gem_verbr_die_taxi_klein/100)*$E82*M82)+(Efac_benz_TTW*(gem_verbr_benz_taxi_klein/100)*$E82*N82)+(Efac_CNG_berekening_TTW*(gem_verbr_CNG_taxi_klein/100)*$E82*O82)+(Efac_elek_berekening_TTW*(gem_verbr_BEV_taxi_klein/100)*$E82*P82)+(Efac_elek_berekening_TTW*(gem_verbr_FCEV_taxi_klein_Elek/100)*(100%-_verh_H2_accu_taxi_klein)*Q82)+(Efac_H2_berekening_TTW*(gem_verbr_FCEV_taxi_klein_H2/100)*(_verh_H2_accu_taxi_klein)*Q82)</f>
        <v>0</v>
      </c>
      <c r="CB82" s="887">
        <f>(Efac_die_WTW*(gem_verbr_die_taxi_klein/100)*$E82*M82)+(Efac_benz_WTW*(gem_verbr_benz_taxi_klein/100)*$E82*N82)+(Efac_CNG_berekening_WTW*(gem_verbr_CNG_taxi_klein/100)*$E82*O82)+(Efac_elek_berekening_WTW*(gem_verbr_BEV_taxi_klein/100)*$E82*P82)+(Efac_elek_berekening_WTW*(gem_verbr_FCEV_taxi_klein_Elek/100)*(100%-_verh_H2_accu_taxi_klein)*Q82)+(Efac_H2_berekening_WTW*(gem_verbr_FCEV_taxi_klein_H2/100)*(_verh_H2_accu_taxi_klein)*Q82)</f>
        <v>0</v>
      </c>
      <c r="CC82" s="888">
        <f>IF($L82=0,0,(CB82*looptijd)/($L82*$E82*looptijd))</f>
        <v>0</v>
      </c>
    </row>
    <row r="83" spans="1:81">
      <c r="A83" s="891">
        <v>43</v>
      </c>
      <c r="B83" s="894" t="s">
        <v>728</v>
      </c>
      <c r="C83" s="868" t="s">
        <v>750</v>
      </c>
      <c r="D83" s="868"/>
      <c r="E83" s="869">
        <f>$E$5</f>
        <v>25000</v>
      </c>
      <c r="G83" s="870">
        <f t="shared" si="7"/>
        <v>0</v>
      </c>
      <c r="H83" s="868">
        <v>0</v>
      </c>
      <c r="I83" s="868">
        <v>0</v>
      </c>
      <c r="J83" s="872">
        <v>0</v>
      </c>
      <c r="K83" s="873"/>
      <c r="L83" s="870">
        <f t="shared" si="8"/>
        <v>0</v>
      </c>
      <c r="M83" s="868">
        <v>0</v>
      </c>
      <c r="N83" s="868">
        <v>0</v>
      </c>
      <c r="O83" s="868">
        <v>0</v>
      </c>
      <c r="P83" s="868">
        <v>0</v>
      </c>
      <c r="Q83" s="874">
        <v>0</v>
      </c>
      <c r="S83" s="875">
        <f>(L83*E83*looptijd)</f>
        <v>0</v>
      </c>
      <c r="U83" s="876">
        <f>(Netto_cat_die_taxibus_klein*H83)+(Netto_cat_benz_taxibus_klein*I83)+(Netto_cat_CNG_taxibus_klein*J83)</f>
        <v>0</v>
      </c>
      <c r="V83" s="877">
        <f>IF($G83=0,0,U83/($E83*$G83*looptijd))</f>
        <v>0</v>
      </c>
      <c r="W83" s="878">
        <f>IF(BPM_belasting="ja",(BPM_die_taxibus_klein*H83)+(BPM_benz_taxibus_klein*I83)+(BPM_CNG_taxibus_klein*J83),0)</f>
        <v>0</v>
      </c>
      <c r="X83" s="877">
        <f>IF($G83=0,0,W83/($E83*looptijd*$G83))</f>
        <v>0</v>
      </c>
      <c r="Y83" s="879">
        <f>BTW*U83</f>
        <v>0</v>
      </c>
      <c r="Z83" s="879">
        <f>SUM(U83:Y83)</f>
        <v>0</v>
      </c>
      <c r="AA83" s="879">
        <f>IF(BTW_verrekening="ja",((U83+W83-AW83))/2*Rente_financiering,((U83+W83+Y83-AW83)/2)*Rente_financiering)</f>
        <v>0</v>
      </c>
      <c r="AB83" s="880">
        <f>IF(G83=0,0,AA83*looptijd/($E83*looptijd*$G83))</f>
        <v>0</v>
      </c>
      <c r="AD83" s="876">
        <f>(Netto_cat_die_taxibus_klein*M83)+(Netto_cat_benz_taxibus_klein*N83)+(Netto_cat_CNG_taxibus_klein*O83)+(Netto_cat_BEV_taxibus_klein*P83)+(Netto_cat_FCEV_taxi_klein*Q83)</f>
        <v>0</v>
      </c>
      <c r="AE83" s="877">
        <f>IF($L83=0,0,AD83/($E83*$L83*looptijd))</f>
        <v>0</v>
      </c>
      <c r="AF83" s="878">
        <f>IF(BPM_belasting="ja",(BPM_benz_A*N83)+(BPM_CNG_A*O83)+(P83*BPM_BEV)+(Q83*BPM_FCEV),0)</f>
        <v>0</v>
      </c>
      <c r="AG83" s="878">
        <f>IF($L83=0,0,AF83/($E83*looptijd*$L83))</f>
        <v>0</v>
      </c>
      <c r="AH83" s="878">
        <f>BTW*AD83</f>
        <v>0</v>
      </c>
      <c r="AI83" s="878">
        <f>SUM(AD83:AH83)</f>
        <v>0</v>
      </c>
      <c r="AJ83" s="878">
        <f>IF('2. Invoer parameters'!$C$10="ja",MIA_BEV_taxibus_klein*P83,0)</f>
        <v>0</v>
      </c>
      <c r="AK83" s="882">
        <f>IF($L83=0,0,AJ83/($E83*looptijd*$L83))</f>
        <v>0</v>
      </c>
      <c r="AL83" s="881">
        <f>IF(BPM_belasting="nee",(((AD83-AJ83)-BK83)/2)*Rente_financiering,(((AD83-AJ83+AF83)-BL83)/2)*Rente_financiering)</f>
        <v>0</v>
      </c>
      <c r="AM83" s="880">
        <f>IF($L83=0,0,AL83*looptijd/($E83*looptijd*$L83))</f>
        <v>0</v>
      </c>
      <c r="AO83" s="876">
        <f>(H83*verz_die_taxibus_klein)+(I83*verz_benz_taxibus_klein)+(J83*verz_CNG_taxibus_klein)</f>
        <v>0</v>
      </c>
      <c r="AP83" s="877">
        <f>IF($G83=0,0,(AO83*12*looptijd)/($E83*looptijd*$G83))</f>
        <v>0</v>
      </c>
      <c r="AQ83" s="878">
        <f>(input_MRB_die_taxibus_klein*$H83)+(input_MRB_benz_taxibus_klein*$I83)+(input_MRB_CNG_taxibus_klein*J83)</f>
        <v>0</v>
      </c>
      <c r="AR83" s="877">
        <f>IF($G83=0,0,AQ83/($E83*looptijd*$G83))</f>
        <v>0</v>
      </c>
      <c r="AS83" s="878">
        <f>($E83*H83*(gem_verbr_die_taxi_klein/100)*prijs_die)+($E83*I83*(gem_verbr_benz_taxi_klein/100)*prijs_benz)+($E83*J83*(gem_verbr_CNG_taxi_klein/100)*prijs_CNG)</f>
        <v>0</v>
      </c>
      <c r="AT83" s="877">
        <f>IF($G83=0,0,(AS83*looptijd)/(looptijd*$E83*$G83))</f>
        <v>0</v>
      </c>
      <c r="AU83" s="878">
        <f>($E83*H83*Onderh_die_taxibus_klein)+($E83*I83*Onderh_benz_taxibus_klein)+($E83*J83*Onderh_CNG_taxibus_klein)</f>
        <v>0</v>
      </c>
      <c r="AV83" s="877">
        <f>IF($G83=0,0,(AU83*looptijd)/(looptijd*$E83*$G83))</f>
        <v>0</v>
      </c>
      <c r="AW83" s="878">
        <f>Rest_perc*SUM(U83:W83)</f>
        <v>0</v>
      </c>
      <c r="AX83" s="881">
        <f>Rest_perc*SUM(U83:Y83)</f>
        <v>0</v>
      </c>
      <c r="AY83" s="878">
        <f>IF(BTW_verrekening="Ja",((U83+W83)-AW83)/(looptijd*12),((U83+W83+Y83)-AX83)/(looptijd*12))</f>
        <v>0</v>
      </c>
      <c r="AZ83" s="877">
        <f>IF($G83=0,0,(AY83*12*looptijd)/(looptijd*$E83*$G83))</f>
        <v>0</v>
      </c>
      <c r="BA83" s="883">
        <f>(_schadekosten_per_km*E83*G83)/12</f>
        <v>0</v>
      </c>
      <c r="BB83" s="884">
        <f>IF($G83=0,0,(BA83*12*looptijd)/($E83*$G83*looptijd))</f>
        <v>0</v>
      </c>
      <c r="BD83" s="876">
        <f>(M83*verz_die_taxibus_klein)+(N83*verz_benz_taxibus_klein)+(O83*verz_CNG_taxibus_klein)+(P83*verz_BEV_taxibus_klein)+(Q83*verz_FCEV_taxi_klein)</f>
        <v>0</v>
      </c>
      <c r="BE83" s="877">
        <f>IF($L83=0,0,(BD83*12*looptijd)/($E83*looptijd*$L83))</f>
        <v>0</v>
      </c>
      <c r="BF83" s="878">
        <f>(input_MRB_die_taxibus_klein*M83)+(input_MRB_benz_taxibus_klein*N83)+(input_MRB_CNG_taxibus_klein*O83)+(input_MRB_BEV_taxibus_klein*P83)+(input_MRB_FCEV_taxi_klein*Q83)</f>
        <v>0</v>
      </c>
      <c r="BG83" s="877">
        <f>IF($L83=0,0,BF83/($E83*looptijd*$L83))</f>
        <v>0</v>
      </c>
      <c r="BH83" s="878">
        <f>($E83*M83*(gem_verbr_die_taxi_klein/100)*prijs_die)+($E83*N83*(gem_verbr_die_taxi_klein/100)*prijs_benz)+($E83*O83*(gem_verbr_CNG_taxi_klein/100)*prijs_CNG)+($E83*P83*(gem_verbr_BEV_taxi_klein/100)*prijs_elek_berekening)+($E83*Q83*(gem_verbr_FCEV_taxi_klein_Elek/100)*prijs_elek_berekening*(100%-_verh_H2_accu_taxi_klein))+($E83*Q83*(gem_verbr_FCEV_taxi_klein_H2/100)*prijs_H2*(_verh_H2_accu_taxi_klein))</f>
        <v>0</v>
      </c>
      <c r="BI83" s="877">
        <f>IF($L83=0,0,(BH83*looptijd)/(looptijd*$E83*$L83))</f>
        <v>0</v>
      </c>
      <c r="BJ83" s="885"/>
      <c r="BK83" s="878">
        <f>Rest_perc_ZE*(AD83+AF83)</f>
        <v>0</v>
      </c>
      <c r="BL83" s="878">
        <f>Rest_perc_ZE*(AD83+AF83+AH83)</f>
        <v>0</v>
      </c>
      <c r="BM83" s="885"/>
      <c r="BN83" s="878">
        <f>($E83*M83*Onderh_die_taxibus_klein)+($E83*N83*Onderh_benz_taxibus_klein)+($E83*O83*Onderh_CNG_taxibus_klein)+($E83*P83*Onderh_BEV_taxibus_klein)+($E83*Q83*Onderh_FCEV_taxi_klein)</f>
        <v>0</v>
      </c>
      <c r="BO83" s="877">
        <f>IF($L83=0,0,(BN83*looptijd)/(looptijd*$E83*$L83))</f>
        <v>0</v>
      </c>
      <c r="BP83" s="878"/>
      <c r="BQ83" s="878">
        <f>IF(BTW_verrekening="Ja",((AD83+AF83-AJ83)-BK83)/(looptijd*12),((AD83+AF83+AH83-AJ83)-BL83)/(looptijd*12))</f>
        <v>0</v>
      </c>
      <c r="BR83" s="877">
        <f>IF($G83=0,0,(BQ83*12*looptijd)/(looptijd*$E83*$G83))</f>
        <v>0</v>
      </c>
      <c r="BS83" s="885"/>
      <c r="BT83" s="883">
        <f>(_schadekosten_per_km*E83*L83)/12</f>
        <v>0</v>
      </c>
      <c r="BU83" s="884">
        <f>IF($L83=0,0,(BT83*12*looptijd)/($E83*$L83*looptijd))</f>
        <v>0</v>
      </c>
      <c r="BV83" s="881"/>
      <c r="BW83" s="886">
        <f>(Efac_die_TTW*(gem_verbr_die_taxi_klein/100)*$E83*H83)+(Efac_benz_TTW*(gem_verbr_benz_taxi_klein/100)*$E83*I83)+(Efac_CNG_berekening_TTW*(gem_verbr_CNG_taxi_klein/100)*$E83*J83)</f>
        <v>0</v>
      </c>
      <c r="BX83" s="887">
        <f>(Efac_die_WTW*(gem_verbr_die_taxi_klein/100)*$E83*H83)+(Efac_benz_WTW*(gem_verbr_benz_taxi_klein/100)*$E83*I83)+(Efac_CNG_berekening_WTW*(gem_verbr_CNG_taxi_klein/100)*$E83*J83)</f>
        <v>0</v>
      </c>
      <c r="BY83" s="888">
        <f>IF($G83=0,0,(BX83*looptijd)/($E83*$G83*looptijd))</f>
        <v>0</v>
      </c>
      <c r="BZ83" s="889"/>
      <c r="CA83" s="886">
        <f>(Efac_die_TTW*(gem_verbr_die_taxi_klein/100)*$E83*M83)+(Efac_benz_TTW*(gem_verbr_benz_taxi_klein/100)*$E83*N83)+(Efac_CNG_berekening_TTW*(gem_verbr_CNG_taxi_klein/100)*$E83*O83)+(Efac_elek_berekening_TTW*(gem_verbr_BEV_taxi_klein/100)*$E83*P83)+(Efac_elek_berekening_TTW*(gem_verbr_FCEV_taxi_klein_Elek/100)*(100%-_verh_H2_accu_taxi_klein)*Q83)+(Efac_H2_berekening_TTW*(gem_verbr_FCEV_taxi_klein_H2/100)*(_verh_H2_accu_taxi_klein)*Q83)</f>
        <v>0</v>
      </c>
      <c r="CB83" s="887">
        <f>(Efac_die_WTW*(gem_verbr_die_taxi_klein/100)*$E83*M83)+(Efac_benz_WTW*(gem_verbr_benz_taxi_klein/100)*$E83*N83)+(Efac_CNG_berekening_WTW*(gem_verbr_CNG_taxi_klein/100)*$E83*O83)+(Efac_elek_berekening_WTW*(gem_verbr_BEV_taxi_klein/100)*$E83*P83)+(Efac_elek_berekening_WTW*(gem_verbr_FCEV_taxi_klein_Elek/100)*(100%-_verh_H2_accu_taxi_klein)*Q83)+(Efac_H2_berekening_WTW*(gem_verbr_FCEV_taxi_klein_H2/100)*(_verh_H2_accu_taxi_klein)*Q83)</f>
        <v>0</v>
      </c>
      <c r="CC83" s="888">
        <f>IF($L83=0,0,(CB83*looptijd)/($L83*$E83*looptijd))</f>
        <v>0</v>
      </c>
    </row>
    <row r="84" spans="1:81">
      <c r="A84" s="891">
        <v>44</v>
      </c>
      <c r="B84" s="894" t="s">
        <v>728</v>
      </c>
      <c r="C84" s="868" t="s">
        <v>752</v>
      </c>
      <c r="D84" s="868"/>
      <c r="E84" s="872">
        <v>50000</v>
      </c>
      <c r="F84" s="873"/>
      <c r="G84" s="870">
        <f t="shared" si="7"/>
        <v>0</v>
      </c>
      <c r="H84" s="868">
        <v>0</v>
      </c>
      <c r="I84" s="868">
        <v>0</v>
      </c>
      <c r="J84" s="872">
        <v>0</v>
      </c>
      <c r="K84" s="873"/>
      <c r="L84" s="870">
        <f t="shared" si="8"/>
        <v>0</v>
      </c>
      <c r="M84" s="868">
        <v>0</v>
      </c>
      <c r="N84" s="868">
        <v>0</v>
      </c>
      <c r="O84" s="868">
        <v>0</v>
      </c>
      <c r="P84" s="868">
        <v>0</v>
      </c>
      <c r="Q84" s="874">
        <v>0</v>
      </c>
      <c r="S84" s="875">
        <f>(L84*E84*looptijd)</f>
        <v>0</v>
      </c>
      <c r="U84" s="876">
        <f>(Netto_cat_die_taxibus_klein*H84)+(Netto_cat_benz_taxibus_klein*I84)+(Netto_cat_CNG_taxibus_klein*J84)</f>
        <v>0</v>
      </c>
      <c r="V84" s="877">
        <f>IF($G84=0,0,U84/($E84*$G84*looptijd))</f>
        <v>0</v>
      </c>
      <c r="W84" s="878">
        <f>IF(BPM_belasting="ja",(BPM_die_taxibus_klein*H84)+(BPM_benz_taxibus_klein*I84)+(BPM_CNG_taxibus_klein*J84),0)</f>
        <v>0</v>
      </c>
      <c r="X84" s="877">
        <f>IF($G84=0,0,W84/($E84*looptijd*$G84))</f>
        <v>0</v>
      </c>
      <c r="Y84" s="879">
        <f>BTW*U84</f>
        <v>0</v>
      </c>
      <c r="Z84" s="879">
        <f>SUM(U84:Y84)</f>
        <v>0</v>
      </c>
      <c r="AA84" s="879">
        <f>IF(BTW_verrekening="ja",((U84+W84-AW84))/2*Rente_financiering,((U84+W84+Y84-AW84)/2)*Rente_financiering)</f>
        <v>0</v>
      </c>
      <c r="AB84" s="880">
        <f>IF(G84=0,0,AA84*looptijd/($E84*looptijd*$G84))</f>
        <v>0</v>
      </c>
      <c r="AD84" s="876">
        <f>(Netto_cat_die_taxibus_klein*M84)+(Netto_cat_benz_taxibus_klein*N84)+(Netto_cat_CNG_taxibus_klein*O84)+(Netto_cat_BEV_taxibus_klein*P84)+(Netto_cat_FCEV_taxi_klein*Q84)</f>
        <v>0</v>
      </c>
      <c r="AE84" s="877">
        <f>IF($L84=0,0,AD84/($E84*$L84*looptijd))</f>
        <v>0</v>
      </c>
      <c r="AF84" s="878">
        <f>IF(BPM_belasting="ja",(BPM_benz_A*N84)+(BPM_CNG_A*O84)+(P84*BPM_BEV)+(Q84*BPM_FCEV),0)</f>
        <v>0</v>
      </c>
      <c r="AG84" s="878">
        <f>IF($L84=0,0,AF84/($E84*looptijd*$L84))</f>
        <v>0</v>
      </c>
      <c r="AH84" s="878">
        <f>BTW*AD84</f>
        <v>0</v>
      </c>
      <c r="AI84" s="878">
        <f>SUM(AD84:AH84)</f>
        <v>0</v>
      </c>
      <c r="AJ84" s="878">
        <f>IF('2. Invoer parameters'!$C$10="ja",MIA_BEV_taxibus_klein*P84,0)</f>
        <v>0</v>
      </c>
      <c r="AK84" s="882">
        <f>IF($L84=0,0,AJ84/($E84*looptijd*$L84))</f>
        <v>0</v>
      </c>
      <c r="AL84" s="881">
        <f>IF(BPM_belasting="nee",(((AD84-AJ84)-BK84)/2)*Rente_financiering,(((AD84-AJ84+AF84)-BL84)/2)*Rente_financiering)</f>
        <v>0</v>
      </c>
      <c r="AM84" s="880">
        <f>IF($L84=0,0,AL84*looptijd/($E84*looptijd*$L84))</f>
        <v>0</v>
      </c>
      <c r="AO84" s="876">
        <f>(H84*verz_die_taxibus_klein)+(I84*verz_benz_taxibus_klein)+(J84*verz_CNG_taxibus_klein)</f>
        <v>0</v>
      </c>
      <c r="AP84" s="877">
        <f>IF($G84=0,0,(AO84*12*looptijd)/($E84*looptijd*$G84))</f>
        <v>0</v>
      </c>
      <c r="AQ84" s="878">
        <f>(input_MRB_die_taxibus_klein*$H84)+(input_MRB_benz_taxibus_klein*$I84)+(input_MRB_CNG_taxibus_klein*J84)</f>
        <v>0</v>
      </c>
      <c r="AR84" s="877">
        <f>IF($G84=0,0,AQ84/($E84*looptijd*$G84))</f>
        <v>0</v>
      </c>
      <c r="AS84" s="878">
        <f>($E84*H84*(gem_verbr_die_taxi_klein/100)*prijs_die)+($E84*I84*(gem_verbr_benz_taxi_klein/100)*prijs_benz)+($E84*J84*(gem_verbr_CNG_taxi_klein/100)*prijs_CNG)</f>
        <v>0</v>
      </c>
      <c r="AT84" s="877">
        <f>IF($G84=0,0,(AS84*looptijd)/(looptijd*$E84*$G84))</f>
        <v>0</v>
      </c>
      <c r="AU84" s="878">
        <f>($E84*H84*Onderh_die_taxibus_klein_hoog_km)+($E84*I84*Onderh_benz_taxibus_klein_hoog_km)+($E84*J84*Onderh_CNG_taxibus_klein_hoog_km)</f>
        <v>0</v>
      </c>
      <c r="AV84" s="877">
        <f>IF($G84=0,0,(AU84*looptijd)/(looptijd*$E84*$G84))</f>
        <v>0</v>
      </c>
      <c r="AW84" s="878">
        <f>Rest_perc*SUM(U84:W84)</f>
        <v>0</v>
      </c>
      <c r="AX84" s="881">
        <f>Rest_perc*SUM(U84:Y84)</f>
        <v>0</v>
      </c>
      <c r="AY84" s="878">
        <f>IF(BTW_verrekening="Ja",((U84+W84)-AW84)/(looptijd*12),((U84+W84+Y84)-AX84)/(looptijd*12))</f>
        <v>0</v>
      </c>
      <c r="AZ84" s="877">
        <f>IF($G84=0,0,(AY84*12*looptijd)/(looptijd*$E84*$G84))</f>
        <v>0</v>
      </c>
      <c r="BA84" s="883">
        <f>(_schadekosten_per_km*E84*G84)/12</f>
        <v>0</v>
      </c>
      <c r="BB84" s="884">
        <f>IF($G84=0,0,(BA84*12*looptijd)/($E84*$G84*looptijd))</f>
        <v>0</v>
      </c>
      <c r="BD84" s="876">
        <f>(M84*verz_die_taxibus_klein)+(N84*verz_benz_taxibus_klein)+(O84*verz_CNG_taxibus_klein)+(P84*verz_BEV_taxibus_klein)+(Q84*verz_FCEV_taxi_klein)</f>
        <v>0</v>
      </c>
      <c r="BE84" s="877">
        <f>IF($L84=0,0,(BD84*12*looptijd)/($E84*looptijd*$L84))</f>
        <v>0</v>
      </c>
      <c r="BF84" s="878">
        <f>(input_MRB_die_taxibus_klein*M84)+(input_MRB_benz_taxibus_klein*N84)+(input_MRB_CNG_taxibus_klein*O84)+(input_MRB_BEV_taxibus_klein*P84)+(input_MRB_FCEV_taxi_klein*Q84)</f>
        <v>0</v>
      </c>
      <c r="BG84" s="877">
        <f>IF($L84=0,0,BF84/($E84*looptijd*$L84))</f>
        <v>0</v>
      </c>
      <c r="BH84" s="878">
        <f>($E84*M84*(gem_verbr_die_taxi_klein/100)*prijs_die)+($E84*N84*(gem_verbr_die_taxi_klein/100)*prijs_benz)+($E84*O84*(gem_verbr_CNG_taxi_klein/100)*prijs_CNG)+($E84*P84*(gem_verbr_BEV_taxi_klein/100)*prijs_elek_berekening)+($E84*Q84*(gem_verbr_FCEV_taxi_klein_Elek/100)*prijs_elek_berekening*(100%-_verh_H2_accu_taxi_klein))+($E84*Q84*(gem_verbr_FCEV_taxi_klein_H2/100)*prijs_H2*(_verh_H2_accu_taxi_klein))</f>
        <v>0</v>
      </c>
      <c r="BI84" s="877">
        <f>IF($L84=0,0,(BH84*looptijd)/(looptijd*$E84*$L84))</f>
        <v>0</v>
      </c>
      <c r="BJ84" s="885"/>
      <c r="BK84" s="878">
        <f>Rest_perc_ZE*(AD84+AF84)</f>
        <v>0</v>
      </c>
      <c r="BL84" s="878">
        <f>Rest_perc_ZE*(AD84+AF84+AH84)</f>
        <v>0</v>
      </c>
      <c r="BM84" s="885"/>
      <c r="BN84" s="878">
        <f>($E84*M84*Onderh_die_taxibus_klein_hoog_km)+($E84*N84*Onderh_benz_taxibus_klein_hoog_km)+($E84*O84*Onderh_CNG_taxibus_klein_hoog_km)+($E84*P84*Onderh_BEV_taxibus_klein_hoog_km)+($E84*Q84*Onderh_FCEV_taxi_klein_hoog_km)</f>
        <v>0</v>
      </c>
      <c r="BO84" s="877">
        <f>IF($L84=0,0,(BN84*looptijd)/(looptijd*$E84*$L84))</f>
        <v>0</v>
      </c>
      <c r="BP84" s="878"/>
      <c r="BQ84" s="878">
        <f>IF(BTW_verrekening="Ja",((AD84+AF84-AJ84)-BK84)/(looptijd*12),((AD84+AF84+AH84-AJ84)-BL84)/(looptijd*12))</f>
        <v>0</v>
      </c>
      <c r="BR84" s="877">
        <f>IF($G84=0,0,(BQ84*12*looptijd)/(looptijd*$E84*$G84))</f>
        <v>0</v>
      </c>
      <c r="BS84" s="885"/>
      <c r="BT84" s="883">
        <f>(_schadekosten_per_km*E84*L84)/12</f>
        <v>0</v>
      </c>
      <c r="BU84" s="884">
        <f>IF($L84=0,0,(BT84*12*looptijd)/($E84*$L84*looptijd))</f>
        <v>0</v>
      </c>
      <c r="BV84" s="881"/>
      <c r="BW84" s="886">
        <f>(Efac_die_TTW*(gem_verbr_die_taxi_klein/100)*$E84*H84)+(Efac_benz_TTW*(gem_verbr_benz_taxi_klein/100)*$E84*I84)+(Efac_CNG_berekening_TTW*(gem_verbr_CNG_taxi_klein/100)*$E84*J84)</f>
        <v>0</v>
      </c>
      <c r="BX84" s="887">
        <f>(Efac_die_WTW*(gem_verbr_die_taxi_klein/100)*$E84*H84)+(Efac_benz_WTW*(gem_verbr_benz_taxi_klein/100)*$E84*I84)+(Efac_CNG_berekening_WTW*(gem_verbr_CNG_taxi_klein/100)*$E84*J84)</f>
        <v>0</v>
      </c>
      <c r="BY84" s="888">
        <f>IF($G84=0,0,(BX84*looptijd)/($E84*$G84*looptijd))</f>
        <v>0</v>
      </c>
      <c r="BZ84" s="889"/>
      <c r="CA84" s="886">
        <f>(Efac_die_TTW*(gem_verbr_die_taxi_klein/100)*$E84*M84)+(Efac_benz_TTW*(gem_verbr_benz_taxi_klein/100)*$E84*N84)+(Efac_CNG_berekening_TTW*(gem_verbr_CNG_taxi_klein/100)*$E84*O84)+(Efac_elek_berekening_TTW*(gem_verbr_BEV_taxi_klein/100)*$E84*P84)+(Efac_elek_berekening_TTW*(gem_verbr_FCEV_taxi_klein_Elek/100)*(100%-_verh_H2_accu_taxi_klein)*Q84)+(Efac_H2_berekening_TTW*(gem_verbr_FCEV_taxi_klein_H2/100)*(_verh_H2_accu_taxi_klein)*Q84)</f>
        <v>0</v>
      </c>
      <c r="CB84" s="887">
        <f>(Efac_die_WTW*(gem_verbr_die_taxi_klein/100)*$E84*M84)+(Efac_benz_WTW*(gem_verbr_benz_taxi_klein/100)*$E84*N84)+(Efac_CNG_berekening_WTW*(gem_verbr_CNG_taxi_klein/100)*$E84*O84)+(Efac_elek_berekening_WTW*(gem_verbr_BEV_taxi_klein/100)*$E84*P84)+(Efac_elek_berekening_WTW*(gem_verbr_FCEV_taxi_klein_Elek/100)*(100%-_verh_H2_accu_taxi_klein)*Q84)+(Efac_H2_berekening_WTW*(gem_verbr_FCEV_taxi_klein_H2/100)*(_verh_H2_accu_taxi_klein)*Q84)</f>
        <v>0</v>
      </c>
      <c r="CC84" s="888">
        <f>IF($L84=0,0,(CB84*looptijd)/($L84*$E84*looptijd))</f>
        <v>0</v>
      </c>
    </row>
    <row r="85" spans="1:81">
      <c r="A85" s="891">
        <v>45</v>
      </c>
      <c r="B85" s="894" t="s">
        <v>728</v>
      </c>
      <c r="C85" s="868" t="s">
        <v>1695</v>
      </c>
      <c r="D85" s="868"/>
      <c r="E85" s="872">
        <v>75000</v>
      </c>
      <c r="F85" s="873"/>
      <c r="G85" s="870">
        <f t="shared" si="7"/>
        <v>0</v>
      </c>
      <c r="H85" s="868">
        <v>0</v>
      </c>
      <c r="I85" s="868">
        <v>0</v>
      </c>
      <c r="J85" s="872">
        <v>0</v>
      </c>
      <c r="K85" s="873"/>
      <c r="L85" s="870">
        <f t="shared" si="8"/>
        <v>0</v>
      </c>
      <c r="M85" s="868">
        <v>0</v>
      </c>
      <c r="N85" s="868">
        <v>0</v>
      </c>
      <c r="O85" s="868">
        <v>0</v>
      </c>
      <c r="P85" s="868">
        <v>0</v>
      </c>
      <c r="Q85" s="874">
        <v>0</v>
      </c>
      <c r="S85" s="875">
        <f>(L85*E85*looptijd)</f>
        <v>0</v>
      </c>
      <c r="U85" s="876">
        <f>(Netto_cat_die_taxibus_klein*H85)+(Netto_cat_benz_taxibus_klein*I85)+(Netto_cat_CNG_taxibus_klein*J85)</f>
        <v>0</v>
      </c>
      <c r="V85" s="877">
        <f>IF($G85=0,0,U85/($E85*$G85*looptijd))</f>
        <v>0</v>
      </c>
      <c r="W85" s="878">
        <f>IF(BPM_belasting="ja",(BPM_die_taxibus_klein*H85)+(BPM_benz_taxibus_klein*I85)+(BPM_CNG_taxibus_klein*J85),0)</f>
        <v>0</v>
      </c>
      <c r="X85" s="877">
        <f>IF($G85=0,0,W85/($E85*looptijd*$G85))</f>
        <v>0</v>
      </c>
      <c r="Y85" s="879">
        <f>BTW*U85</f>
        <v>0</v>
      </c>
      <c r="Z85" s="879">
        <f>SUM(U85:Y85)</f>
        <v>0</v>
      </c>
      <c r="AA85" s="879">
        <f>IF(BTW_verrekening="ja",((U85+W85-AW85))/2*Rente_financiering,((U85+W85+Y85-AW85)/2)*Rente_financiering)</f>
        <v>0</v>
      </c>
      <c r="AB85" s="880">
        <f>IF(G85=0,0,AA85*looptijd/($E85*looptijd*$G85))</f>
        <v>0</v>
      </c>
      <c r="AD85" s="876">
        <f>(Netto_cat_die_taxibus_klein*M85)+(Netto_cat_benz_taxibus_klein*N85)+(Netto_cat_CNG_taxibus_klein*O85)+(Netto_cat_BEV_taxibus_klein*P85)+(Netto_cat_FCEV_taxi_klein*Q85)</f>
        <v>0</v>
      </c>
      <c r="AE85" s="877">
        <f>IF($L85=0,0,AD85/($E85*$L85*looptijd))</f>
        <v>0</v>
      </c>
      <c r="AF85" s="878">
        <f>IF(BPM_belasting="ja",(BPM_benz_A*N85)+(BPM_CNG_A*O85)+(P85*BPM_BEV)+(Q85*BPM_FCEV),0)</f>
        <v>0</v>
      </c>
      <c r="AG85" s="878">
        <f>IF($L85=0,0,AF85/($E85*looptijd*$L85))</f>
        <v>0</v>
      </c>
      <c r="AH85" s="878">
        <f>BTW*AD85</f>
        <v>0</v>
      </c>
      <c r="AI85" s="878">
        <f>SUM(AD85:AH85)</f>
        <v>0</v>
      </c>
      <c r="AJ85" s="878">
        <f>IF('2. Invoer parameters'!$C$10="ja",MIA_BEV_taxibus_klein*P85,0)</f>
        <v>0</v>
      </c>
      <c r="AK85" s="882">
        <f>IF($L85=0,0,AJ85/($E85*looptijd*$L85))</f>
        <v>0</v>
      </c>
      <c r="AL85" s="881">
        <f>IF(BPM_belasting="nee",(((AD85-AJ85)-BK85)/2)*Rente_financiering,(((AD85-AJ85+AF85)-BL85)/2)*Rente_financiering)</f>
        <v>0</v>
      </c>
      <c r="AM85" s="880">
        <f>IF($L85=0,0,AL85*looptijd/($E85*looptijd*$L85))</f>
        <v>0</v>
      </c>
      <c r="AO85" s="876">
        <f>(H85*verz_die_taxibus_klein)+(I85*verz_benz_taxibus_klein)+(J85*verz_CNG_taxibus_klein)</f>
        <v>0</v>
      </c>
      <c r="AP85" s="877">
        <f>IF($G85=0,0,(AO85*12*looptijd)/($E85*looptijd*$G85))</f>
        <v>0</v>
      </c>
      <c r="AQ85" s="878">
        <f>(input_MRB_die_taxibus_klein*$H85)+(input_MRB_benz_taxibus_klein*$I85)+(input_MRB_CNG_taxibus_klein*J85)</f>
        <v>0</v>
      </c>
      <c r="AR85" s="877">
        <f>IF($G85=0,0,AQ85/($E85*looptijd*$G85))</f>
        <v>0</v>
      </c>
      <c r="AS85" s="878">
        <f>($E85*H85*(gem_verbr_die_taxi_klein/100)*prijs_die)+($E85*I85*(gem_verbr_benz_taxi_klein/100)*prijs_benz)+($E85*J85*(gem_verbr_CNG_taxi_klein/100)*prijs_CNG)</f>
        <v>0</v>
      </c>
      <c r="AT85" s="877">
        <f>IF($G85=0,0,(AS85*looptijd)/(looptijd*$E85*$G85))</f>
        <v>0</v>
      </c>
      <c r="AU85" s="878">
        <f>($E85*H85*Onderh_die_taxibus_klein_hoog_km)+($E85*I85*Onderh_benz_taxibus_klein_hoog_km)+($E85*J85*Onderh_CNG_taxibus_klein_hoog_km)</f>
        <v>0</v>
      </c>
      <c r="AV85" s="877">
        <f>IF($G85=0,0,(AU85*looptijd)/(looptijd*$E85*$G85))</f>
        <v>0</v>
      </c>
      <c r="AW85" s="878">
        <f>Rest_perc*SUM(U85:W85)</f>
        <v>0</v>
      </c>
      <c r="AX85" s="881">
        <f>Rest_perc*SUM(U85:Y85)</f>
        <v>0</v>
      </c>
      <c r="AY85" s="878">
        <f>IF(BTW_verrekening="Ja",((U85+W85)-AW85)/(looptijd*12),((U85+W85+Y85)-AX85)/(looptijd*12))</f>
        <v>0</v>
      </c>
      <c r="AZ85" s="877">
        <f>IF($G85=0,0,(AY85*12*looptijd)/(looptijd*$E85*$G85))</f>
        <v>0</v>
      </c>
      <c r="BA85" s="883">
        <f>(_schadekosten_per_km*E85*G85)/12</f>
        <v>0</v>
      </c>
      <c r="BB85" s="884">
        <f>IF($G85=0,0,(BA85*12*looptijd)/($E85*$G85*looptijd))</f>
        <v>0</v>
      </c>
      <c r="BD85" s="876">
        <f>(M85*verz_die_taxibus_klein)+(N85*verz_benz_taxibus_klein)+(O85*verz_CNG_taxibus_klein)+(P85*verz_BEV_taxibus_klein)+(Q85*verz_FCEV_taxi_klein)</f>
        <v>0</v>
      </c>
      <c r="BE85" s="877">
        <f>IF($L85=0,0,(BD85*12*looptijd)/($E85*looptijd*$L85))</f>
        <v>0</v>
      </c>
      <c r="BF85" s="878">
        <f>(input_MRB_die_taxibus_klein*M85)+(input_MRB_benz_taxibus_klein*N85)+(input_MRB_CNG_taxibus_klein*O85)+(input_MRB_BEV_taxibus_klein*P85)+(input_MRB_FCEV_taxi_klein*Q85)</f>
        <v>0</v>
      </c>
      <c r="BG85" s="877">
        <f>IF($L85=0,0,BF85/($E85*looptijd*$L85))</f>
        <v>0</v>
      </c>
      <c r="BH85" s="878">
        <f>($E85*M85*(gem_verbr_die_taxi_klein/100)*prijs_die)+($E85*N85*(gem_verbr_die_taxi_klein/100)*prijs_benz)+($E85*O85*(gem_verbr_CNG_taxi_klein/100)*prijs_CNG)+($E85*P85*(gem_verbr_BEV_taxi_klein/100)*prijs_elek_berekening)+($E85*Q85*(gem_verbr_FCEV_taxi_klein_Elek/100)*prijs_elek_berekening*(100%-_verh_H2_accu_taxi_klein))+($E85*Q85*(gem_verbr_FCEV_taxi_klein_H2/100)*prijs_H2*(_verh_H2_accu_taxi_klein))</f>
        <v>0</v>
      </c>
      <c r="BI85" s="877">
        <f>IF($L85=0,0,(BH85*looptijd)/(looptijd*$E85*$L85))</f>
        <v>0</v>
      </c>
      <c r="BJ85" s="885"/>
      <c r="BK85" s="878">
        <f>Rest_perc_ZE*(AD85+AF85)</f>
        <v>0</v>
      </c>
      <c r="BL85" s="878">
        <f>Rest_perc_ZE*(AD85+AF85+AH85)</f>
        <v>0</v>
      </c>
      <c r="BM85" s="885"/>
      <c r="BN85" s="878">
        <f>($E85*M85*Onderh_die_taxibus_klein_hoog_km)+($E85*N85*Onderh_benz_taxibus_klein_hoog_km)+($E85*O85*Onderh_CNG_taxibus_klein_hoog_km)+($E85*P85*Onderh_BEV_taxibus_klein_hoog_km)+($E85*Q85*Onderh_FCEV_taxi_klein_hoog_km)</f>
        <v>0</v>
      </c>
      <c r="BO85" s="877">
        <f>IF($L85=0,0,(BN85*looptijd)/(looptijd*$E85*$L85))</f>
        <v>0</v>
      </c>
      <c r="BP85" s="878"/>
      <c r="BQ85" s="878">
        <f>IF(BTW_verrekening="Ja",((AD85+AF85-AJ85)-BK85)/(looptijd*12),((AD85+AF85+AH85-AJ85)-BL85)/(looptijd*12))</f>
        <v>0</v>
      </c>
      <c r="BR85" s="877">
        <f>IF($G85=0,0,(BQ85*12*looptijd)/(looptijd*$E85*$G85))</f>
        <v>0</v>
      </c>
      <c r="BS85" s="885"/>
      <c r="BT85" s="883">
        <f>(_schadekosten_per_km*E85*L85)/12</f>
        <v>0</v>
      </c>
      <c r="BU85" s="884">
        <f>IF($L85=0,0,(BT85*12*looptijd)/($E85*$L85*looptijd))</f>
        <v>0</v>
      </c>
      <c r="BV85" s="881"/>
      <c r="BW85" s="886">
        <f>(Efac_die_TTW*(gem_verbr_die_taxi_klein/100)*$E85*H85)+(Efac_benz_TTW*(gem_verbr_benz_taxi_klein/100)*$E85*I85)+(Efac_CNG_berekening_TTW*(gem_verbr_CNG_taxi_klein/100)*$E85*J85)</f>
        <v>0</v>
      </c>
      <c r="BX85" s="887">
        <f>(Efac_die_WTW*(gem_verbr_die_taxi_klein/100)*$E85*H85)+(Efac_benz_WTW*(gem_verbr_benz_taxi_klein/100)*$E85*I85)+(Efac_CNG_berekening_WTW*(gem_verbr_CNG_taxi_klein/100)*$E85*J85)</f>
        <v>0</v>
      </c>
      <c r="BY85" s="888">
        <f>IF($G85=0,0,(BX85*looptijd)/($E85*$G85*looptijd))</f>
        <v>0</v>
      </c>
      <c r="BZ85" s="889"/>
      <c r="CA85" s="886">
        <f>(Efac_die_TTW*(gem_verbr_die_taxi_klein/100)*$E85*M85)+(Efac_benz_TTW*(gem_verbr_benz_taxi_klein/100)*$E85*N85)+(Efac_CNG_berekening_TTW*(gem_verbr_CNG_taxi_klein/100)*$E85*O85)+(Efac_elek_berekening_TTW*(gem_verbr_BEV_taxi_klein/100)*$E85*P85)+(Efac_elek_berekening_TTW*(gem_verbr_FCEV_taxi_klein_Elek/100)*(100%-_verh_H2_accu_taxi_klein)*Q85)+(Efac_H2_berekening_TTW*(gem_verbr_FCEV_taxi_klein_H2/100)*(_verh_H2_accu_taxi_klein)*Q85)</f>
        <v>0</v>
      </c>
      <c r="CB85" s="887">
        <f>(Efac_die_WTW*(gem_verbr_die_taxi_klein/100)*$E85*M85)+(Efac_benz_WTW*(gem_verbr_benz_taxi_klein/100)*$E85*N85)+(Efac_CNG_berekening_WTW*(gem_verbr_CNG_taxi_klein/100)*$E85*O85)+(Efac_elek_berekening_WTW*(gem_verbr_BEV_taxi_klein/100)*$E85*P85)+(Efac_elek_berekening_WTW*(gem_verbr_FCEV_taxi_klein_Elek/100)*(100%-_verh_H2_accu_taxi_klein)*Q85)+(Efac_H2_berekening_WTW*(gem_verbr_FCEV_taxi_klein_H2/100)*(_verh_H2_accu_taxi_klein)*Q85)</f>
        <v>0</v>
      </c>
      <c r="CC85" s="888">
        <f>IF($L85=0,0,(CB85*looptijd)/($L85*$E85*looptijd))</f>
        <v>0</v>
      </c>
    </row>
    <row r="86" spans="1:81">
      <c r="A86" s="891"/>
      <c r="B86" s="894"/>
      <c r="C86" s="868"/>
      <c r="D86" s="868"/>
      <c r="E86" s="872"/>
      <c r="F86" s="873"/>
      <c r="G86" s="870"/>
      <c r="H86" s="868"/>
      <c r="I86" s="868"/>
      <c r="J86" s="872"/>
      <c r="K86" s="873"/>
      <c r="L86" s="870"/>
      <c r="M86" s="868"/>
      <c r="N86" s="868"/>
      <c r="O86" s="868"/>
      <c r="P86" s="868"/>
      <c r="Q86" s="872"/>
      <c r="S86" s="875"/>
      <c r="U86" s="876"/>
      <c r="V86" s="877"/>
      <c r="W86" s="878"/>
      <c r="X86" s="877"/>
      <c r="Y86" s="879"/>
      <c r="Z86" s="879"/>
      <c r="AA86" s="879"/>
      <c r="AB86" s="880"/>
      <c r="AD86" s="876"/>
      <c r="AE86" s="877"/>
      <c r="AF86" s="878"/>
      <c r="AG86" s="878"/>
      <c r="AH86" s="878"/>
      <c r="AI86" s="878"/>
      <c r="AJ86" s="878"/>
      <c r="AK86" s="882"/>
      <c r="AL86" s="881"/>
      <c r="AM86" s="880"/>
      <c r="AO86" s="876"/>
      <c r="AP86" s="877"/>
      <c r="AQ86" s="878"/>
      <c r="AR86" s="877"/>
      <c r="AS86" s="878"/>
      <c r="AT86" s="877"/>
      <c r="AU86" s="878"/>
      <c r="AV86" s="877"/>
      <c r="AW86" s="878"/>
      <c r="AX86" s="881"/>
      <c r="AY86" s="878"/>
      <c r="AZ86" s="877"/>
      <c r="BA86" s="883"/>
      <c r="BB86" s="884"/>
      <c r="BD86" s="876"/>
      <c r="BE86" s="877"/>
      <c r="BF86" s="878"/>
      <c r="BG86" s="877"/>
      <c r="BH86" s="878"/>
      <c r="BI86" s="877"/>
      <c r="BJ86" s="885"/>
      <c r="BK86" s="878"/>
      <c r="BL86" s="878"/>
      <c r="BM86" s="885"/>
      <c r="BN86" s="878"/>
      <c r="BO86" s="877"/>
      <c r="BP86" s="878"/>
      <c r="BQ86" s="878"/>
      <c r="BR86" s="877"/>
      <c r="BS86" s="885"/>
      <c r="BT86" s="883"/>
      <c r="BU86" s="884"/>
      <c r="BV86" s="881"/>
      <c r="BW86" s="886"/>
      <c r="BX86" s="887"/>
      <c r="BY86" s="888"/>
      <c r="BZ86" s="889"/>
      <c r="CA86" s="886"/>
      <c r="CB86" s="887"/>
      <c r="CC86" s="888"/>
    </row>
    <row r="87" spans="1:81">
      <c r="A87" s="891"/>
      <c r="B87" s="894" t="s">
        <v>850</v>
      </c>
      <c r="C87" s="868" t="s">
        <v>748</v>
      </c>
      <c r="D87" s="868"/>
      <c r="E87" s="869">
        <f>$E$3</f>
        <v>10000</v>
      </c>
      <c r="F87" s="873"/>
      <c r="G87" s="870">
        <f t="shared" si="7"/>
        <v>0</v>
      </c>
      <c r="H87" s="868">
        <f t="array" ref="H87:H91">TRANSPOSE('1a. Invoer - BESTAAND'!J20:N20)</f>
        <v>0</v>
      </c>
      <c r="I87" s="871">
        <v>0</v>
      </c>
      <c r="J87" s="874">
        <v>0</v>
      </c>
      <c r="K87" s="873"/>
      <c r="L87" s="870">
        <f t="shared" si="8"/>
        <v>0</v>
      </c>
      <c r="M87" s="868">
        <v>0</v>
      </c>
      <c r="N87" s="868">
        <v>0</v>
      </c>
      <c r="O87" s="868">
        <v>0</v>
      </c>
      <c r="P87" s="868">
        <f t="array" ref="P87:P91">TRANSPOSE('1b. Invoer - NIEUW'!E22:I22)</f>
        <v>0</v>
      </c>
      <c r="Q87" s="874">
        <v>0</v>
      </c>
      <c r="S87" s="875">
        <f>(L87*E87*looptijd)</f>
        <v>0</v>
      </c>
      <c r="U87" s="876">
        <f>(Netto_cat_die_taxibus_middel*H87)+(Netto_cat_benz_taxibus_middel*I87)+(Netto_cat_CNG_taxibus_middel*J87)</f>
        <v>0</v>
      </c>
      <c r="V87" s="877">
        <f>IF($G87=0,0,U87/($E87*$G87*looptijd))</f>
        <v>0</v>
      </c>
      <c r="W87" s="878">
        <f>IF(BPM_belasting="ja",(BPM_die_taxibus_middel*H87)+(BPM_benz_taxibus_middel*I87)+(BPM_CNG_taxibus_middel*J87),0)</f>
        <v>0</v>
      </c>
      <c r="X87" s="877">
        <f>IF($G87=0,0,W87/($E87*looptijd*$G87))</f>
        <v>0</v>
      </c>
      <c r="Y87" s="879">
        <f>BTW*U87</f>
        <v>0</v>
      </c>
      <c r="Z87" s="879">
        <f>SUM(U87:Y87)</f>
        <v>0</v>
      </c>
      <c r="AA87" s="879">
        <f>IF(BTW_verrekening="ja",((U87+W87-AW87))/2*Rente_financiering,((U87+W87+Y87-AW87)/2)*Rente_financiering)</f>
        <v>0</v>
      </c>
      <c r="AB87" s="880">
        <f>IF(G87=0,0,AA87*looptijd/($E87*looptijd*$G87))</f>
        <v>0</v>
      </c>
      <c r="AD87" s="876">
        <f>(Netto_cat_die_taxibus_middel*M87)+(Netto_cat_benz_taxibus_middel*N87)+(Netto_cat_CNG_taxibus_middel*O87)+(Netto_cat_BEV_taxibus_middel*P87)+(Netto_cat_FCEV_taxi_middel*Q87)</f>
        <v>0</v>
      </c>
      <c r="AE87" s="877">
        <f>IF($L87=0,0,AD87/($E87*$L87*looptijd))</f>
        <v>0</v>
      </c>
      <c r="AF87" s="878">
        <f>IF(BPM_belasting="ja",(BPM_benz_A*N87)+(BPM_CNG_A*O87)+(P87*BPM_BEV)+(Q87*BPM_FCEV),0)</f>
        <v>0</v>
      </c>
      <c r="AG87" s="878">
        <f>IF($L87=0,0,AF87/($E87*looptijd*$L87))</f>
        <v>0</v>
      </c>
      <c r="AH87" s="878">
        <f>BTW*AD87</f>
        <v>0</v>
      </c>
      <c r="AI87" s="878">
        <f>SUM(AD87:AH87)</f>
        <v>0</v>
      </c>
      <c r="AJ87" s="878">
        <f>IF('2. Invoer parameters'!$C$10="ja",MIA_BEV_taxibus_middel*P87,0)</f>
        <v>0</v>
      </c>
      <c r="AK87" s="882">
        <f>IF($L87=0,0,AJ87/($E87*looptijd*$L87))</f>
        <v>0</v>
      </c>
      <c r="AL87" s="881">
        <f>IF(BPM_belasting="nee",(((AD87-AJ87)-BK87)/2)*Rente_financiering,(((AD87-AJ87+AF87)-BL87)/2)*Rente_financiering)</f>
        <v>0</v>
      </c>
      <c r="AM87" s="880">
        <f>IF($L87=0,0,AL87*looptijd/($E87*looptijd*$L87))</f>
        <v>0</v>
      </c>
      <c r="AO87" s="876">
        <f>(H87*verz_die_taxibus_middel)+(I87*verz_benz_taxibus_middel)+(J87*verz_CNG_taxibus_middel)</f>
        <v>0</v>
      </c>
      <c r="AP87" s="877">
        <f>IF($G87=0,0,(AO87*12*looptijd)/($E87*looptijd*$G87))</f>
        <v>0</v>
      </c>
      <c r="AQ87" s="878">
        <f>(input_MRB_die_taxibus_middel*$H87)+(input_MRB_benz_taxibus_middel*$I87)+(input_MRB_CNG_taxibus_middel*J87)</f>
        <v>0</v>
      </c>
      <c r="AR87" s="877">
        <f>IF($G87=0,0,AQ87/($E87*looptijd*$G87))</f>
        <v>0</v>
      </c>
      <c r="AS87" s="878">
        <f>($E87*H87*(gem_verbr_die_taxi_middel/100)*prijs_die)+($E87*I87*(gem_verbr_benz_taxi_middel/100)*prijs_benz)+($E87*J87*(gem_verbr_CNG_taxi_middel/100)*prijs_CNG)</f>
        <v>0</v>
      </c>
      <c r="AT87" s="877">
        <f>IF($G87=0,0,(AS87*looptijd)/(looptijd*$E87*$G87))</f>
        <v>0</v>
      </c>
      <c r="AU87" s="878">
        <f>($E87*H87*Onderh_die_taxibus_middel_hoog_km)+($E87*I87*Onderh_benz_taxibus_middel_hoog_km)+($E87*J87*Onderh_CNG_taxibus_middel_hoog_km)</f>
        <v>0</v>
      </c>
      <c r="AV87" s="877">
        <f t="shared" ref="AV87:AV97" si="9">IF($G87=0,0,(AU87*looptijd)/(looptijd*$E87*$G87))</f>
        <v>0</v>
      </c>
      <c r="AW87" s="878">
        <f>Rest_perc*SUM(U87:W87)</f>
        <v>0</v>
      </c>
      <c r="AX87" s="881">
        <f>Rest_perc*SUM(U87:Y87)</f>
        <v>0</v>
      </c>
      <c r="AY87" s="878">
        <f>IF(BTW_verrekening="Ja",((U87+W87)-AW87)/(looptijd*12),((U87+W87+Y87)-AX87)/(looptijd*12))</f>
        <v>0</v>
      </c>
      <c r="AZ87" s="877">
        <f>IF($G87=0,0,(AY87*12*looptijd)/(looptijd*$E87*$G87))</f>
        <v>0</v>
      </c>
      <c r="BA87" s="883">
        <f>(_schadekosten_per_km*E87*G87)/12</f>
        <v>0</v>
      </c>
      <c r="BB87" s="884">
        <f>IF($G87=0,0,(BA87*12*looptijd)/($E87*$G87*looptijd))</f>
        <v>0</v>
      </c>
      <c r="BD87" s="876">
        <f>(M87*verz_die_taxibus_middel)+(N87*verz_benz_taxibus_middel)+(O87*verz_CNG_taxibus_middel)+(P87*verz_BEV_taxibus_middel)+(Q87*verz_FCEV_taxi_middel)</f>
        <v>0</v>
      </c>
      <c r="BE87" s="877">
        <f>IF($L87=0,0,(BD87*12*looptijd)/($E87*looptijd*$L87))</f>
        <v>0</v>
      </c>
      <c r="BF87" s="878">
        <f>(input_MRB_die_taxibus_middel*M87)+(input_MRB_benz_taxibus_middel*N87)+(input_MRB_CNG_taxibus_middel*O87)+(input_MRB_BEV_taxibus_middel*P87)+(input_MRB_FCEV_taxi_middel*Q87)</f>
        <v>0</v>
      </c>
      <c r="BG87" s="877">
        <f>IF($L87=0,0,BF87/($E87*looptijd*$L87))</f>
        <v>0</v>
      </c>
      <c r="BH87" s="878">
        <f>($E87*M87*(gem_verbr_die_taxi_middel/100)*prijs_die)+($E87*N87*(gem_verbr_die_taxi_middel/100)*prijs_benz)+($E87*O87*(gem_verbr_CNG_taxi_middel/100)*prijs_CNG)+($E87*P87*(gem_verbr_BEV_taxi_middel/100)*prijs_elek_berekening)+($E87*Q87*(gem_verbr_FCEV_taxi_middel_Elek/100)*prijs_elek_berekening*(100%-_verh_H2_accu_taxi_middel))+($E87*Q87*(gem_verbr_FCEV_taxi_middel_H2/100)*prijs_H2*(_verh_H2_accu_taxi_middel))</f>
        <v>0</v>
      </c>
      <c r="BI87" s="877">
        <f>IF($L87=0,0,(BH87*looptijd)/(looptijd*$E87*$L87))</f>
        <v>0</v>
      </c>
      <c r="BJ87" s="885"/>
      <c r="BK87" s="878">
        <f>Rest_perc_ZE*(AD87+AF87)</f>
        <v>0</v>
      </c>
      <c r="BL87" s="878">
        <f>Rest_perc_ZE*(AD87+AF87+AH87)</f>
        <v>0</v>
      </c>
      <c r="BM87" s="885"/>
      <c r="BN87" s="878">
        <f>($E87*M87*Onderh_die_taxibus_middel)+($E87*N87*Onderh_benz_taxibus_middel)+($E87*O87*Onderh_CNG_taxibus_middel)+($E87*P87*Onderh_BEV_taxibus_middel)+($E87*Q87*Onderh_FCEV_taxi_middel)</f>
        <v>0</v>
      </c>
      <c r="BO87" s="877">
        <f>IF($L87=0,0,(BN87*looptijd)/(looptijd*$E87*$L87))</f>
        <v>0</v>
      </c>
      <c r="BP87" s="878"/>
      <c r="BQ87" s="878">
        <f>IF(BTW_verrekening="Ja",((AD87+AF87-AJ87)-BK87)/(looptijd*12),((AD87+AF87+AH87-AJ87)-BL87)/(looptijd*12))</f>
        <v>0</v>
      </c>
      <c r="BR87" s="877">
        <f>IF($G87=0,0,(BQ87*12*looptijd)/(looptijd*$E87*$G87))</f>
        <v>0</v>
      </c>
      <c r="BS87" s="885"/>
      <c r="BT87" s="883">
        <f>(_schadekosten_per_km*E87*L87)/12</f>
        <v>0</v>
      </c>
      <c r="BU87" s="884">
        <f>IF($L87=0,0,(BT87*12*looptijd)/($E87*$L87*looptijd))</f>
        <v>0</v>
      </c>
      <c r="BV87" s="881"/>
      <c r="BW87" s="886">
        <f>(Efac_die_TTW*(gem_verbr_die_taxi_middel/100)*$E87*H87)+(Efac_benz_TTW*(gem_verbr_benz_taxi_middel/100)*$E87*I87)+(Efac_CNG_berekening_TTW*(gem_verbr_CNG_taxi_middel/100)*$E87*J87)</f>
        <v>0</v>
      </c>
      <c r="BX87" s="887">
        <f>(Efac_die_WTW*(gem_verbr_die_taxi_middel/100)*$E87*H87)+(Efac_benz_WTW*(gem_verbr_benz_taxi_middel/100)*$E87*I87)+(Efac_CNG_berekening_WTW*(gem_verbr_CNG_taxi_middel/100)*$E87*J87)</f>
        <v>0</v>
      </c>
      <c r="BY87" s="888">
        <f>IF($G87=0,0,(BX87*looptijd)/($E87*$G87*looptijd))</f>
        <v>0</v>
      </c>
      <c r="BZ87" s="889"/>
      <c r="CA87" s="886">
        <f>(Efac_die_TTW*(gem_verbr_die_taxi_middel/100)*$E87*M87)+(Efac_benz_TTW*(gem_verbr_benz_taxi_middel/100)*$E87*N87)+(Efac_CNG_berekening_TTW*(gem_verbr_CNG_taxi_middel/100)*$E87*O87)+(Efac_elek_berekening_TTW*(gem_verbr_BEV_taxi_middel/100)*$E87*P87)+(Efac_elek_berekening_TTW*(gem_verbr_FCEV_taxi_middel_Elek/100)*(100%-_verh_H2_accu_F)*Q87)+(Efac_H2_berekening_TTW*(gem_verbr_FCEV_taxi_middel_H2/100)*(_verh_H2_accu_taxi_middel)*Q87)</f>
        <v>0</v>
      </c>
      <c r="CB87" s="887">
        <f>(Efac_die_WTW*(gem_verbr_die_taxi_middel/100)*$E87*M87)+(Efac_benz_WTW*(gem_verbr_benz_taxi_middel/100)*$E87*N87)+(Efac_CNG_berekening_WTW*(gem_verbr_CNG_taxi_middel/100)*$E87*O87)+(Efac_elek_berekening_WTW*(gem_verbr_BEV_taxi_middel/100)*$E87*P87)+(Efac_elek_berekening_WTW*(gem_verbr_FCEV_taxi_middel_Elek/100)*(100%-_verh_H2_accu_F)*Q87)+(Efac_H2_berekening_WTW*(gem_verbr_FCEV_taxi_middel_H2/100)*(_verh_H2_accu_taxi_middel)*Q87)</f>
        <v>0</v>
      </c>
      <c r="CC87" s="888">
        <f>IF($L87=0,0,(CB87*looptijd)/($L87*$E87*looptijd))</f>
        <v>0</v>
      </c>
    </row>
    <row r="88" spans="1:81">
      <c r="A88" s="891"/>
      <c r="B88" s="894" t="s">
        <v>850</v>
      </c>
      <c r="C88" s="868" t="s">
        <v>749</v>
      </c>
      <c r="D88" s="868"/>
      <c r="E88" s="869">
        <f>$E$4</f>
        <v>15000</v>
      </c>
      <c r="F88" s="873"/>
      <c r="G88" s="870">
        <f t="shared" si="7"/>
        <v>0</v>
      </c>
      <c r="H88" s="868">
        <v>0</v>
      </c>
      <c r="I88" s="871">
        <v>0</v>
      </c>
      <c r="J88" s="874">
        <v>0</v>
      </c>
      <c r="K88" s="873"/>
      <c r="L88" s="870">
        <f t="shared" si="8"/>
        <v>0</v>
      </c>
      <c r="M88" s="868">
        <v>0</v>
      </c>
      <c r="N88" s="868">
        <v>0</v>
      </c>
      <c r="O88" s="868">
        <v>0</v>
      </c>
      <c r="P88" s="868">
        <v>0</v>
      </c>
      <c r="Q88" s="874">
        <v>0</v>
      </c>
      <c r="S88" s="875">
        <f>(L88*E88*looptijd)</f>
        <v>0</v>
      </c>
      <c r="U88" s="876">
        <f>(Netto_cat_die_taxibus_middel*H88)+(Netto_cat_benz_taxibus_middel*I88)+(Netto_cat_CNG_taxibus_middel*J88)</f>
        <v>0</v>
      </c>
      <c r="V88" s="877">
        <f>IF($G88=0,0,U88/($E88*$G88*looptijd))</f>
        <v>0</v>
      </c>
      <c r="W88" s="878">
        <f>IF(BPM_belasting="ja",(BPM_die_taxibus_middel*H88)+(BPM_benz_taxibus_middel*I88)+(BPM_CNG_taxibus_middel*J88),0)</f>
        <v>0</v>
      </c>
      <c r="X88" s="877">
        <f>IF($G88=0,0,W88/($E88*looptijd*$G88))</f>
        <v>0</v>
      </c>
      <c r="Y88" s="879">
        <f>BTW*U88</f>
        <v>0</v>
      </c>
      <c r="Z88" s="879">
        <f t="shared" ref="Z88:Z91" si="10">SUM(U88:Y88)</f>
        <v>0</v>
      </c>
      <c r="AA88" s="879">
        <f>IF(BTW_verrekening="ja",((U88+W88-AW88))/2*Rente_financiering,((U88+W88+Y88-AW88)/2)*Rente_financiering)</f>
        <v>0</v>
      </c>
      <c r="AB88" s="880">
        <f>IF(G88=0,0,AA88*looptijd/($E88*looptijd*$G88))</f>
        <v>0</v>
      </c>
      <c r="AD88" s="876">
        <f>(Netto_cat_die_taxibus_middel*M88)+(Netto_cat_benz_taxibus_middel*N88)+(Netto_cat_CNG_taxibus_middel*O88)+(Netto_cat_BEV_taxibus_middel*P88)+(Netto_cat_FCEV_taxi_middel*Q88)</f>
        <v>0</v>
      </c>
      <c r="AE88" s="877">
        <f>IF($L88=0,0,AD88/($E88*$L88*looptijd))</f>
        <v>0</v>
      </c>
      <c r="AF88" s="878">
        <f>IF(BPM_belasting="ja",(BPM_benz_A*N88)+(BPM_CNG_A*O88)+(P88*BPM_BEV)+(Q88*BPM_FCEV),0)</f>
        <v>0</v>
      </c>
      <c r="AG88" s="878">
        <f>IF($L88=0,0,AF88/($E88*looptijd*$L88))</f>
        <v>0</v>
      </c>
      <c r="AH88" s="878">
        <f>BTW*AD88</f>
        <v>0</v>
      </c>
      <c r="AI88" s="878">
        <f>SUM(AD88:AH88)</f>
        <v>0</v>
      </c>
      <c r="AJ88" s="878">
        <f>IF('2. Invoer parameters'!$C$10="ja",MIA_BEV_taxibus_middel*P88,0)</f>
        <v>0</v>
      </c>
      <c r="AK88" s="882">
        <f>IF($L88=0,0,AJ88/($E88*looptijd*$L88))</f>
        <v>0</v>
      </c>
      <c r="AL88" s="881">
        <f>IF(BPM_belasting="nee",(((AD88-AJ88)-BK88)/2)*Rente_financiering,(((AD88-AJ88+AF88)-BL88)/2)*Rente_financiering)</f>
        <v>0</v>
      </c>
      <c r="AM88" s="880">
        <f>IF($L88=0,0,AL88*looptijd/($E88*looptijd*$L88))</f>
        <v>0</v>
      </c>
      <c r="AO88" s="876">
        <f>(H88*verz_die_taxibus_middel)+(I88*verz_benz_taxibus_middel)+(J88*verz_CNG_taxibus_middel)</f>
        <v>0</v>
      </c>
      <c r="AP88" s="877">
        <f>IF($G88=0,0,(AO88*12*looptijd)/($E88*looptijd*$G88))</f>
        <v>0</v>
      </c>
      <c r="AQ88" s="878">
        <f>(input_MRB_die_taxibus_middel*$H88)+(input_MRB_benz_taxibus_middel*$I88)+(input_MRB_CNG_taxibus_middel*J88)</f>
        <v>0</v>
      </c>
      <c r="AR88" s="877">
        <f>IF($G88=0,0,AQ88/($E88*looptijd*$G88))</f>
        <v>0</v>
      </c>
      <c r="AS88" s="878">
        <f>($E88*H88*(gem_verbr_die_taxi_middel/100)*prijs_die)+($E88*I88*(gem_verbr_benz_taxi_middel/100)*prijs_benz)+($E88*J88*(gem_verbr_CNG_taxi_middel/100)*prijs_CNG)</f>
        <v>0</v>
      </c>
      <c r="AT88" s="877">
        <f>IF($G88=0,0,(AS88*looptijd)/(looptijd*$E88*$G88))</f>
        <v>0</v>
      </c>
      <c r="AU88" s="878">
        <f>($E88*H88*Onderh_die_taxibus_middel_hoog_km)+($E88*I88*Onderh_benz_taxibus_middel_hoog_km)+($E88*J88*Onderh_CNG_taxibus_middel_hoog_km)</f>
        <v>0</v>
      </c>
      <c r="AV88" s="877">
        <f t="shared" si="9"/>
        <v>0</v>
      </c>
      <c r="AW88" s="878">
        <f>Rest_perc*SUM(U88:W88)</f>
        <v>0</v>
      </c>
      <c r="AX88" s="881">
        <f>Rest_perc*SUM(U88:Y88)</f>
        <v>0</v>
      </c>
      <c r="AY88" s="878">
        <f>IF(BTW_verrekening="Ja",((U88+W88)-AW88)/(looptijd*12),((U88+W88+Y88)-AX88)/(looptijd*12))</f>
        <v>0</v>
      </c>
      <c r="AZ88" s="877">
        <f>IF($G88=0,0,(AY88*12*looptijd)/(looptijd*$E88*$G88))</f>
        <v>0</v>
      </c>
      <c r="BA88" s="883">
        <f>(_schadekosten_per_km*E88*G88)/12</f>
        <v>0</v>
      </c>
      <c r="BB88" s="884">
        <f>IF($G88=0,0,(BA88*12*looptijd)/($E88*$G88*looptijd))</f>
        <v>0</v>
      </c>
      <c r="BD88" s="876">
        <f>(M88*verz_die_taxibus_middel)+(N88*verz_benz_taxibus_middel)+(O88*verz_CNG_taxibus_middel)+(P88*verz_BEV_taxibus_middel)+(Q88*verz_FCEV_taxi_middel)</f>
        <v>0</v>
      </c>
      <c r="BE88" s="877">
        <f>IF($L88=0,0,(BD88*12*looptijd)/($E88*looptijd*$L88))</f>
        <v>0</v>
      </c>
      <c r="BF88" s="878">
        <f>(input_MRB_die_taxibus_middel*M88)+(input_MRB_benz_taxibus_middel*N88)+(input_MRB_CNG_taxibus_middel*O88)+(input_MRB_BEV_taxibus_middel*P88)+(input_MRB_FCEV_taxi_middel*Q88)</f>
        <v>0</v>
      </c>
      <c r="BG88" s="877">
        <f>IF($L88=0,0,BF88/($E88*looptijd*$L88))</f>
        <v>0</v>
      </c>
      <c r="BH88" s="878">
        <f>($E88*M88*(gem_verbr_die_taxi_middel/100)*prijs_die)+($E88*N88*(gem_verbr_die_taxi_middel/100)*prijs_benz)+($E88*O88*(gem_verbr_CNG_taxi_middel/100)*prijs_CNG)+($E88*P88*(gem_verbr_BEV_taxi_middel/100)*prijs_elek_berekening)+($E88*Q88*(gem_verbr_FCEV_taxi_middel_Elek/100)*prijs_elek_berekening*(100%-_verh_H2_accu_taxi_middel))+($E88*Q88*(gem_verbr_FCEV_taxi_middel_H2/100)*prijs_H2*(_verh_H2_accu_taxi_middel))</f>
        <v>0</v>
      </c>
      <c r="BI88" s="877">
        <f>IF($L88=0,0,(BH88*looptijd)/(looptijd*$E88*$L88))</f>
        <v>0</v>
      </c>
      <c r="BJ88" s="885"/>
      <c r="BK88" s="878">
        <f>Rest_perc_ZE*(AD88+AF88)</f>
        <v>0</v>
      </c>
      <c r="BL88" s="878">
        <f>Rest_perc_ZE*(AD88+AF88+AH88)</f>
        <v>0</v>
      </c>
      <c r="BM88" s="885"/>
      <c r="BN88" s="878">
        <f>($E88*M88*Onderh_die_taxibus_middel)+($E88*N88*Onderh_benz_taxibus_middel)+($E88*O88*Onderh_CNG_taxibus_middel)+($E88*P88*Onderh_BEV_taxibus_middel)+($E88*Q88*Onderh_FCEV_taxi_middel)</f>
        <v>0</v>
      </c>
      <c r="BO88" s="877">
        <f>IF($L88=0,0,(BN88*looptijd)/(looptijd*$E88*$L88))</f>
        <v>0</v>
      </c>
      <c r="BP88" s="878"/>
      <c r="BQ88" s="878">
        <f>IF(BTW_verrekening="Ja",((AD88+AF88-AJ88)-BK88)/(looptijd*12),((AD88+AF88+AH88-AJ88)-BL88)/(looptijd*12))</f>
        <v>0</v>
      </c>
      <c r="BR88" s="877">
        <f>IF($G88=0,0,(BQ88*12*looptijd)/(looptijd*$E88*$G88))</f>
        <v>0</v>
      </c>
      <c r="BS88" s="885"/>
      <c r="BT88" s="883">
        <f>(_schadekosten_per_km*E88*L88)/12</f>
        <v>0</v>
      </c>
      <c r="BU88" s="884">
        <f>IF($L88=0,0,(BT88*12*looptijd)/($E88*$L88*looptijd))</f>
        <v>0</v>
      </c>
      <c r="BV88" s="881"/>
      <c r="BW88" s="886">
        <f>(Efac_die_TTW*(gem_verbr_die_taxi_middel/100)*$E88*H88)+(Efac_benz_TTW*(gem_verbr_benz_taxi_middel/100)*$E88*I88)+(Efac_CNG_berekening_TTW*(gem_verbr_CNG_taxi_middel/100)*$E88*J88)</f>
        <v>0</v>
      </c>
      <c r="BX88" s="887">
        <f>(Efac_die_WTW*(gem_verbr_die_taxi_middel/100)*$E88*H88)+(Efac_benz_WTW*(gem_verbr_benz_taxi_middel/100)*$E88*I88)+(Efac_CNG_berekening_WTW*(gem_verbr_CNG_taxi_middel/100)*$E88*J88)</f>
        <v>0</v>
      </c>
      <c r="BY88" s="888">
        <f>IF($G88=0,0,(BX88*looptijd)/($E88*$G88*looptijd))</f>
        <v>0</v>
      </c>
      <c r="BZ88" s="889"/>
      <c r="CA88" s="886">
        <f>(Efac_die_TTW*(gem_verbr_die_taxi_middel/100)*$E88*M88)+(Efac_benz_TTW*(gem_verbr_benz_taxi_middel/100)*$E88*N88)+(Efac_CNG_berekening_TTW*(gem_verbr_CNG_taxi_middel/100)*$E88*O88)+(Efac_elek_berekening_TTW*(gem_verbr_BEV_taxi_middel/100)*$E88*P88)+(Efac_elek_berekening_TTW*(gem_verbr_FCEV_taxi_middel_Elek/100)*(100%-_verh_H2_accu_F)*Q88)+(Efac_H2_berekening_TTW*(gem_verbr_FCEV_taxi_middel_H2/100)*(_verh_H2_accu_taxi_middel)*Q88)</f>
        <v>0</v>
      </c>
      <c r="CB88" s="887">
        <f>(Efac_die_WTW*(gem_verbr_die_taxi_middel/100)*$E88*M88)+(Efac_benz_WTW*(gem_verbr_benz_taxi_middel/100)*$E88*N88)+(Efac_CNG_berekening_WTW*(gem_verbr_CNG_taxi_middel/100)*$E88*O88)+(Efac_elek_berekening_WTW*(gem_verbr_BEV_taxi_middel/100)*$E88*P88)+(Efac_elek_berekening_WTW*(gem_verbr_FCEV_taxi_middel_Elek/100)*(100%-_verh_H2_accu_F)*Q88)+(Efac_H2_berekening_WTW*(gem_verbr_FCEV_taxi_middel_H2/100)*(_verh_H2_accu_taxi_middel)*Q88)</f>
        <v>0</v>
      </c>
      <c r="CC88" s="888">
        <f>IF($L88=0,0,(CB88*looptijd)/($L88*$E88*looptijd))</f>
        <v>0</v>
      </c>
    </row>
    <row r="89" spans="1:81">
      <c r="A89" s="891"/>
      <c r="B89" s="894" t="s">
        <v>850</v>
      </c>
      <c r="C89" s="868" t="s">
        <v>750</v>
      </c>
      <c r="D89" s="868"/>
      <c r="E89" s="869">
        <f>$E$5</f>
        <v>25000</v>
      </c>
      <c r="F89" s="873"/>
      <c r="G89" s="870">
        <f t="shared" si="7"/>
        <v>0</v>
      </c>
      <c r="H89" s="868">
        <v>0</v>
      </c>
      <c r="I89" s="871">
        <v>0</v>
      </c>
      <c r="J89" s="874">
        <v>0</v>
      </c>
      <c r="K89" s="873"/>
      <c r="L89" s="870">
        <f t="shared" si="8"/>
        <v>0</v>
      </c>
      <c r="M89" s="868">
        <v>0</v>
      </c>
      <c r="N89" s="868">
        <v>0</v>
      </c>
      <c r="O89" s="868">
        <v>0</v>
      </c>
      <c r="P89" s="868">
        <v>0</v>
      </c>
      <c r="Q89" s="874">
        <v>0</v>
      </c>
      <c r="S89" s="875">
        <f>(L89*E89*looptijd)</f>
        <v>0</v>
      </c>
      <c r="U89" s="876">
        <f>(Netto_cat_die_taxibus_middel*H89)+(Netto_cat_benz_taxibus_middel*I89)+(Netto_cat_CNG_taxibus_middel*J89)</f>
        <v>0</v>
      </c>
      <c r="V89" s="877">
        <f>IF($G89=0,0,U89/($E89*$G89*looptijd))</f>
        <v>0</v>
      </c>
      <c r="W89" s="878">
        <f>IF(BPM_belasting="ja",(BPM_die_taxibus_middel*H89)+(BPM_benz_taxibus_middel*I89)+(BPM_CNG_taxibus_middel*J89),0)</f>
        <v>0</v>
      </c>
      <c r="X89" s="877">
        <f>IF($G89=0,0,W89/($E89*looptijd*$G89))</f>
        <v>0</v>
      </c>
      <c r="Y89" s="879">
        <f>BTW*U89</f>
        <v>0</v>
      </c>
      <c r="Z89" s="879">
        <f t="shared" si="10"/>
        <v>0</v>
      </c>
      <c r="AA89" s="879">
        <f>IF(BTW_verrekening="ja",((U89+W89-AW89))/2*Rente_financiering,((U89+W89+Y89-AW89)/2)*Rente_financiering)</f>
        <v>0</v>
      </c>
      <c r="AB89" s="880">
        <f>IF(G89=0,0,AA89*looptijd/($E89*looptijd*$G89))</f>
        <v>0</v>
      </c>
      <c r="AD89" s="876">
        <f>(Netto_cat_die_taxibus_middel*M89)+(Netto_cat_benz_taxibus_middel*N89)+(Netto_cat_CNG_taxibus_middel*O89)+(Netto_cat_BEV_taxibus_middel*P89)+(Netto_cat_FCEV_taxi_middel*Q89)</f>
        <v>0</v>
      </c>
      <c r="AE89" s="877">
        <f>IF($L89=0,0,AD89/($E89*$L89*looptijd))</f>
        <v>0</v>
      </c>
      <c r="AF89" s="878">
        <f>IF(BPM_belasting="ja",(BPM_benz_A*N89)+(BPM_CNG_A*O89)+(P89*BPM_BEV)+(Q89*BPM_FCEV),0)</f>
        <v>0</v>
      </c>
      <c r="AG89" s="878">
        <f>IF($L89=0,0,AF89/($E89*looptijd*$L89))</f>
        <v>0</v>
      </c>
      <c r="AH89" s="878">
        <f>BTW*AD89</f>
        <v>0</v>
      </c>
      <c r="AI89" s="878">
        <f>SUM(AD89:AH89)</f>
        <v>0</v>
      </c>
      <c r="AJ89" s="878">
        <f>IF('2. Invoer parameters'!$C$10="ja",MIA_BEV_taxibus_middel*P89,0)</f>
        <v>0</v>
      </c>
      <c r="AK89" s="882">
        <f>IF($L89=0,0,AJ89/($E89*looptijd*$L89))</f>
        <v>0</v>
      </c>
      <c r="AL89" s="881">
        <f>IF(BPM_belasting="nee",(((AD89-AJ89)-BK89)/2)*Rente_financiering,(((AD89-AJ89+AF89)-BL89)/2)*Rente_financiering)</f>
        <v>0</v>
      </c>
      <c r="AM89" s="880">
        <f>IF($L89=0,0,AL89*looptijd/($E89*looptijd*$L89))</f>
        <v>0</v>
      </c>
      <c r="AO89" s="876">
        <f>(H89*verz_die_taxibus_middel)+(I89*verz_benz_taxibus_middel)+(J89*verz_CNG_taxibus_middel)</f>
        <v>0</v>
      </c>
      <c r="AP89" s="877">
        <f>IF($G89=0,0,(AO89*12*looptijd)/($E89*looptijd*$G89))</f>
        <v>0</v>
      </c>
      <c r="AQ89" s="878">
        <f>(input_MRB_die_taxibus_middel*$H89)+(input_MRB_benz_taxibus_middel*$I89)+(input_MRB_CNG_taxibus_middel*J89)</f>
        <v>0</v>
      </c>
      <c r="AR89" s="877">
        <f>IF($G89=0,0,AQ89/($E89*looptijd*$G89))</f>
        <v>0</v>
      </c>
      <c r="AS89" s="878">
        <f>($E89*H89*(gem_verbr_die_taxi_middel/100)*prijs_die)+($E89*I89*(gem_verbr_benz_taxi_middel/100)*prijs_benz)+($E89*J89*(gem_verbr_CNG_taxi_middel/100)*prijs_CNG)</f>
        <v>0</v>
      </c>
      <c r="AT89" s="877">
        <f>IF($G89=0,0,(AS89*looptijd)/(looptijd*$E89*$G89))</f>
        <v>0</v>
      </c>
      <c r="AU89" s="878">
        <f>($E89*H89*Onderh_die_taxibus_middel_hoog_km)+($E89*I89*Onderh_benz_taxibus_middel_hoog_km)+($E89*J89*Onderh_CNG_taxibus_middel_hoog_km)</f>
        <v>0</v>
      </c>
      <c r="AV89" s="877">
        <f t="shared" si="9"/>
        <v>0</v>
      </c>
      <c r="AW89" s="878">
        <f>Rest_perc*SUM(U89:W89)</f>
        <v>0</v>
      </c>
      <c r="AX89" s="881">
        <f>Rest_perc*SUM(U89:Y89)</f>
        <v>0</v>
      </c>
      <c r="AY89" s="878">
        <f>IF(BTW_verrekening="Ja",((U89+W89)-AW89)/(looptijd*12),((U89+W89+Y89)-AX89)/(looptijd*12))</f>
        <v>0</v>
      </c>
      <c r="AZ89" s="877">
        <f>IF($G89=0,0,(AY89*12*looptijd)/(looptijd*$E89*$G89))</f>
        <v>0</v>
      </c>
      <c r="BA89" s="883">
        <f>(_schadekosten_per_km*E89*G89)/12</f>
        <v>0</v>
      </c>
      <c r="BB89" s="884">
        <f>IF($G89=0,0,(BA89*12*looptijd)/($E89*$G89*looptijd))</f>
        <v>0</v>
      </c>
      <c r="BD89" s="876">
        <f>(M89*verz_die_taxibus_middel)+(N89*verz_benz_taxibus_middel)+(O89*verz_CNG_taxibus_middel)+(P89*verz_BEV_taxibus_middel)+(Q89*verz_FCEV_taxi_middel)</f>
        <v>0</v>
      </c>
      <c r="BE89" s="877">
        <f>IF($L89=0,0,(BD89*12*looptijd)/($E89*looptijd*$L89))</f>
        <v>0</v>
      </c>
      <c r="BF89" s="878">
        <f>(input_MRB_die_taxibus_middel*M89)+(input_MRB_benz_taxibus_middel*N89)+(input_MRB_CNG_taxibus_middel*O89)+(input_MRB_BEV_taxibus_middel*P89)+(input_MRB_FCEV_taxi_middel*Q89)</f>
        <v>0</v>
      </c>
      <c r="BG89" s="877">
        <f>IF($L89=0,0,BF89/($E89*looptijd*$L89))</f>
        <v>0</v>
      </c>
      <c r="BH89" s="878">
        <f>($E89*M89*(gem_verbr_die_taxi_middel/100)*prijs_die)+($E89*N89*(gem_verbr_die_taxi_middel/100)*prijs_benz)+($E89*O89*(gem_verbr_CNG_taxi_middel/100)*prijs_CNG)+($E89*P89*(gem_verbr_BEV_taxi_middel/100)*prijs_elek_berekening)+($E89*Q89*(gem_verbr_FCEV_taxi_middel_Elek/100)*prijs_elek_berekening*(100%-_verh_H2_accu_taxi_middel))+($E89*Q89*(gem_verbr_FCEV_taxi_middel_H2/100)*prijs_H2*(_verh_H2_accu_taxi_middel))</f>
        <v>0</v>
      </c>
      <c r="BI89" s="877">
        <f>IF($L89=0,0,(BH89*looptijd)/(looptijd*$E89*$L89))</f>
        <v>0</v>
      </c>
      <c r="BJ89" s="885"/>
      <c r="BK89" s="878">
        <f>Rest_perc_ZE*(AD89+AF89)</f>
        <v>0</v>
      </c>
      <c r="BL89" s="878">
        <f>Rest_perc_ZE*(AD89+AF89+AH89)</f>
        <v>0</v>
      </c>
      <c r="BM89" s="885"/>
      <c r="BN89" s="878">
        <f>($E89*M89*Onderh_die_taxibus_middel)+($E89*N89*Onderh_benz_taxibus_middel)+($E89*O89*Onderh_CNG_taxibus_middel)+($E89*P89*Onderh_BEV_taxibus_middel)+($E89*Q89*Onderh_FCEV_taxi_middel)</f>
        <v>0</v>
      </c>
      <c r="BO89" s="877">
        <f>IF($L89=0,0,(BN89*looptijd)/(looptijd*$E89*$L89))</f>
        <v>0</v>
      </c>
      <c r="BP89" s="878"/>
      <c r="BQ89" s="878">
        <f>IF(BTW_verrekening="Ja",((AD89+AF89-AJ89)-BK89)/(looptijd*12),((AD89+AF89+AH89-AJ89)-BL89)/(looptijd*12))</f>
        <v>0</v>
      </c>
      <c r="BR89" s="877">
        <f>IF($G89=0,0,(BQ89*12*looptijd)/(looptijd*$E89*$G89))</f>
        <v>0</v>
      </c>
      <c r="BS89" s="885"/>
      <c r="BT89" s="883">
        <f>(_schadekosten_per_km*E89*L89)/12</f>
        <v>0</v>
      </c>
      <c r="BU89" s="884">
        <f>IF($L89=0,0,(BT89*12*looptijd)/($E89*$L89*looptijd))</f>
        <v>0</v>
      </c>
      <c r="BV89" s="881"/>
      <c r="BW89" s="886">
        <f>(Efac_die_TTW*(gem_verbr_die_taxi_middel/100)*$E89*H89)+(Efac_benz_TTW*(gem_verbr_benz_taxi_middel/100)*$E89*I89)+(Efac_CNG_berekening_TTW*(gem_verbr_CNG_taxi_middel/100)*$E89*J89)</f>
        <v>0</v>
      </c>
      <c r="BX89" s="887">
        <f>(Efac_die_WTW*(gem_verbr_die_taxi_middel/100)*$E89*H89)+(Efac_benz_WTW*(gem_verbr_benz_taxi_middel/100)*$E89*I89)+(Efac_CNG_berekening_WTW*(gem_verbr_CNG_taxi_middel/100)*$E89*J89)</f>
        <v>0</v>
      </c>
      <c r="BY89" s="888">
        <f>IF($G89=0,0,(BX89*looptijd)/($E89*$G89*looptijd))</f>
        <v>0</v>
      </c>
      <c r="BZ89" s="889"/>
      <c r="CA89" s="886">
        <f>(Efac_die_TTW*(gem_verbr_die_taxi_middel/100)*$E89*M89)+(Efac_benz_TTW*(gem_verbr_benz_taxi_middel/100)*$E89*N89)+(Efac_CNG_berekening_TTW*(gem_verbr_CNG_taxi_middel/100)*$E89*O89)+(Efac_elek_berekening_TTW*(gem_verbr_BEV_taxi_middel/100)*$E89*P89)+(Efac_elek_berekening_TTW*(gem_verbr_FCEV_taxi_middel_Elek/100)*(100%-_verh_H2_accu_F)*Q89)+(Efac_H2_berekening_TTW*(gem_verbr_FCEV_taxi_middel_H2/100)*(_verh_H2_accu_taxi_middel)*Q89)</f>
        <v>0</v>
      </c>
      <c r="CB89" s="887">
        <f>(Efac_die_WTW*(gem_verbr_die_taxi_middel/100)*$E89*M89)+(Efac_benz_WTW*(gem_verbr_benz_taxi_middel/100)*$E89*N89)+(Efac_CNG_berekening_WTW*(gem_verbr_CNG_taxi_middel/100)*$E89*O89)+(Efac_elek_berekening_WTW*(gem_verbr_BEV_taxi_middel/100)*$E89*P89)+(Efac_elek_berekening_WTW*(gem_verbr_FCEV_taxi_middel_Elek/100)*(100%-_verh_H2_accu_F)*Q89)+(Efac_H2_berekening_WTW*(gem_verbr_FCEV_taxi_middel_H2/100)*(_verh_H2_accu_taxi_middel)*Q89)</f>
        <v>0</v>
      </c>
      <c r="CC89" s="888">
        <f>IF($L89=0,0,(CB89*looptijd)/($L89*$E89*looptijd))</f>
        <v>0</v>
      </c>
    </row>
    <row r="90" spans="1:81">
      <c r="A90" s="891"/>
      <c r="B90" s="894" t="s">
        <v>850</v>
      </c>
      <c r="C90" s="868" t="s">
        <v>752</v>
      </c>
      <c r="D90" s="868"/>
      <c r="E90" s="872">
        <v>50000</v>
      </c>
      <c r="F90" s="873"/>
      <c r="G90" s="870">
        <f t="shared" si="7"/>
        <v>0</v>
      </c>
      <c r="H90" s="868">
        <v>0</v>
      </c>
      <c r="I90" s="871">
        <v>0</v>
      </c>
      <c r="J90" s="874">
        <v>0</v>
      </c>
      <c r="K90" s="873"/>
      <c r="L90" s="870">
        <f t="shared" si="8"/>
        <v>0</v>
      </c>
      <c r="M90" s="868">
        <v>0</v>
      </c>
      <c r="N90" s="868">
        <v>0</v>
      </c>
      <c r="O90" s="868">
        <v>0</v>
      </c>
      <c r="P90" s="868">
        <v>0</v>
      </c>
      <c r="Q90" s="874">
        <v>0</v>
      </c>
      <c r="S90" s="875">
        <f>(L90*E90*looptijd)</f>
        <v>0</v>
      </c>
      <c r="U90" s="876">
        <f>(Netto_cat_die_taxibus_middel*H90)+(Netto_cat_benz_taxibus_middel*I90)+(Netto_cat_CNG_taxibus_middel*J90)</f>
        <v>0</v>
      </c>
      <c r="V90" s="877">
        <f>IF($G90=0,0,U90/($E90*$G90*looptijd))</f>
        <v>0</v>
      </c>
      <c r="W90" s="878">
        <f>IF(BPM_belasting="ja",(BPM_die_taxibus_middel*H90)+(BPM_benz_taxibus_middel*I90)+(BPM_CNG_taxibus_middel*J90),0)</f>
        <v>0</v>
      </c>
      <c r="X90" s="877">
        <f>IF($G90=0,0,W90/($E90*looptijd*$G90))</f>
        <v>0</v>
      </c>
      <c r="Y90" s="879">
        <f>BTW*U90</f>
        <v>0</v>
      </c>
      <c r="Z90" s="879">
        <f t="shared" si="10"/>
        <v>0</v>
      </c>
      <c r="AA90" s="879">
        <f>IF(BTW_verrekening="ja",((U90+W90-AW90))/2*Rente_financiering,((U90+W90+Y90-AW90)/2)*Rente_financiering)</f>
        <v>0</v>
      </c>
      <c r="AB90" s="880">
        <f>IF(G90=0,0,AA90*looptijd/($E90*looptijd*$G90))</f>
        <v>0</v>
      </c>
      <c r="AD90" s="876">
        <f>(Netto_cat_die_taxibus_middel*M90)+(Netto_cat_benz_taxibus_middel*N90)+(Netto_cat_CNG_taxibus_middel*O90)+(Netto_cat_BEV_taxibus_middel*P90)+(Netto_cat_FCEV_taxi_middel*Q90)</f>
        <v>0</v>
      </c>
      <c r="AE90" s="877">
        <f>IF($L90=0,0,AD90/($E90*$L90*looptijd))</f>
        <v>0</v>
      </c>
      <c r="AF90" s="878">
        <f>IF(BPM_belasting="ja",(BPM_benz_A*N90)+(BPM_CNG_A*O90)+(P90*BPM_BEV)+(Q90*BPM_FCEV),0)</f>
        <v>0</v>
      </c>
      <c r="AG90" s="878">
        <f>IF($L90=0,0,AF90/($E90*looptijd*$L90))</f>
        <v>0</v>
      </c>
      <c r="AH90" s="878">
        <f>BTW*AD90</f>
        <v>0</v>
      </c>
      <c r="AI90" s="878">
        <f>SUM(AD90:AH90)</f>
        <v>0</v>
      </c>
      <c r="AJ90" s="878">
        <f>IF('2. Invoer parameters'!$C$10="ja",MIA_BEV_taxibus_middel*P90,0)</f>
        <v>0</v>
      </c>
      <c r="AK90" s="882">
        <f>IF($L90=0,0,AJ90/($E90*looptijd*$L90))</f>
        <v>0</v>
      </c>
      <c r="AL90" s="881">
        <f>IF(BPM_belasting="nee",(((AD90-AJ90)-BK90)/2)*Rente_financiering,(((AD90-AJ90+AF90)-BL90)/2)*Rente_financiering)</f>
        <v>0</v>
      </c>
      <c r="AM90" s="880">
        <f>IF($L90=0,0,AL90*looptijd/($E90*looptijd*$L90))</f>
        <v>0</v>
      </c>
      <c r="AO90" s="876">
        <f>(H90*verz_die_taxibus_middel)+(I90*verz_benz_taxibus_middel)+(J90*verz_CNG_taxibus_middel)</f>
        <v>0</v>
      </c>
      <c r="AP90" s="877">
        <f>IF($G90=0,0,(AO90*12*looptijd)/($E90*looptijd*$G90))</f>
        <v>0</v>
      </c>
      <c r="AQ90" s="878">
        <f>(input_MRB_die_taxibus_middel*$H90)+(input_MRB_benz_taxibus_middel*$I90)+(input_MRB_CNG_taxibus_middel*J90)</f>
        <v>0</v>
      </c>
      <c r="AR90" s="877">
        <f>IF($G90=0,0,AQ90/($E90*looptijd*$G90))</f>
        <v>0</v>
      </c>
      <c r="AS90" s="878">
        <f>($E90*H90*(gem_verbr_die_taxi_middel/100)*prijs_die)+($E90*I90*(gem_verbr_benz_taxi_middel/100)*prijs_benz)+($E90*J90*(gem_verbr_CNG_taxi_middel/100)*prijs_CNG)</f>
        <v>0</v>
      </c>
      <c r="AT90" s="877">
        <f>IF($G90=0,0,(AS90*looptijd)/(looptijd*$E90*$G90))</f>
        <v>0</v>
      </c>
      <c r="AU90" s="878">
        <f>($E90*H90*Onderh_die_taxibus_middel_hoog_km)+($E90*I90*Onderh_benz_taxibus_middel_hoog_km)+($E90*J90*Onderh_CNG_taxibus_middel_hoog_km)</f>
        <v>0</v>
      </c>
      <c r="AV90" s="877">
        <f t="shared" si="9"/>
        <v>0</v>
      </c>
      <c r="AW90" s="878">
        <f>Rest_perc*SUM(U90:W90)</f>
        <v>0</v>
      </c>
      <c r="AX90" s="881">
        <f>Rest_perc*SUM(U90:Y90)</f>
        <v>0</v>
      </c>
      <c r="AY90" s="878">
        <f>IF(BTW_verrekening="Ja",((U90+W90)-AW90)/(looptijd*12),((U90+W90+Y90)-AX90)/(looptijd*12))</f>
        <v>0</v>
      </c>
      <c r="AZ90" s="877">
        <f>IF($G90=0,0,(AY90*12*looptijd)/(looptijd*$E90*$G90))</f>
        <v>0</v>
      </c>
      <c r="BA90" s="883">
        <f>(_schadekosten_per_km*E90*G90)/12</f>
        <v>0</v>
      </c>
      <c r="BB90" s="884">
        <f>IF($G90=0,0,(BA90*12*looptijd)/($E90*$G90*looptijd))</f>
        <v>0</v>
      </c>
      <c r="BD90" s="876">
        <f>(M90*verz_die_taxibus_middel)+(N90*verz_benz_taxibus_middel)+(O90*verz_CNG_taxibus_middel)+(P90*verz_BEV_taxibus_middel)+(Q90*verz_FCEV_taxi_middel)</f>
        <v>0</v>
      </c>
      <c r="BE90" s="877">
        <f>IF($L90=0,0,(BD90*12*looptijd)/($E90*looptijd*$L90))</f>
        <v>0</v>
      </c>
      <c r="BF90" s="878">
        <f>(input_MRB_die_taxibus_middel*M90)+(input_MRB_benz_taxibus_middel*N90)+(input_MRB_CNG_taxibus_middel*O90)+(input_MRB_BEV_taxibus_middel*P90)+(input_MRB_FCEV_taxi_middel*Q90)</f>
        <v>0</v>
      </c>
      <c r="BG90" s="877">
        <f>IF($L90=0,0,BF90/($E90*looptijd*$L90))</f>
        <v>0</v>
      </c>
      <c r="BH90" s="878">
        <f>($E90*M90*(gem_verbr_die_taxi_middel/100)*prijs_die)+($E90*N90*(gem_verbr_die_taxi_middel/100)*prijs_benz)+($E90*O90*(gem_verbr_CNG_taxi_middel/100)*prijs_CNG)+($E90*P90*(gem_verbr_BEV_taxi_middel/100)*prijs_elek_berekening)+($E90*Q90*(gem_verbr_FCEV_taxi_middel_Elek/100)*prijs_elek_berekening*(100%-_verh_H2_accu_taxi_middel))+($E90*Q90*(gem_verbr_FCEV_taxi_middel_H2/100)*prijs_H2*(_verh_H2_accu_taxi_middel))</f>
        <v>0</v>
      </c>
      <c r="BI90" s="877">
        <f>IF($L90=0,0,(BH90*looptijd)/(looptijd*$E90*$L90))</f>
        <v>0</v>
      </c>
      <c r="BJ90" s="885"/>
      <c r="BK90" s="878">
        <f>Rest_perc_ZE*(AD90+AF90)</f>
        <v>0</v>
      </c>
      <c r="BL90" s="878">
        <f>Rest_perc_ZE*(AD90+AF90+AH90)</f>
        <v>0</v>
      </c>
      <c r="BM90" s="885"/>
      <c r="BN90" s="878">
        <f>($E90*M90*Onderh_die_taxibus_middel_hoog_km)+($E90*N90*Onderh_benz_taxibus_middel_hoog_km)+($E90*O90*Onderh_CNG_taxibus_middel_hoog_km)+($E90*P90*Onderh_BEV_taxibus_middel_hoog_km)+($E90*Q90*Onderh_FCEV_taxi_middel_hoog_km)</f>
        <v>0</v>
      </c>
      <c r="BO90" s="877">
        <f>IF($L90=0,0,(BN90*looptijd)/(looptijd*$E90*$L90))</f>
        <v>0</v>
      </c>
      <c r="BP90" s="878"/>
      <c r="BQ90" s="878">
        <f>IF(BTW_verrekening="Ja",((AD90+AF90-AJ90)-BK90)/(looptijd*12),((AD90+AF90+AH90-AJ90)-BL90)/(looptijd*12))</f>
        <v>0</v>
      </c>
      <c r="BR90" s="877">
        <f>IF($G90=0,0,(BQ90*12*looptijd)/(looptijd*$E90*$G90))</f>
        <v>0</v>
      </c>
      <c r="BS90" s="885"/>
      <c r="BT90" s="883">
        <f>(_schadekosten_per_km*E90*L90)/12</f>
        <v>0</v>
      </c>
      <c r="BU90" s="884">
        <f>IF($L90=0,0,(BT90*12*looptijd)/($E90*$L90*looptijd))</f>
        <v>0</v>
      </c>
      <c r="BV90" s="881"/>
      <c r="BW90" s="886">
        <f>(Efac_die_TTW*(gem_verbr_die_taxi_middel/100)*$E90*H90)+(Efac_benz_TTW*(gem_verbr_benz_taxi_middel/100)*$E90*I90)+(Efac_CNG_berekening_TTW*(gem_verbr_CNG_taxi_middel/100)*$E90*J90)</f>
        <v>0</v>
      </c>
      <c r="BX90" s="887">
        <f>(Efac_die_WTW*(gem_verbr_die_taxi_middel/100)*$E90*H90)+(Efac_benz_WTW*(gem_verbr_benz_taxi_middel/100)*$E90*I90)+(Efac_CNG_berekening_WTW*(gem_verbr_CNG_taxi_middel/100)*$E90*J90)</f>
        <v>0</v>
      </c>
      <c r="BY90" s="888">
        <f>IF($G90=0,0,(BX90*looptijd)/($E90*$G90*looptijd))</f>
        <v>0</v>
      </c>
      <c r="BZ90" s="889"/>
      <c r="CA90" s="886">
        <f>(Efac_die_TTW*(gem_verbr_die_taxi_middel/100)*$E90*M90)+(Efac_benz_TTW*(gem_verbr_benz_taxi_middel/100)*$E90*N90)+(Efac_CNG_berekening_TTW*(gem_verbr_CNG_taxi_middel/100)*$E90*O90)+(Efac_elek_berekening_TTW*(gem_verbr_BEV_taxi_middel/100)*$E90*P90)+(Efac_elek_berekening_TTW*(gem_verbr_FCEV_taxi_middel_Elek/100)*(100%-_verh_H2_accu_F)*Q90)+(Efac_H2_berekening_TTW*(gem_verbr_FCEV_taxi_middel_H2/100)*(_verh_H2_accu_taxi_middel)*Q90)</f>
        <v>0</v>
      </c>
      <c r="CB90" s="887">
        <f>(Efac_die_WTW*(gem_verbr_die_taxi_middel/100)*$E90*M90)+(Efac_benz_WTW*(gem_verbr_benz_taxi_middel/100)*$E90*N90)+(Efac_CNG_berekening_WTW*(gem_verbr_CNG_taxi_middel/100)*$E90*O90)+(Efac_elek_berekening_WTW*(gem_verbr_BEV_taxi_middel/100)*$E90*P90)+(Efac_elek_berekening_WTW*(gem_verbr_FCEV_taxi_middel_Elek/100)*(100%-_verh_H2_accu_F)*Q90)+(Efac_H2_berekening_WTW*(gem_verbr_FCEV_taxi_middel_H2/100)*(_verh_H2_accu_taxi_middel)*Q90)</f>
        <v>0</v>
      </c>
      <c r="CC90" s="888">
        <f>IF($L90=0,0,(CB90*looptijd)/($L90*$E90*looptijd))</f>
        <v>0</v>
      </c>
    </row>
    <row r="91" spans="1:81">
      <c r="A91" s="891"/>
      <c r="B91" s="894" t="s">
        <v>850</v>
      </c>
      <c r="C91" s="868" t="s">
        <v>1695</v>
      </c>
      <c r="D91" s="868"/>
      <c r="E91" s="872">
        <v>75000</v>
      </c>
      <c r="F91" s="873"/>
      <c r="G91" s="870">
        <f t="shared" si="7"/>
        <v>0</v>
      </c>
      <c r="H91" s="868">
        <v>0</v>
      </c>
      <c r="I91" s="871">
        <v>0</v>
      </c>
      <c r="J91" s="874">
        <v>0</v>
      </c>
      <c r="K91" s="873"/>
      <c r="L91" s="870">
        <f t="shared" si="8"/>
        <v>0</v>
      </c>
      <c r="M91" s="868">
        <v>0</v>
      </c>
      <c r="N91" s="868">
        <v>0</v>
      </c>
      <c r="O91" s="868">
        <v>0</v>
      </c>
      <c r="P91" s="868">
        <v>0</v>
      </c>
      <c r="Q91" s="874">
        <v>0</v>
      </c>
      <c r="S91" s="875">
        <f>(L91*E91*looptijd)</f>
        <v>0</v>
      </c>
      <c r="U91" s="876">
        <f>(Netto_cat_die_taxibus_middel*H91)+(Netto_cat_benz_taxibus_middel*I91)+(Netto_cat_CNG_taxibus_middel*J91)</f>
        <v>0</v>
      </c>
      <c r="V91" s="877">
        <f>IF($G91=0,0,U91/($E91*$G91*looptijd))</f>
        <v>0</v>
      </c>
      <c r="W91" s="878">
        <f>IF(BPM_belasting="ja",(BPM_die_taxibus_middel*H91)+(BPM_benz_taxibus_middel*I91)+(BPM_CNG_taxibus_middel*J91),0)</f>
        <v>0</v>
      </c>
      <c r="X91" s="877">
        <f>IF($G91=0,0,W91/($E91*looptijd*$G91))</f>
        <v>0</v>
      </c>
      <c r="Y91" s="879">
        <f>BTW*U91</f>
        <v>0</v>
      </c>
      <c r="Z91" s="879">
        <f t="shared" si="10"/>
        <v>0</v>
      </c>
      <c r="AA91" s="879">
        <f>IF(BTW_verrekening="ja",((U91+W91-AW91))/2*Rente_financiering,((U91+W91+Y91-AW91)/2)*Rente_financiering)</f>
        <v>0</v>
      </c>
      <c r="AB91" s="880">
        <f>IF(G91=0,0,AA91*looptijd/($E91*looptijd*$G91))</f>
        <v>0</v>
      </c>
      <c r="AD91" s="876">
        <f>(Netto_cat_die_taxibus_middel*M91)+(Netto_cat_benz_taxibus_middel*N91)+(Netto_cat_CNG_taxibus_middel*O91)+(Netto_cat_BEV_taxibus_middel*P91)+(Netto_cat_FCEV_taxi_middel*Q91)</f>
        <v>0</v>
      </c>
      <c r="AE91" s="877">
        <f>IF($L91=0,0,AD91/($E91*$L91*looptijd))</f>
        <v>0</v>
      </c>
      <c r="AF91" s="878">
        <f>IF(BPM_belasting="ja",(BPM_benz_A*N91)+(BPM_CNG_A*O91)+(P91*BPM_BEV)+(Q91*BPM_FCEV),0)</f>
        <v>0</v>
      </c>
      <c r="AG91" s="878">
        <f>IF($L91=0,0,AF91/($E91*looptijd*$L91))</f>
        <v>0</v>
      </c>
      <c r="AH91" s="878">
        <f>BTW*AD91</f>
        <v>0</v>
      </c>
      <c r="AI91" s="878">
        <f>SUM(AD91:AH91)</f>
        <v>0</v>
      </c>
      <c r="AJ91" s="878">
        <f>IF('2. Invoer parameters'!$C$10="ja",MIA_BEV_taxibus_middel*P91,0)</f>
        <v>0</v>
      </c>
      <c r="AK91" s="882">
        <f>IF($L91=0,0,AJ91/($E91*looptijd*$L91))</f>
        <v>0</v>
      </c>
      <c r="AL91" s="881">
        <f>IF(BPM_belasting="nee",(((AD91-AJ91)-BK91)/2)*Rente_financiering,(((AD91-AJ91+AF91)-BL91)/2)*Rente_financiering)</f>
        <v>0</v>
      </c>
      <c r="AM91" s="880">
        <f>IF($L91=0,0,AL91*looptijd/($E91*looptijd*$L91))</f>
        <v>0</v>
      </c>
      <c r="AO91" s="876">
        <f>(H91*verz_die_taxibus_middel)+(I91*verz_benz_taxibus_middel)+(J91*verz_CNG_taxibus_middel)</f>
        <v>0</v>
      </c>
      <c r="AP91" s="877">
        <f>IF($G91=0,0,(AO91*12*looptijd)/($E91*looptijd*$G91))</f>
        <v>0</v>
      </c>
      <c r="AQ91" s="878">
        <f>(input_MRB_die_taxibus_middel*$H91)+(input_MRB_benz_taxibus_middel*$I91)+(input_MRB_CNG_taxibus_middel*J91)</f>
        <v>0</v>
      </c>
      <c r="AR91" s="877">
        <f>IF($G91=0,0,AQ91/($E91*looptijd*$G91))</f>
        <v>0</v>
      </c>
      <c r="AS91" s="878">
        <f>($E91*H91*(gem_verbr_die_taxi_middel/100)*prijs_die)+($E91*I91*(gem_verbr_benz_taxi_middel/100)*prijs_benz)+($E91*J91*(gem_verbr_CNG_taxi_middel/100)*prijs_CNG)</f>
        <v>0</v>
      </c>
      <c r="AT91" s="877">
        <f>IF($G91=0,0,(AS91*looptijd)/(looptijd*$E91*$G91))</f>
        <v>0</v>
      </c>
      <c r="AU91" s="878">
        <f>($E91*H91*Onderh_die_taxibus_middel_hoog_km)+($E91*I91*Onderh_benz_taxibus_middel_hoog_km)+($E91*J91*Onderh_CNG_taxibus_middel_hoog_km)</f>
        <v>0</v>
      </c>
      <c r="AV91" s="877">
        <f t="shared" si="9"/>
        <v>0</v>
      </c>
      <c r="AW91" s="878">
        <f>Rest_perc*SUM(U91:W91)</f>
        <v>0</v>
      </c>
      <c r="AX91" s="881">
        <f>Rest_perc*SUM(U91:Y91)</f>
        <v>0</v>
      </c>
      <c r="AY91" s="878">
        <f>IF(BTW_verrekening="Ja",((U91+W91)-AW91)/(looptijd*12),((U91+W91+Y91)-AX91)/(looptijd*12))</f>
        <v>0</v>
      </c>
      <c r="AZ91" s="877">
        <f>IF($G91=0,0,(AY91*12*looptijd)/(looptijd*$E91*$G91))</f>
        <v>0</v>
      </c>
      <c r="BA91" s="883">
        <f>(_schadekosten_per_km*E91*G91)/12</f>
        <v>0</v>
      </c>
      <c r="BB91" s="884">
        <f>IF($G91=0,0,(BA91*12*looptijd)/($E91*$G91*looptijd))</f>
        <v>0</v>
      </c>
      <c r="BD91" s="876">
        <f>(M91*verz_die_taxibus_middel)+(N91*verz_benz_taxibus_middel)+(O91*verz_CNG_taxibus_middel)+(P91*verz_BEV_taxibus_middel)+(Q91*verz_FCEV_taxi_middel)</f>
        <v>0</v>
      </c>
      <c r="BE91" s="877">
        <f>IF($L91=0,0,(BD91*12*looptijd)/($E91*looptijd*$L91))</f>
        <v>0</v>
      </c>
      <c r="BF91" s="878">
        <f>(input_MRB_die_taxibus_middel*M91)+(input_MRB_benz_taxibus_middel*N91)+(input_MRB_CNG_taxibus_middel*O91)+(input_MRB_BEV_taxibus_middel*P91)+(input_MRB_FCEV_taxi_middel*Q91)</f>
        <v>0</v>
      </c>
      <c r="BG91" s="877">
        <f>IF($L91=0,0,BF91/($E91*looptijd*$L91))</f>
        <v>0</v>
      </c>
      <c r="BH91" s="878">
        <f>($E91*M91*(gem_verbr_die_taxi_middel/100)*prijs_die)+($E91*N91*(gem_verbr_die_taxi_middel/100)*prijs_benz)+($E91*O91*(gem_verbr_CNG_taxi_middel/100)*prijs_CNG)+($E91*P91*(gem_verbr_BEV_taxi_middel/100)*prijs_elek_berekening)+($E91*Q91*(gem_verbr_FCEV_taxi_middel_Elek/100)*prijs_elek_berekening*(100%-_verh_H2_accu_taxi_middel))+($E91*Q91*(gem_verbr_FCEV_taxi_middel_H2/100)*prijs_H2*(_verh_H2_accu_taxi_middel))</f>
        <v>0</v>
      </c>
      <c r="BI91" s="877">
        <f>IF($L91=0,0,(BH91*looptijd)/(looptijd*$E91*$L91))</f>
        <v>0</v>
      </c>
      <c r="BJ91" s="885"/>
      <c r="BK91" s="878">
        <f>Rest_perc_ZE*(AD91+AF91)</f>
        <v>0</v>
      </c>
      <c r="BL91" s="878">
        <f>Rest_perc_ZE*(AD91+AF91+AH91)</f>
        <v>0</v>
      </c>
      <c r="BM91" s="885"/>
      <c r="BN91" s="878">
        <f>($E91*M91*Onderh_die_taxibus_middel_hoog_km)+($E91*N91*Onderh_benz_taxibus_middel_hoog_km)+($E91*O91*Onderh_CNG_taxibus_middel_hoog_km)+($E91*P91*Onderh_BEV_taxibus_middel_hoog_km)+($E91*Q91*Onderh_FCEV_taxi_middel_hoog_km)</f>
        <v>0</v>
      </c>
      <c r="BO91" s="877">
        <f>IF($L91=0,0,(BN91*looptijd)/(looptijd*$E91*$L91))</f>
        <v>0</v>
      </c>
      <c r="BP91" s="878"/>
      <c r="BQ91" s="878">
        <f>IF(BTW_verrekening="Ja",((AD91+AF91-AJ91)-BK91)/(looptijd*12),((AD91+AF91+AH91-AJ91)-BL91)/(looptijd*12))</f>
        <v>0</v>
      </c>
      <c r="BR91" s="877">
        <f>IF($G91=0,0,(BQ91*12*looptijd)/(looptijd*$E91*$G91))</f>
        <v>0</v>
      </c>
      <c r="BS91" s="885"/>
      <c r="BT91" s="883">
        <f>(_schadekosten_per_km*E91*L91)/12</f>
        <v>0</v>
      </c>
      <c r="BU91" s="884">
        <f>IF($L91=0,0,(BT91*12*looptijd)/($E91*$L91*looptijd))</f>
        <v>0</v>
      </c>
      <c r="BV91" s="881"/>
      <c r="BW91" s="886">
        <f>(Efac_die_TTW*(gem_verbr_die_taxi_middel/100)*$E91*H91)+(Efac_benz_TTW*(gem_verbr_benz_taxi_middel/100)*$E91*I91)+(Efac_CNG_berekening_TTW*(gem_verbr_CNG_taxi_middel/100)*$E91*J91)</f>
        <v>0</v>
      </c>
      <c r="BX91" s="887">
        <f>(Efac_die_WTW*(gem_verbr_die_taxi_middel/100)*$E91*H91)+(Efac_benz_WTW*(gem_verbr_benz_taxi_middel/100)*$E91*I91)+(Efac_CNG_berekening_WTW*(gem_verbr_CNG_taxi_middel/100)*$E91*J91)</f>
        <v>0</v>
      </c>
      <c r="BY91" s="888">
        <f>IF($G91=0,0,(BX91*looptijd)/($E91*$G91*looptijd))</f>
        <v>0</v>
      </c>
      <c r="BZ91" s="889"/>
      <c r="CA91" s="886">
        <f>(Efac_die_TTW*(gem_verbr_die_taxi_middel/100)*$E91*M91)+(Efac_benz_TTW*(gem_verbr_benz_taxi_middel/100)*$E91*N91)+(Efac_CNG_berekening_TTW*(gem_verbr_CNG_taxi_middel/100)*$E91*O91)+(Efac_elek_berekening_TTW*(gem_verbr_BEV_taxi_middel/100)*$E91*P91)+(Efac_elek_berekening_TTW*(gem_verbr_FCEV_taxi_middel_Elek/100)*(100%-_verh_H2_accu_F)*Q91)+(Efac_H2_berekening_TTW*(gem_verbr_FCEV_taxi_middel_H2/100)*(_verh_H2_accu_taxi_middel)*Q91)</f>
        <v>0</v>
      </c>
      <c r="CB91" s="887">
        <f>(Efac_die_WTW*(gem_verbr_die_taxi_middel/100)*$E91*M91)+(Efac_benz_WTW*(gem_verbr_benz_taxi_middel/100)*$E91*N91)+(Efac_CNG_berekening_WTW*(gem_verbr_CNG_taxi_middel/100)*$E91*O91)+(Efac_elek_berekening_WTW*(gem_verbr_BEV_taxi_middel/100)*$E91*P91)+(Efac_elek_berekening_WTW*(gem_verbr_FCEV_taxi_middel_Elek/100)*(100%-_verh_H2_accu_F)*Q91)+(Efac_H2_berekening_WTW*(gem_verbr_FCEV_taxi_middel_H2/100)*(_verh_H2_accu_taxi_middel)*Q91)</f>
        <v>0</v>
      </c>
      <c r="CC91" s="888">
        <f>IF($L91=0,0,(CB91*looptijd)/($L91*$E91*looptijd))</f>
        <v>0</v>
      </c>
    </row>
    <row r="92" spans="1:81">
      <c r="B92" s="867"/>
      <c r="C92" s="889"/>
      <c r="D92" s="889"/>
      <c r="E92" s="869"/>
      <c r="G92" s="870"/>
      <c r="H92" s="868"/>
      <c r="I92" s="868"/>
      <c r="J92" s="872"/>
      <c r="K92" s="873"/>
      <c r="L92" s="870"/>
      <c r="M92" s="868"/>
      <c r="N92" s="868"/>
      <c r="O92" s="868"/>
      <c r="P92" s="868"/>
      <c r="Q92" s="872"/>
      <c r="S92" s="875"/>
      <c r="U92" s="867"/>
      <c r="V92" s="877"/>
      <c r="W92" s="889"/>
      <c r="X92" s="877"/>
      <c r="Y92" s="879"/>
      <c r="Z92" s="879"/>
      <c r="AA92" s="879"/>
      <c r="AB92" s="880"/>
      <c r="AD92" s="867"/>
      <c r="AE92" s="877"/>
      <c r="AF92" s="878"/>
      <c r="AG92" s="878"/>
      <c r="AH92" s="878"/>
      <c r="AI92" s="878"/>
      <c r="AJ92" s="878"/>
      <c r="AK92" s="882"/>
      <c r="AL92" s="881"/>
      <c r="AM92" s="880"/>
      <c r="AO92" s="867"/>
      <c r="AP92" s="877"/>
      <c r="AQ92" s="878"/>
      <c r="AR92" s="877"/>
      <c r="AS92" s="889"/>
      <c r="AT92" s="877"/>
      <c r="AU92" s="889"/>
      <c r="AV92" s="877">
        <f t="shared" si="9"/>
        <v>0</v>
      </c>
      <c r="AW92" s="878"/>
      <c r="AX92" s="881"/>
      <c r="AY92" s="878"/>
      <c r="AZ92" s="877"/>
      <c r="BA92" s="883"/>
      <c r="BB92" s="884"/>
      <c r="BD92" s="876"/>
      <c r="BE92" s="877"/>
      <c r="BF92" s="889"/>
      <c r="BG92" s="877"/>
      <c r="BH92" s="878"/>
      <c r="BI92" s="877"/>
      <c r="BJ92" s="892"/>
      <c r="BK92" s="878"/>
      <c r="BL92" s="878"/>
      <c r="BM92" s="885"/>
      <c r="BN92" s="889"/>
      <c r="BO92" s="877"/>
      <c r="BP92" s="889"/>
      <c r="BQ92" s="878"/>
      <c r="BR92" s="877"/>
      <c r="BS92" s="885"/>
      <c r="BT92" s="883"/>
      <c r="BU92" s="884"/>
      <c r="BV92" s="881"/>
      <c r="BW92" s="886"/>
      <c r="BX92" s="889"/>
      <c r="BY92" s="888"/>
      <c r="BZ92" s="889"/>
      <c r="CA92" s="886"/>
      <c r="CB92" s="889"/>
      <c r="CC92" s="888"/>
    </row>
    <row r="93" spans="1:81">
      <c r="A93" s="891">
        <v>46</v>
      </c>
      <c r="B93" s="894" t="s">
        <v>729</v>
      </c>
      <c r="C93" s="868" t="s">
        <v>748</v>
      </c>
      <c r="D93" s="868"/>
      <c r="E93" s="869">
        <f>$E$3</f>
        <v>10000</v>
      </c>
      <c r="G93" s="870">
        <f t="shared" si="7"/>
        <v>0</v>
      </c>
      <c r="H93" s="868">
        <f t="array" ref="H93:H97">TRANSPOSE('1a. Invoer - BESTAAND'!J21:N21)</f>
        <v>0</v>
      </c>
      <c r="I93" s="871">
        <v>0</v>
      </c>
      <c r="J93" s="897">
        <f t="array" ref="J93:J97">TRANSPOSE('1a. Invoer - BESTAAND'!E50:I50)</f>
        <v>0</v>
      </c>
      <c r="K93" s="873"/>
      <c r="L93" s="870">
        <f t="shared" si="8"/>
        <v>0</v>
      </c>
      <c r="M93" s="868">
        <v>0</v>
      </c>
      <c r="N93" s="868">
        <v>0</v>
      </c>
      <c r="O93" s="868">
        <v>0</v>
      </c>
      <c r="P93" s="868">
        <f t="array" ref="P93:P97">TRANSPOSE('1b. Invoer - NIEUW'!E23:I23)</f>
        <v>0</v>
      </c>
      <c r="Q93" s="872">
        <f t="array" ref="Q93:Q97">TRANSPOSE('1b. Invoer - NIEUW'!J23:N23)</f>
        <v>0</v>
      </c>
      <c r="S93" s="875">
        <f>(L93*E93*looptijd)</f>
        <v>0</v>
      </c>
      <c r="U93" s="898">
        <f>(Netto_cat_die_taxibus_groot*H93)+(Netto_cat_benz_taxibus_groot*I93)+(Netto_cat_CNG_taxibus_groot*J93)</f>
        <v>0</v>
      </c>
      <c r="V93" s="877">
        <f>IF($G93=0,0,U93/($E93*$G93*looptijd))</f>
        <v>0</v>
      </c>
      <c r="W93" s="896">
        <f>IF(BPM_belasting="ja",(BPM_die_taxibus_groot*H93)+(BPM_benz_taxibus_groot*I93)+(BPM_CNG_taxibus_groot*J93),0)</f>
        <v>0</v>
      </c>
      <c r="X93" s="877">
        <f>IF($G93=0,0,W93/($E93*looptijd*$G93))</f>
        <v>0</v>
      </c>
      <c r="Y93" s="879">
        <f>BTW*U93</f>
        <v>0</v>
      </c>
      <c r="Z93" s="879">
        <f>SUM(U93:Y93)</f>
        <v>0</v>
      </c>
      <c r="AA93" s="879">
        <f>IF(BTW_verrekening="ja",((U93+W93-AW93))/2*Rente_financiering,((U93+W93+Y93-AW93)/2)*Rente_financiering)</f>
        <v>0</v>
      </c>
      <c r="AB93" s="880">
        <f>IF(G93=0,0,AA93*looptijd/($E93*looptijd*$G93))</f>
        <v>0</v>
      </c>
      <c r="AD93" s="898">
        <f>(Netto_cat_die_taxibus_groot*M93)+(Netto_cat_benz_taxibus_groot*N93)+(Netto_cat_CNG_taxibus_groot*O93)+(Netto_cat_BEV_taxibus_groot*P93)+(Netto_cat_FCEV_bestel_groot*Q93)</f>
        <v>0</v>
      </c>
      <c r="AE93" s="877">
        <f>IF($L93=0,0,AD93/($E93*$L93*looptijd))</f>
        <v>0</v>
      </c>
      <c r="AF93" s="878">
        <f>IF(BPM_belasting="ja",(BPM_benz_A*N93)+(BPM_CNG_A*O93)+(P93*BPM_BEV)+(Q93*BPM_FCEV),0)</f>
        <v>0</v>
      </c>
      <c r="AG93" s="878">
        <f>IF($L93=0,0,AF93/($E93*looptijd*$L93))</f>
        <v>0</v>
      </c>
      <c r="AH93" s="878">
        <f>BTW*AD93</f>
        <v>0</v>
      </c>
      <c r="AI93" s="878">
        <f>SUM(AD93:AH93)</f>
        <v>0</v>
      </c>
      <c r="AJ93" s="878">
        <f>IF('2. Invoer parameters'!$C$10="ja",MIA_BEV_taxibus_groot*P93,0)</f>
        <v>0</v>
      </c>
      <c r="AK93" s="882">
        <f>IF($L93=0,0,AJ93/($E93*looptijd*$L93))</f>
        <v>0</v>
      </c>
      <c r="AL93" s="881">
        <f>IF(BPM_belasting="nee",(((AD93-AJ93)-BK93)/2)*Rente_financiering,(((AD93-AJ93+AF93)-BL93)/2)*Rente_financiering)</f>
        <v>0</v>
      </c>
      <c r="AM93" s="880">
        <f>IF($L93=0,0,AL93*looptijd/($E93*looptijd*$L93))</f>
        <v>0</v>
      </c>
      <c r="AO93" s="876">
        <f>(H93*verz_die_taxibus_groot)+(I93*verz_benz_taxibus_groot)+(J93*verz_CNG_taxibus_groot)</f>
        <v>0</v>
      </c>
      <c r="AP93" s="877">
        <f>IF($G93=0,0,(AO93*12*looptijd)/($E93*looptijd*$G93))</f>
        <v>0</v>
      </c>
      <c r="AQ93" s="896">
        <f>(input_MRB_die_taxibus_groot*$H93)+(input_MRB_benz_taxibus_groot*$I93)+(input_MRB_CNG_taxibus_groot*J93)</f>
        <v>0</v>
      </c>
      <c r="AR93" s="877">
        <f>IF($G93=0,0,AQ93/($E93*looptijd*$G93))</f>
        <v>0</v>
      </c>
      <c r="AS93" s="878">
        <f>($E93*H93*(gem_verbr_die_taxi_groot/100)*prijs_die)+($E93*I93*(gem_verbr_benz_taxi_groot/100)*prijs_benz)+($E93*J93*(gem_verbr_CNG_taxi_groot/100)*prijs_CNG)</f>
        <v>0</v>
      </c>
      <c r="AT93" s="877">
        <f>IF($G93=0,0,(AS93*looptijd)/(looptijd*$E93*$G93))</f>
        <v>0</v>
      </c>
      <c r="AU93" s="878">
        <f>($E93*H93*Onderh_die_taxibus_groot)+($E93*I93*Onderh_benz_taxibus_groot)+($E93*J93*Onderh_CNG_taxibus_groot)</f>
        <v>0</v>
      </c>
      <c r="AV93" s="877">
        <f t="shared" si="9"/>
        <v>0</v>
      </c>
      <c r="AW93" s="878">
        <f>Rest_perc*SUM(U93:W93)</f>
        <v>0</v>
      </c>
      <c r="AX93" s="881">
        <f>Rest_perc*SUM(U93:Y93)</f>
        <v>0</v>
      </c>
      <c r="AY93" s="878">
        <f>IF(BTW_verrekening="Ja",((U93+W93)-AW93)/(looptijd*12),((U93+W93+Y93)-AX93)/(looptijd*12))</f>
        <v>0</v>
      </c>
      <c r="AZ93" s="877">
        <f>IF($G93=0,0,(AY93*12*looptijd)/(looptijd*$E93*$G93))</f>
        <v>0</v>
      </c>
      <c r="BA93" s="883">
        <f>(_schadekosten_per_km*E93*G93)/12</f>
        <v>0</v>
      </c>
      <c r="BB93" s="884">
        <f>IF($G93=0,0,(BA93*12*looptijd)/($E93*$G93*looptijd))</f>
        <v>0</v>
      </c>
      <c r="BD93" s="876">
        <f>(M93*verz_die_taxibus_groot)+(N93*verz_benz_taxibus_groot)+(O93*verz_CNG_taxibus_groot)+(P93*verz_BEV_taxibus_groot)+(Q93*verz_FCEV_taxi_groot)</f>
        <v>0</v>
      </c>
      <c r="BE93" s="877">
        <f>IF($L93=0,0,(BD93*12*looptijd)/($E93*looptijd*$L93))</f>
        <v>0</v>
      </c>
      <c r="BF93" s="878">
        <f>(MRB_die_groot_taxibus*M93)+(input_MRB_benz_taxibus_groot*N93)+(input_MRB_CNG_taxibus_klein*O93)*(input_MRB_BEV_taxibus_middel*P93)+(input_MRB_FCEV_taxi_groot*Q93)</f>
        <v>0</v>
      </c>
      <c r="BG93" s="877">
        <f>IF($L93=0,0,BF93/($E93*looptijd*$L93))</f>
        <v>0</v>
      </c>
      <c r="BH93" s="878">
        <f>($E93*M93*(gem_verbr_die_taxi_groot/100)*prijs_die)+($E93*N93*(gem_verbr_die_taxi_groot/100)*prijs_benz)+($E93*O93*(gem_verbr_CNG_taxi_groot/100)*prijs_CNG)+($E93*P93*(gem_verbr_BEV_taxi_groot/100)*prijs_elek_berekening)+($E93*Q93*(gem_verbr_FCEV_taxi_groot_Elek/100)*prijs_elek_berekening*(100%-_verh_H2_accu_taxi_groot))+($E93*Q93*(gem_verbr_FCEV_taxi_groot_H2/100)*prijs_H2*(_verh_H2_accu_taxi_groot))</f>
        <v>0</v>
      </c>
      <c r="BI93" s="877">
        <f>IF($L93=0,0,(BH93*looptijd)/(looptijd*$E93*$L93))</f>
        <v>0</v>
      </c>
      <c r="BJ93" s="885"/>
      <c r="BK93" s="878">
        <f>Rest_perc_ZE*(AD93+AF93)</f>
        <v>0</v>
      </c>
      <c r="BL93" s="878">
        <f>Rest_perc_ZE*(AD93+AF93+AH93)</f>
        <v>0</v>
      </c>
      <c r="BM93" s="885"/>
      <c r="BN93" s="878">
        <f>($E93*M93*Onderh_die_taxibus_groot)+($E93*N93*Onderh_benz_taxibus_groot)+($E93*O93*Onderh_CNG_taxibus_klein)+($E93*P93*Onderh_BEV_taxibus_groot)+($E93*Q93*Onderh_FCEV_taxi_groot)</f>
        <v>0</v>
      </c>
      <c r="BO93" s="877">
        <f>IF($L93=0,0,(BN93*looptijd)/(looptijd*$E93*$L93))</f>
        <v>0</v>
      </c>
      <c r="BP93" s="878"/>
      <c r="BQ93" s="878">
        <f>IF(BTW_verrekening="Ja",((AD93+AF93-AJ93)-BK93)/(looptijd*12),((AD93+AF93+AH93-AJ93)-BL93)/(looptijd*12))</f>
        <v>0</v>
      </c>
      <c r="BR93" s="877">
        <f>IF($G93=0,0,(BQ93*12*looptijd)/(looptijd*$E93*$G93))</f>
        <v>0</v>
      </c>
      <c r="BS93" s="885"/>
      <c r="BT93" s="883">
        <f>(_schadekosten_per_km*E93*L93)/12</f>
        <v>0</v>
      </c>
      <c r="BU93" s="884">
        <f>IF($L93=0,0,(BT93*12*looptijd)/($E93*$L93*looptijd))</f>
        <v>0</v>
      </c>
      <c r="BV93" s="881"/>
      <c r="BW93" s="886">
        <f>(Efac_die_TTW*(gem_verbr_die_taxi_groot/100)*$E93*H93)+(Efac_benz_TTW*(gem_verbr_benz_taxi_groot/100)*$E93*I93)+(Efac_CNG_berekening_TTW*(gem_verbr_CNG_taxi_groot/100)*$E93*J93)</f>
        <v>0</v>
      </c>
      <c r="BX93" s="887">
        <f>(Efac_die_WTW*(gem_verbr_die_taxi_groot/100)*$E93*H93)+(Efac_benz_WTW*(gem_verbr_benz_taxi_groot/100)*$E93*I93)+(Efac_CNG_berekening_WTW*(gem_verbr_CNG_taxi_groot/100)*$E93*J93)</f>
        <v>0</v>
      </c>
      <c r="BY93" s="888">
        <f>IF($G93=0,0,(BX93*looptijd)/($E93*$G93*looptijd))</f>
        <v>0</v>
      </c>
      <c r="BZ93" s="889"/>
      <c r="CA93" s="886">
        <f>(Efac_die_TTW*(gem_verbr_die_taxi_groot/100)*$E93*M93)+(Efac_benz_TTW*(gem_verbr_benz_taxi_groot/100)*$E93*N93)+(Efac_CNG_berekening_TTW*(gem_verbr_CNG_taxi_groot/100)*$E93*O93)+(Efac_elek_berekening_TTW*(gem_verbr_BEV_taxi_groot/100)*$E93*P93)+(Efac_elek_berekening_TTW*(gem_verbr_FCEV_taxi_groot_Elek/100)*(100%-_verh_H2_accu_taxi_groot)*Q93)+(Efac_H2_berekening_TTW*(gem_verbr_FCEV_taxi_groot_H2/100)*(_verh_H2_accu_taxi_groot)*Q93)</f>
        <v>0</v>
      </c>
      <c r="CB93" s="887">
        <f>(Efac_die_WTW*(gem_verbr_die_taxi_groot/100)*$E93*M93)+(Efac_benz_WTW*(gem_verbr_benz_taxi_groot/100)*$E93*N93)+(Efac_CNG_berekening_WTW*(gem_verbr_CNG_taxi_groot/100)*$E93*O93)+(Efac_elek_berekening_WTW*(gem_verbr_BEV_taxi_groot/100)*$E93*P93)+(Efac_elek_berekening_WTW*(gem_verbr_FCEV_taxi_groot_Elek/100)*(100%-_verh_H2_accu_taxi_groot)*Q93)+(Efac_H2_berekening_WTW*(gem_verbr_FCEV_taxi_groot_H2/100)*(_verh_H2_accu_taxi_groot)*Q93)</f>
        <v>0</v>
      </c>
      <c r="CC93" s="888">
        <f>IF($L93=0,0,(CB93*looptijd)/($L93*$E93*looptijd))</f>
        <v>0</v>
      </c>
    </row>
    <row r="94" spans="1:81">
      <c r="A94" s="891">
        <v>47</v>
      </c>
      <c r="B94" s="894" t="s">
        <v>729</v>
      </c>
      <c r="C94" s="868" t="s">
        <v>749</v>
      </c>
      <c r="D94" s="868"/>
      <c r="E94" s="869">
        <f>$E$4</f>
        <v>15000</v>
      </c>
      <c r="G94" s="870">
        <f t="shared" si="7"/>
        <v>0</v>
      </c>
      <c r="H94" s="868">
        <v>0</v>
      </c>
      <c r="I94" s="871">
        <v>0</v>
      </c>
      <c r="J94" s="897">
        <v>0</v>
      </c>
      <c r="K94" s="873"/>
      <c r="L94" s="870">
        <f t="shared" si="8"/>
        <v>0</v>
      </c>
      <c r="M94" s="868">
        <v>0</v>
      </c>
      <c r="N94" s="868">
        <v>0</v>
      </c>
      <c r="O94" s="868">
        <v>0</v>
      </c>
      <c r="P94" s="868">
        <v>0</v>
      </c>
      <c r="Q94" s="872">
        <v>0</v>
      </c>
      <c r="S94" s="875">
        <f>(L94*E94*looptijd)</f>
        <v>0</v>
      </c>
      <c r="U94" s="898">
        <f>(Netto_cat_die_taxibus_groot*H94)+(Netto_cat_benz_taxibus_groot*I94)+(Netto_cat_CNG_taxibus_groot*J94)</f>
        <v>0</v>
      </c>
      <c r="V94" s="877">
        <f>IF($G94=0,0,U94/($E94*$G94*looptijd))</f>
        <v>0</v>
      </c>
      <c r="W94" s="896">
        <f>IF(BPM_belasting="ja",(BPM_die_taxibus_groot*H94)+(BPM_benz_taxibus_groot*I94)+(BPM_CNG_taxibus_groot*J94),0)</f>
        <v>0</v>
      </c>
      <c r="X94" s="877">
        <f>IF($G94=0,0,W94/($E94*looptijd*$G94))</f>
        <v>0</v>
      </c>
      <c r="Y94" s="879">
        <f>BTW*U94</f>
        <v>0</v>
      </c>
      <c r="Z94" s="879">
        <f>SUM(U94:Y94)</f>
        <v>0</v>
      </c>
      <c r="AA94" s="879">
        <f>IF(BTW_verrekening="ja",((U94+W94-AW94))/2*Rente_financiering,((U94+W94+Y94-AW94)/2)*Rente_financiering)</f>
        <v>0</v>
      </c>
      <c r="AB94" s="880">
        <f>IF(G94=0,0,AA94*looptijd/($E94*looptijd*$G94))</f>
        <v>0</v>
      </c>
      <c r="AD94" s="898">
        <f>(Netto_cat_die_taxibus_groot*M94)+(Netto_cat_benz_taxibus_groot*N94)+(Netto_cat_CNG_taxibus_groot*O94)+(Netto_cat_BEV_taxibus_groot*P94)+(Netto_cat_FCEV_bestel_groot*Q94)</f>
        <v>0</v>
      </c>
      <c r="AE94" s="877">
        <f>IF($L94=0,0,AD94/($E94*$L94*looptijd))</f>
        <v>0</v>
      </c>
      <c r="AF94" s="878">
        <f>IF(BPM_belasting="ja",(BPM_benz_A*N94)+(BPM_CNG_A*O94)+(P94*BPM_BEV)+(Q94*BPM_FCEV),0)</f>
        <v>0</v>
      </c>
      <c r="AG94" s="878">
        <f>IF($L94=0,0,AF94/($E94*looptijd*$L94))</f>
        <v>0</v>
      </c>
      <c r="AH94" s="878">
        <f>BTW*AD94</f>
        <v>0</v>
      </c>
      <c r="AI94" s="878">
        <f>SUM(AD94:AH94)</f>
        <v>0</v>
      </c>
      <c r="AJ94" s="878">
        <f>IF('2. Invoer parameters'!$C$10="ja",MIA_BEV_taxibus_groot*P94,0)</f>
        <v>0</v>
      </c>
      <c r="AK94" s="882">
        <f>IF($L94=0,0,AJ94/($E94*looptijd*$L94))</f>
        <v>0</v>
      </c>
      <c r="AL94" s="881">
        <f>IF(BPM_belasting="nee",(((AD94-AJ94)-BK94)/2)*Rente_financiering,(((AD94-AJ94+AF94)-BL94)/2)*Rente_financiering)</f>
        <v>0</v>
      </c>
      <c r="AM94" s="880">
        <f>IF($L94=0,0,AL94*looptijd/($E94*looptijd*$L94))</f>
        <v>0</v>
      </c>
      <c r="AO94" s="876">
        <f>(H94*verz_die_taxibus_groot)+(I94*verz_benz_taxibus_groot)+(J94*verz_CNG_taxibus_groot)</f>
        <v>0</v>
      </c>
      <c r="AP94" s="877">
        <f>IF($G94=0,0,(AO94*12*looptijd)/($E94*looptijd*$G94))</f>
        <v>0</v>
      </c>
      <c r="AQ94" s="896">
        <f>(input_MRB_die_taxibus_groot*$H94)+(input_MRB_benz_taxibus_groot*$I94)+(input_MRB_CNG_taxibus_groot*J94)</f>
        <v>0</v>
      </c>
      <c r="AR94" s="877">
        <f>IF($G94=0,0,AQ94/($E94*looptijd*$G94))</f>
        <v>0</v>
      </c>
      <c r="AS94" s="878">
        <f>($E94*H94*(gem_verbr_die_taxi_groot/100)*prijs_die)+($E94*I94*(gem_verbr_benz_taxi_groot/100)*prijs_benz)+($E94*J94*(gem_verbr_CNG_taxi_groot/100)*prijs_CNG)</f>
        <v>0</v>
      </c>
      <c r="AT94" s="877">
        <f>IF($G94=0,0,(AS94*looptijd)/(looptijd*$E94*$G94))</f>
        <v>0</v>
      </c>
      <c r="AU94" s="878">
        <f>($E94*H94*Onderh_die_taxibus_groot)+($E94*I94*Onderh_benz_taxibus_groot)+($E94*J94*Onderh_CNG_taxibus_groot)</f>
        <v>0</v>
      </c>
      <c r="AV94" s="877">
        <f t="shared" si="9"/>
        <v>0</v>
      </c>
      <c r="AW94" s="878">
        <f>Rest_perc*SUM(U94:W94)</f>
        <v>0</v>
      </c>
      <c r="AX94" s="881">
        <f>Rest_perc*SUM(U94:Y94)</f>
        <v>0</v>
      </c>
      <c r="AY94" s="878">
        <f>IF(BTW_verrekening="Ja",((U94+W94)-AW94)/(looptijd*12),((U94+W94+Y94)-AX94)/(looptijd*12))</f>
        <v>0</v>
      </c>
      <c r="AZ94" s="877">
        <f>IF($G94=0,0,(AY94*12*looptijd)/(looptijd*$E94*$G94))</f>
        <v>0</v>
      </c>
      <c r="BA94" s="883">
        <f>(_schadekosten_per_km*E94*G94)/12</f>
        <v>0</v>
      </c>
      <c r="BB94" s="884">
        <f>IF($G94=0,0,(BA94*12*looptijd)/($E94*$G94*looptijd))</f>
        <v>0</v>
      </c>
      <c r="BD94" s="876">
        <f>(M94*verz_die_taxibus_groot)+(N94*verz_benz_taxibus_groot)+(O94*verz_CNG_taxibus_groot)+(P94*verz_BEV_taxibus_groot)+(Q94*verz_FCEV_taxi_groot)</f>
        <v>0</v>
      </c>
      <c r="BE94" s="877">
        <f>IF($L94=0,0,(BD94*12*looptijd)/($E94*looptijd*$L94))</f>
        <v>0</v>
      </c>
      <c r="BF94" s="878">
        <f>(MRB_die_groot_taxibus*M94)+(input_MRB_benz_taxibus_groot*N94)+(input_MRB_CNG_taxibus_klein*O94)*(input_MRB_BEV_taxibus_middel*P94)+(input_MRB_FCEV_taxi_groot*Q94)</f>
        <v>0</v>
      </c>
      <c r="BG94" s="877">
        <f>IF($L94=0,0,BF94/($E94*looptijd*$L94))</f>
        <v>0</v>
      </c>
      <c r="BH94" s="878">
        <f>($E94*M94*(gem_verbr_die_taxi_groot/100)*prijs_die)+($E94*N94*(gem_verbr_die_taxi_groot/100)*prijs_benz)+($E94*O94*(gem_verbr_CNG_taxi_groot/100)*prijs_CNG)+($E94*P94*(gem_verbr_BEV_taxi_groot/100)*prijs_elek_berekening)+($E94*Q94*(gem_verbr_FCEV_taxi_groot_Elek/100)*prijs_elek_berekening*(100%-_verh_H2_accu_taxi_groot))+($E94*Q94*(gem_verbr_FCEV_taxi_groot_H2/100)*prijs_H2*(_verh_H2_accu_taxi_groot))</f>
        <v>0</v>
      </c>
      <c r="BI94" s="877">
        <f>IF($L94=0,0,(BH94*looptijd)/(looptijd*$E94*$L94))</f>
        <v>0</v>
      </c>
      <c r="BJ94" s="885"/>
      <c r="BK94" s="878">
        <f>Rest_perc_ZE*(AD94+AF94)</f>
        <v>0</v>
      </c>
      <c r="BL94" s="878">
        <f>Rest_perc_ZE*(AD94+AF94+AH94)</f>
        <v>0</v>
      </c>
      <c r="BM94" s="885"/>
      <c r="BN94" s="878">
        <f>($E94*M94*Onderh_die_taxibus_groot)+($E94*N94*Onderh_benz_taxibus_groot)+($E94*O94*Onderh_CNG_taxibus_klein)+($E94*P94*Onderh_BEV_taxibus_groot)+($E94*Q94*Onderh_FCEV_taxi_groot)</f>
        <v>0</v>
      </c>
      <c r="BO94" s="877">
        <f>IF($L94=0,0,(BN94*looptijd)/(looptijd*$E94*$L94))</f>
        <v>0</v>
      </c>
      <c r="BP94" s="878"/>
      <c r="BQ94" s="878">
        <f>IF(BTW_verrekening="Ja",((AD94+AF94-AJ94)-BK94)/(looptijd*12),((AD94+AF94+AH94-AJ94)-BL94)/(looptijd*12))</f>
        <v>0</v>
      </c>
      <c r="BR94" s="877">
        <f>IF($G94=0,0,(BQ94*12*looptijd)/(looptijd*$E94*$G94))</f>
        <v>0</v>
      </c>
      <c r="BS94" s="885"/>
      <c r="BT94" s="883">
        <f>(_schadekosten_per_km*E94*L94)/12</f>
        <v>0</v>
      </c>
      <c r="BU94" s="884">
        <f>IF($L94=0,0,(BT94*12*looptijd)/($E94*$L94*looptijd))</f>
        <v>0</v>
      </c>
      <c r="BV94" s="881"/>
      <c r="BW94" s="886">
        <f>(Efac_die_TTW*(gem_verbr_die_taxi_groot/100)*$E94*H94)+(Efac_benz_TTW*(gem_verbr_benz_taxi_groot/100)*$E94*I94)+(Efac_CNG_berekening_TTW*(gem_verbr_CNG_taxi_groot/100)*$E94*J94)</f>
        <v>0</v>
      </c>
      <c r="BX94" s="887">
        <f>(Efac_die_WTW*(gem_verbr_die_taxi_groot/100)*$E94*H94)+(Efac_benz_WTW*(gem_verbr_benz_taxi_groot/100)*$E94*I94)+(Efac_CNG_berekening_WTW*(gem_verbr_CNG_taxi_groot/100)*$E94*J94)</f>
        <v>0</v>
      </c>
      <c r="BY94" s="888">
        <f>IF($G94=0,0,(BX94*looptijd)/($E94*$G94*looptijd))</f>
        <v>0</v>
      </c>
      <c r="BZ94" s="889"/>
      <c r="CA94" s="886">
        <f>(Efac_die_TTW*(gem_verbr_die_taxi_groot/100)*$E94*M94)+(Efac_benz_TTW*(gem_verbr_benz_taxi_groot/100)*$E94*N94)+(Efac_CNG_berekening_TTW*(gem_verbr_CNG_taxi_groot/100)*$E94*O94)+(Efac_elek_berekening_TTW*(gem_verbr_BEV_taxi_groot/100)*$E94*P94)+(Efac_elek_berekening_TTW*(gem_verbr_FCEV_taxi_groot_Elek/100)*(100%-_verh_H2_accu_taxi_groot)*Q94)+(Efac_H2_berekening_TTW*(gem_verbr_FCEV_taxi_groot_H2/100)*(_verh_H2_accu_taxi_groot)*Q94)</f>
        <v>0</v>
      </c>
      <c r="CB94" s="887">
        <f>(Efac_die_WTW*(gem_verbr_die_taxi_groot/100)*$E94*M94)+(Efac_benz_WTW*(gem_verbr_benz_taxi_groot/100)*$E94*N94)+(Efac_CNG_berekening_WTW*(gem_verbr_CNG_taxi_groot/100)*$E94*O94)+(Efac_elek_berekening_WTW*(gem_verbr_BEV_taxi_groot/100)*$E94*P94)+(Efac_elek_berekening_WTW*(gem_verbr_FCEV_taxi_groot_Elek/100)*(100%-_verh_H2_accu_taxi_groot)*Q94)+(Efac_H2_berekening_WTW*(gem_verbr_FCEV_taxi_groot_H2/100)*(_verh_H2_accu_taxi_groot)*Q94)</f>
        <v>0</v>
      </c>
      <c r="CC94" s="888">
        <f>IF($L94=0,0,(CB94*looptijd)/($L94*$E94*looptijd))</f>
        <v>0</v>
      </c>
    </row>
    <row r="95" spans="1:81">
      <c r="A95" s="891">
        <v>48</v>
      </c>
      <c r="B95" s="894" t="s">
        <v>729</v>
      </c>
      <c r="C95" s="868" t="s">
        <v>750</v>
      </c>
      <c r="D95" s="868"/>
      <c r="E95" s="869">
        <f>$E$5</f>
        <v>25000</v>
      </c>
      <c r="G95" s="870">
        <f t="shared" si="7"/>
        <v>0</v>
      </c>
      <c r="H95" s="868">
        <v>0</v>
      </c>
      <c r="I95" s="871">
        <v>0</v>
      </c>
      <c r="J95" s="897">
        <v>0</v>
      </c>
      <c r="K95" s="873"/>
      <c r="L95" s="870">
        <f t="shared" si="8"/>
        <v>0</v>
      </c>
      <c r="M95" s="868">
        <v>0</v>
      </c>
      <c r="N95" s="868">
        <v>0</v>
      </c>
      <c r="O95" s="868">
        <v>0</v>
      </c>
      <c r="P95" s="868">
        <v>0</v>
      </c>
      <c r="Q95" s="872">
        <v>0</v>
      </c>
      <c r="S95" s="875">
        <f>(L95*E95*looptijd)</f>
        <v>0</v>
      </c>
      <c r="U95" s="898">
        <f>(Netto_cat_die_taxibus_groot*H95)+(Netto_cat_benz_taxibus_groot*I95)+(Netto_cat_CNG_taxibus_groot*J95)</f>
        <v>0</v>
      </c>
      <c r="V95" s="877">
        <f>IF($G95=0,0,U95/($E95*$G95*looptijd))</f>
        <v>0</v>
      </c>
      <c r="W95" s="896">
        <f>IF(BPM_belasting="ja",(BPM_die_taxibus_groot*H95)+(BPM_benz_taxibus_groot*I95)+(BPM_CNG_taxibus_groot*J95),0)</f>
        <v>0</v>
      </c>
      <c r="X95" s="877">
        <f>IF($G95=0,0,W95/($E95*looptijd*$G95))</f>
        <v>0</v>
      </c>
      <c r="Y95" s="879">
        <f>BTW*U95</f>
        <v>0</v>
      </c>
      <c r="Z95" s="879">
        <f>SUM(U95:Y95)</f>
        <v>0</v>
      </c>
      <c r="AA95" s="879">
        <f>IF(BTW_verrekening="ja",((U95+W95-AW95))/2*Rente_financiering,((U95+W95+Y95-AW95)/2)*Rente_financiering)</f>
        <v>0</v>
      </c>
      <c r="AB95" s="880">
        <f>IF(G95=0,0,AA95*looptijd/($E95*looptijd*$G95))</f>
        <v>0</v>
      </c>
      <c r="AD95" s="898">
        <f>(Netto_cat_die_taxibus_groot*M95)+(Netto_cat_benz_taxibus_groot*N95)+(Netto_cat_CNG_taxibus_groot*O95)+(Netto_cat_BEV_taxibus_groot*P95)+(Netto_cat_FCEV_bestel_groot*Q95)</f>
        <v>0</v>
      </c>
      <c r="AE95" s="877">
        <f>IF($L95=0,0,AD95/($E95*$L95*looptijd))</f>
        <v>0</v>
      </c>
      <c r="AF95" s="878">
        <f>IF(BPM_belasting="ja",(BPM_benz_A*N95)+(BPM_CNG_A*O95)+(P95*BPM_BEV)+(Q95*BPM_FCEV),0)</f>
        <v>0</v>
      </c>
      <c r="AG95" s="878">
        <f>IF($L95=0,0,AF95/($E95*looptijd*$L95))</f>
        <v>0</v>
      </c>
      <c r="AH95" s="878">
        <f>BTW*AD95</f>
        <v>0</v>
      </c>
      <c r="AI95" s="878">
        <f>SUM(AD95:AH95)</f>
        <v>0</v>
      </c>
      <c r="AJ95" s="878">
        <f>IF('2. Invoer parameters'!$C$10="ja",MIA_BEV_taxibus_groot*P95,0)</f>
        <v>0</v>
      </c>
      <c r="AK95" s="882">
        <f>IF($L95=0,0,AJ95/($E95*looptijd*$L95))</f>
        <v>0</v>
      </c>
      <c r="AL95" s="881">
        <f>IF(BPM_belasting="nee",(((AD95-AJ95)-BK95)/2)*Rente_financiering,(((AD95-AJ95+AF95)-BL95)/2)*Rente_financiering)</f>
        <v>0</v>
      </c>
      <c r="AM95" s="880">
        <f>IF($L95=0,0,AL95*looptijd/($E95*looptijd*$L95))</f>
        <v>0</v>
      </c>
      <c r="AO95" s="876">
        <f>(H95*verz_die_taxibus_groot)+(I95*verz_benz_taxibus_groot)+(J95*verz_CNG_taxibus_groot)</f>
        <v>0</v>
      </c>
      <c r="AP95" s="877">
        <f>IF($G95=0,0,(AO95*12*looptijd)/($E95*looptijd*$G95))</f>
        <v>0</v>
      </c>
      <c r="AQ95" s="896">
        <f>(input_MRB_die_taxibus_groot*$H95)+(input_MRB_benz_taxibus_groot*$I95)+(input_MRB_CNG_taxibus_groot*J95)</f>
        <v>0</v>
      </c>
      <c r="AR95" s="877">
        <f>IF($G95=0,0,AQ95/($E95*looptijd*$G95))</f>
        <v>0</v>
      </c>
      <c r="AS95" s="878">
        <f>($E95*H95*(gem_verbr_die_taxi_groot/100)*prijs_die)+($E95*I95*(gem_verbr_benz_taxi_groot/100)*prijs_benz)+($E95*J95*(gem_verbr_CNG_taxi_groot/100)*prijs_CNG)</f>
        <v>0</v>
      </c>
      <c r="AT95" s="877">
        <f>IF($G95=0,0,(AS95*looptijd)/(looptijd*$E95*$G95))</f>
        <v>0</v>
      </c>
      <c r="AU95" s="878">
        <f>($E95*H95*Onderh_die_taxibus_groot)+($E95*I95*Onderh_benz_taxibus_groot)+($E95*J95*Onderh_CNG_taxibus_groot)</f>
        <v>0</v>
      </c>
      <c r="AV95" s="877">
        <f t="shared" si="9"/>
        <v>0</v>
      </c>
      <c r="AW95" s="878">
        <f>Rest_perc*SUM(U95:W95)</f>
        <v>0</v>
      </c>
      <c r="AX95" s="881">
        <f>Rest_perc*SUM(U95:Y95)</f>
        <v>0</v>
      </c>
      <c r="AY95" s="878">
        <f>IF(BTW_verrekening="Ja",((U95+W95)-AW95)/(looptijd*12),((U95+W95+Y95)-AX95)/(looptijd*12))</f>
        <v>0</v>
      </c>
      <c r="AZ95" s="877">
        <f>IF($G95=0,0,(AY95*12*looptijd)/(looptijd*$E95*$G95))</f>
        <v>0</v>
      </c>
      <c r="BA95" s="883">
        <f>(_schadekosten_per_km*E95*G95)/12</f>
        <v>0</v>
      </c>
      <c r="BB95" s="884">
        <f>IF($G95=0,0,(BA95*12*looptijd)/($E95*$G95*looptijd))</f>
        <v>0</v>
      </c>
      <c r="BD95" s="876">
        <f>(M95*verz_die_taxibus_groot)+(N95*verz_benz_taxibus_groot)+(O95*verz_CNG_taxibus_groot)+(P95*verz_BEV_taxibus_groot)+(Q95*verz_FCEV_taxi_groot)</f>
        <v>0</v>
      </c>
      <c r="BE95" s="877">
        <f>IF($L95=0,0,(BD95*12*looptijd)/($E95*looptijd*$L95))</f>
        <v>0</v>
      </c>
      <c r="BF95" s="878">
        <f>(MRB_die_groot_taxibus*M95)+(input_MRB_benz_taxibus_groot*N95)+(input_MRB_CNG_taxibus_klein*O95)*(input_MRB_BEV_taxibus_middel*P95)+(input_MRB_FCEV_taxi_groot*Q95)</f>
        <v>0</v>
      </c>
      <c r="BG95" s="877">
        <f>IF($L95=0,0,BF95/($E95*looptijd*$L95))</f>
        <v>0</v>
      </c>
      <c r="BH95" s="878">
        <f>($E95*M95*(gem_verbr_die_taxi_groot/100)*prijs_die)+($E95*N95*(gem_verbr_die_taxi_groot/100)*prijs_benz)+($E95*O95*(gem_verbr_CNG_taxi_groot/100)*prijs_CNG)+($E95*P95*(gem_verbr_BEV_taxi_groot/100)*prijs_elek_berekening)+($E95*Q95*(gem_verbr_FCEV_taxi_groot_Elek/100)*prijs_elek_berekening*(100%-_verh_H2_accu_taxi_groot))+($E95*Q95*(gem_verbr_FCEV_taxi_groot_H2/100)*prijs_H2*(_verh_H2_accu_taxi_groot))</f>
        <v>0</v>
      </c>
      <c r="BI95" s="877">
        <f>IF($L95=0,0,(BH95*looptijd)/(looptijd*$E95*$L95))</f>
        <v>0</v>
      </c>
      <c r="BJ95" s="885"/>
      <c r="BK95" s="878">
        <f>Rest_perc_ZE*(AD95+AF95)</f>
        <v>0</v>
      </c>
      <c r="BL95" s="878">
        <f>Rest_perc_ZE*(AD95+AF95+AH95)</f>
        <v>0</v>
      </c>
      <c r="BM95" s="885"/>
      <c r="BN95" s="878">
        <f>($E95*M95*Onderh_die_taxibus_groot)+($E95*N95*Onderh_benz_taxibus_groot)+($E95*O95*Onderh_CNG_taxibus_klein)+($E95*P95*Onderh_BEV_taxibus_groot)+($E95*Q95*Onderh_FCEV_taxi_groot)</f>
        <v>0</v>
      </c>
      <c r="BO95" s="877">
        <f>IF($L95=0,0,(BN95*looptijd)/(looptijd*$E95*$L95))</f>
        <v>0</v>
      </c>
      <c r="BP95" s="878"/>
      <c r="BQ95" s="878">
        <f>IF(BTW_verrekening="Ja",((AD95+AF95-AJ95)-BK95)/(looptijd*12),((AD95+AF95+AH95-AJ95)-BL95)/(looptijd*12))</f>
        <v>0</v>
      </c>
      <c r="BR95" s="877">
        <f>IF($G95=0,0,(BQ95*12*looptijd)/(looptijd*$E95*$G95))</f>
        <v>0</v>
      </c>
      <c r="BS95" s="885"/>
      <c r="BT95" s="883">
        <f>(_schadekosten_per_km*E95*L95)/12</f>
        <v>0</v>
      </c>
      <c r="BU95" s="884">
        <f>IF($L95=0,0,(BT95*12*looptijd)/($E95*$L95*looptijd))</f>
        <v>0</v>
      </c>
      <c r="BV95" s="881"/>
      <c r="BW95" s="886">
        <f>(Efac_die_TTW*(gem_verbr_die_taxi_groot/100)*$E95*H95)+(Efac_benz_TTW*(gem_verbr_benz_taxi_groot/100)*$E95*I95)+(Efac_CNG_berekening_TTW*(gem_verbr_CNG_taxi_groot/100)*$E95*J95)</f>
        <v>0</v>
      </c>
      <c r="BX95" s="887">
        <f>(Efac_die_WTW*(gem_verbr_die_taxi_groot/100)*$E95*H95)+(Efac_benz_WTW*(gem_verbr_benz_taxi_groot/100)*$E95*I95)+(Efac_CNG_berekening_WTW*(gem_verbr_CNG_taxi_groot/100)*$E95*J95)</f>
        <v>0</v>
      </c>
      <c r="BY95" s="888">
        <f>IF($G95=0,0,(BX95*looptijd)/($E95*$G95*looptijd))</f>
        <v>0</v>
      </c>
      <c r="BZ95" s="889"/>
      <c r="CA95" s="886">
        <f>(Efac_die_TTW*(gem_verbr_die_taxi_groot/100)*$E95*M95)+(Efac_benz_TTW*(gem_verbr_benz_taxi_groot/100)*$E95*N95)+(Efac_CNG_berekening_TTW*(gem_verbr_CNG_taxi_groot/100)*$E95*O95)+(Efac_elek_berekening_TTW*(gem_verbr_BEV_taxi_groot/100)*$E95*P95)+(Efac_elek_berekening_TTW*(gem_verbr_FCEV_taxi_groot_Elek/100)*(100%-_verh_H2_accu_taxi_groot)*Q95)+(Efac_H2_berekening_TTW*(gem_verbr_FCEV_taxi_groot_H2/100)*(_verh_H2_accu_taxi_groot)*Q95)</f>
        <v>0</v>
      </c>
      <c r="CB95" s="887">
        <f>(Efac_die_WTW*(gem_verbr_die_taxi_groot/100)*$E95*M95)+(Efac_benz_WTW*(gem_verbr_benz_taxi_groot/100)*$E95*N95)+(Efac_CNG_berekening_WTW*(gem_verbr_CNG_taxi_groot/100)*$E95*O95)+(Efac_elek_berekening_WTW*(gem_verbr_BEV_taxi_groot/100)*$E95*P95)+(Efac_elek_berekening_WTW*(gem_verbr_FCEV_taxi_groot_Elek/100)*(100%-_verh_H2_accu_taxi_groot)*Q95)+(Efac_H2_berekening_WTW*(gem_verbr_FCEV_taxi_groot_H2/100)*(_verh_H2_accu_taxi_groot)*Q95)</f>
        <v>0</v>
      </c>
      <c r="CC95" s="888">
        <f>IF($L95=0,0,(CB95*looptijd)/($L95*$E95*looptijd))</f>
        <v>0</v>
      </c>
    </row>
    <row r="96" spans="1:81">
      <c r="A96" s="891">
        <v>49</v>
      </c>
      <c r="B96" s="894" t="s">
        <v>729</v>
      </c>
      <c r="C96" s="868" t="s">
        <v>752</v>
      </c>
      <c r="D96" s="868"/>
      <c r="E96" s="872">
        <v>50000</v>
      </c>
      <c r="F96" s="873"/>
      <c r="G96" s="870">
        <f t="shared" si="7"/>
        <v>0</v>
      </c>
      <c r="H96" s="868">
        <v>0</v>
      </c>
      <c r="I96" s="871">
        <v>0</v>
      </c>
      <c r="J96" s="897">
        <v>0</v>
      </c>
      <c r="K96" s="873"/>
      <c r="L96" s="870">
        <f t="shared" si="8"/>
        <v>0</v>
      </c>
      <c r="M96" s="868">
        <v>0</v>
      </c>
      <c r="N96" s="868">
        <v>0</v>
      </c>
      <c r="O96" s="868">
        <v>0</v>
      </c>
      <c r="P96" s="868">
        <v>0</v>
      </c>
      <c r="Q96" s="872">
        <v>0</v>
      </c>
      <c r="S96" s="875">
        <f>(L96*E96*looptijd)</f>
        <v>0</v>
      </c>
      <c r="U96" s="898">
        <f>(Netto_cat_die_taxibus_groot*H96)+(Netto_cat_benz_taxibus_groot*I96)+(Netto_cat_CNG_taxibus_groot*J96)</f>
        <v>0</v>
      </c>
      <c r="V96" s="877">
        <f>IF($G96=0,0,U96/($E96*$G96*looptijd))</f>
        <v>0</v>
      </c>
      <c r="W96" s="896">
        <f>IF(BPM_belasting="ja",(BPM_die_taxibus_groot*H96)+(BPM_benz_taxibus_groot*I96)+(BPM_CNG_taxibus_groot*J96),0)</f>
        <v>0</v>
      </c>
      <c r="X96" s="877">
        <f>IF($G96=0,0,W96/($E96*looptijd*$G96))</f>
        <v>0</v>
      </c>
      <c r="Y96" s="879">
        <f>BTW*U96</f>
        <v>0</v>
      </c>
      <c r="Z96" s="879">
        <f>SUM(U96:Y96)</f>
        <v>0</v>
      </c>
      <c r="AA96" s="879">
        <f>IF(BTW_verrekening="ja",((U96+W96-AW96))/2*Rente_financiering,((U96+W96+Y96-AW96)/2)*Rente_financiering)</f>
        <v>0</v>
      </c>
      <c r="AB96" s="880">
        <f>IF(G96=0,0,AA96*looptijd/($E96*looptijd*$G96))</f>
        <v>0</v>
      </c>
      <c r="AD96" s="898">
        <f>(Netto_cat_die_taxibus_groot*M96)+(Netto_cat_benz_taxibus_groot*N96)+(Netto_cat_CNG_taxibus_groot*O96)+(Netto_cat_BEV_taxibus_groot*P96)+(Netto_cat_FCEV_bestel_groot*Q96)</f>
        <v>0</v>
      </c>
      <c r="AE96" s="877">
        <f>IF($L96=0,0,AD96/($E96*$L96*looptijd))</f>
        <v>0</v>
      </c>
      <c r="AF96" s="878">
        <f>IF(BPM_belasting="ja",(BPM_benz_A*N96)+(BPM_CNG_A*O96)+(P96*BPM_BEV)+(Q96*BPM_FCEV),0)</f>
        <v>0</v>
      </c>
      <c r="AG96" s="878">
        <f>IF($L96=0,0,AF96/($E96*looptijd*$L96))</f>
        <v>0</v>
      </c>
      <c r="AH96" s="878">
        <f>BTW*AD96</f>
        <v>0</v>
      </c>
      <c r="AI96" s="878">
        <f>SUM(AD96:AH96)</f>
        <v>0</v>
      </c>
      <c r="AJ96" s="878">
        <f>IF('2. Invoer parameters'!$C$10="ja",MIA_BEV_taxibus_groot*P96,0)</f>
        <v>0</v>
      </c>
      <c r="AK96" s="882">
        <f>IF($L96=0,0,AJ96/($E96*looptijd*$L96))</f>
        <v>0</v>
      </c>
      <c r="AL96" s="881">
        <f>IF(BPM_belasting="nee",(((AD96-AJ96)-BK96)/2)*Rente_financiering,(((AD96-AJ96+AF96)-BL96)/2)*Rente_financiering)</f>
        <v>0</v>
      </c>
      <c r="AM96" s="880">
        <f>IF($L96=0,0,AL96*looptijd/($E96*looptijd*$L96))</f>
        <v>0</v>
      </c>
      <c r="AO96" s="876">
        <f>(H96*verz_die_taxibus_groot)+(I96*verz_benz_taxibus_groot)+(J96*verz_CNG_taxibus_groot)</f>
        <v>0</v>
      </c>
      <c r="AP96" s="877">
        <f>IF($G96=0,0,(AO96*12*looptijd)/($E96*looptijd*$G96))</f>
        <v>0</v>
      </c>
      <c r="AQ96" s="896">
        <f>(input_MRB_die_taxibus_groot*$H96)+(input_MRB_benz_taxibus_groot*$I96)+(input_MRB_CNG_taxibus_groot*J96)</f>
        <v>0</v>
      </c>
      <c r="AR96" s="877">
        <f>IF($G96=0,0,AQ96/($E96*looptijd*$G96))</f>
        <v>0</v>
      </c>
      <c r="AS96" s="878">
        <f>($E96*H96*(gem_verbr_die_taxi_groot/100)*prijs_die)+($E96*I96*(gem_verbr_benz_taxi_groot/100)*prijs_benz)+($E96*J96*(gem_verbr_CNG_taxi_groot/100)*prijs_CNG)</f>
        <v>0</v>
      </c>
      <c r="AT96" s="877">
        <f>IF($G96=0,0,(AS96*looptijd)/(looptijd*$E96*$G96))</f>
        <v>0</v>
      </c>
      <c r="AU96" s="878">
        <f>($E96*H96*Onderh_die_taxibus_groot_hoog_km)+($E96*I96*Onderh_benz_taxibus_groot_hoog_km)+($E96*J96*Onderh_CNG_taxibus_groot_hoog_km)</f>
        <v>0</v>
      </c>
      <c r="AV96" s="877">
        <f t="shared" si="9"/>
        <v>0</v>
      </c>
      <c r="AW96" s="878">
        <f>Rest_perc*SUM(U96:W96)</f>
        <v>0</v>
      </c>
      <c r="AX96" s="881">
        <f>Rest_perc*SUM(U96:Y96)</f>
        <v>0</v>
      </c>
      <c r="AY96" s="878">
        <f>IF(BTW_verrekening="Ja",((U96+W96)-AW96)/(looptijd*12),((U96+W96+Y96)-AX96)/(looptijd*12))</f>
        <v>0</v>
      </c>
      <c r="AZ96" s="877">
        <f>IF($G96=0,0,(AY96*12*looptijd)/(looptijd*$E96*$G96))</f>
        <v>0</v>
      </c>
      <c r="BA96" s="883">
        <f>(_schadekosten_per_km*E96*G96)/12</f>
        <v>0</v>
      </c>
      <c r="BB96" s="884">
        <f>IF($G96=0,0,(BA96*12*looptijd)/($E96*$G96*looptijd))</f>
        <v>0</v>
      </c>
      <c r="BD96" s="876">
        <f>(M96*verz_die_taxibus_groot)+(N96*verz_benz_taxibus_groot)+(O96*verz_CNG_taxibus_groot)+(P96*verz_BEV_taxibus_groot)+(Q96*verz_FCEV_taxi_groot)</f>
        <v>0</v>
      </c>
      <c r="BE96" s="877">
        <f>IF($L96=0,0,(BD96*12*looptijd)/($E96*looptijd*$L96))</f>
        <v>0</v>
      </c>
      <c r="BF96" s="878">
        <f>(MRB_die_groot_taxibus*M96)+(input_MRB_benz_taxibus_groot*N96)+(input_MRB_CNG_taxibus_klein*O96)*(input_MRB_BEV_taxibus_middel*P96)+(input_MRB_FCEV_taxi_groot*Q96)</f>
        <v>0</v>
      </c>
      <c r="BG96" s="877">
        <f>IF($L96=0,0,BF96/($E96*looptijd*$L96))</f>
        <v>0</v>
      </c>
      <c r="BH96" s="878">
        <f>($E96*M96*(gem_verbr_die_taxi_groot/100)*prijs_die)+($E96*N96*(gem_verbr_die_taxi_groot/100)*prijs_benz)+($E96*O96*(gem_verbr_CNG_taxi_groot/100)*prijs_CNG)+($E96*P96*(gem_verbr_BEV_taxi_groot/100)*prijs_elek_berekening)+($E96*Q96*(gem_verbr_FCEV_taxi_groot_Elek/100)*prijs_elek_berekening*(100%-_verh_H2_accu_taxi_groot))+($E96*Q96*(gem_verbr_FCEV_taxi_groot_H2/100)*prijs_H2*(_verh_H2_accu_taxi_groot))</f>
        <v>0</v>
      </c>
      <c r="BI96" s="877">
        <f>IF($L96=0,0,(BH96*looptijd)/(looptijd*$E96*$L96))</f>
        <v>0</v>
      </c>
      <c r="BJ96" s="885"/>
      <c r="BK96" s="878">
        <f>Rest_perc_ZE*(AD96+AF96)</f>
        <v>0</v>
      </c>
      <c r="BL96" s="878">
        <f>Rest_perc_ZE*(AD96+AF96+AH96)</f>
        <v>0</v>
      </c>
      <c r="BM96" s="885"/>
      <c r="BN96" s="878">
        <f>($E96*M96*Onderh_die_taxibus_groot_hoog_km)+($E96*N96*Onderh_benz_taxibus_groot_hoog_km)+($E96*O96*Onderh_CNG_taxibus_klein_hoog_km)+($E96*P96*Onderh_BEV_taxibus_groot_hoog_km)+($E96*Q96*Onderh_FCEV_taxi_groot_hoog_km)</f>
        <v>0</v>
      </c>
      <c r="BO96" s="877">
        <f>IF($L96=0,0,(BN96*looptijd)/(looptijd*$E96*$L96))</f>
        <v>0</v>
      </c>
      <c r="BP96" s="878"/>
      <c r="BQ96" s="878">
        <f>IF(BTW_verrekening="Ja",((AD96+AF96-AJ96)-BK96)/(looptijd*12),((AD96+AF96+AH96-AJ96)-BL96)/(looptijd*12))</f>
        <v>0</v>
      </c>
      <c r="BR96" s="877">
        <f>IF($G96=0,0,(BQ96*12*looptijd)/(looptijd*$E96*$G96))</f>
        <v>0</v>
      </c>
      <c r="BS96" s="885"/>
      <c r="BT96" s="883">
        <f>(_schadekosten_per_km*E96*L96)/12</f>
        <v>0</v>
      </c>
      <c r="BU96" s="884">
        <f>IF($L96=0,0,(BT96*12*looptijd)/($E96*$L96*looptijd))</f>
        <v>0</v>
      </c>
      <c r="BV96" s="881"/>
      <c r="BW96" s="886">
        <f>(Efac_die_TTW*(gem_verbr_die_taxi_groot/100)*$E96*H96)+(Efac_benz_TTW*(gem_verbr_benz_taxi_groot/100)*$E96*I96)+(Efac_CNG_berekening_TTW*(gem_verbr_CNG_taxi_groot/100)*$E96*J96)</f>
        <v>0</v>
      </c>
      <c r="BX96" s="887">
        <f>(Efac_die_WTW*(gem_verbr_die_taxi_groot/100)*$E96*H96)+(Efac_benz_WTW*(gem_verbr_benz_taxi_groot/100)*$E96*I96)+(Efac_CNG_berekening_WTW*(gem_verbr_CNG_taxi_groot/100)*$E96*J96)</f>
        <v>0</v>
      </c>
      <c r="BY96" s="888">
        <f>IF($G96=0,0,(BX96*looptijd)/($E96*$G96*looptijd))</f>
        <v>0</v>
      </c>
      <c r="BZ96" s="889"/>
      <c r="CA96" s="886">
        <f>(Efac_die_TTW*(gem_verbr_die_taxi_groot/100)*$E96*M96)+(Efac_benz_TTW*(gem_verbr_benz_taxi_groot/100)*$E96*N96)+(Efac_CNG_berekening_TTW*(gem_verbr_CNG_taxi_groot/100)*$E96*O96)+(Efac_elek_berekening_TTW*(gem_verbr_BEV_taxi_groot/100)*$E96*P96)+(Efac_elek_berekening_TTW*(gem_verbr_FCEV_taxi_groot_Elek/100)*(100%-_verh_H2_accu_taxi_groot)*Q96)+(Efac_H2_berekening_TTW*(gem_verbr_FCEV_taxi_groot_H2/100)*(_verh_H2_accu_taxi_groot)*Q96)</f>
        <v>0</v>
      </c>
      <c r="CB96" s="887">
        <f>(Efac_die_WTW*(gem_verbr_die_taxi_groot/100)*$E96*M96)+(Efac_benz_WTW*(gem_verbr_benz_taxi_groot/100)*$E96*N96)+(Efac_CNG_berekening_WTW*(gem_verbr_CNG_taxi_groot/100)*$E96*O96)+(Efac_elek_berekening_WTW*(gem_verbr_BEV_taxi_groot/100)*$E96*P96)+(Efac_elek_berekening_WTW*(gem_verbr_FCEV_taxi_groot_Elek/100)*(100%-_verh_H2_accu_taxi_groot)*Q96)+(Efac_H2_berekening_WTW*(gem_verbr_FCEV_taxi_groot_H2/100)*(_verh_H2_accu_taxi_groot)*Q96)</f>
        <v>0</v>
      </c>
      <c r="CC96" s="888">
        <f>IF($L96=0,0,(CB96*looptijd)/($L96*$E96*looptijd))</f>
        <v>0</v>
      </c>
    </row>
    <row r="97" spans="1:81">
      <c r="A97" s="891">
        <v>50</v>
      </c>
      <c r="B97" s="894" t="s">
        <v>729</v>
      </c>
      <c r="C97" s="868" t="s">
        <v>1695</v>
      </c>
      <c r="D97" s="868"/>
      <c r="E97" s="872">
        <v>75000</v>
      </c>
      <c r="F97" s="873"/>
      <c r="G97" s="870">
        <f t="shared" si="7"/>
        <v>0</v>
      </c>
      <c r="H97" s="868">
        <v>0</v>
      </c>
      <c r="I97" s="871">
        <v>0</v>
      </c>
      <c r="J97" s="897">
        <v>0</v>
      </c>
      <c r="K97" s="873"/>
      <c r="L97" s="870">
        <f t="shared" si="8"/>
        <v>0</v>
      </c>
      <c r="M97" s="868">
        <v>0</v>
      </c>
      <c r="N97" s="868">
        <v>0</v>
      </c>
      <c r="O97" s="868">
        <v>0</v>
      </c>
      <c r="P97" s="868">
        <v>0</v>
      </c>
      <c r="Q97" s="872">
        <v>0</v>
      </c>
      <c r="S97" s="875">
        <f>(L97*E97*looptijd)</f>
        <v>0</v>
      </c>
      <c r="U97" s="898">
        <f>(Netto_cat_die_taxibus_groot*H97)+(Netto_cat_benz_taxibus_groot*I97)+(Netto_cat_CNG_taxibus_groot*J97)</f>
        <v>0</v>
      </c>
      <c r="V97" s="877">
        <f>IF($G97=0,0,U97/($E97*$G97*looptijd))</f>
        <v>0</v>
      </c>
      <c r="W97" s="896">
        <f>IF(BPM_belasting="ja",(BPM_die_taxibus_groot*H97)+(BPM_benz_taxibus_groot*I97)+(BPM_CNG_taxibus_groot*J97),0)</f>
        <v>0</v>
      </c>
      <c r="X97" s="877">
        <f>IF($G97=0,0,W97/($E97*looptijd*$G97))</f>
        <v>0</v>
      </c>
      <c r="Y97" s="879">
        <f>BTW*U97</f>
        <v>0</v>
      </c>
      <c r="Z97" s="879">
        <f>SUM(U97:Y97)</f>
        <v>0</v>
      </c>
      <c r="AA97" s="879">
        <f>IF(BTW_verrekening="ja",((U97+W97-AW97))/2*Rente_financiering,((U97+W97+Y97-AW97)/2)*Rente_financiering)</f>
        <v>0</v>
      </c>
      <c r="AB97" s="880">
        <f>IF(G97=0,0,AA97*looptijd/($E97*looptijd*$G97))</f>
        <v>0</v>
      </c>
      <c r="AD97" s="898">
        <f>(Netto_cat_die_taxibus_groot*M97)+(Netto_cat_benz_taxibus_groot*N97)+(Netto_cat_CNG_taxibus_groot*O97)+(Netto_cat_BEV_taxibus_groot*P97)+(Netto_cat_FCEV_bestel_groot*Q97)</f>
        <v>0</v>
      </c>
      <c r="AE97" s="877">
        <f>IF($L97=0,0,AD97/($E97*$L97*looptijd))</f>
        <v>0</v>
      </c>
      <c r="AF97" s="878">
        <f>IF(BPM_belasting="ja",(BPM_benz_A*N97)+(BPM_CNG_A*O97)+(P97*BPM_BEV)+(Q97*BPM_FCEV),0)</f>
        <v>0</v>
      </c>
      <c r="AG97" s="878">
        <f>IF($L97=0,0,AF97/($E97*looptijd*$L97))</f>
        <v>0</v>
      </c>
      <c r="AH97" s="878">
        <f>BTW*AD97</f>
        <v>0</v>
      </c>
      <c r="AI97" s="878">
        <f>SUM(AD97:AH97)</f>
        <v>0</v>
      </c>
      <c r="AJ97" s="878">
        <f>IF('2. Invoer parameters'!$C$10="ja",MIA_BEV_taxibus_groot*P97,0)</f>
        <v>0</v>
      </c>
      <c r="AK97" s="882">
        <f>IF($L97=0,0,AJ97/($E97*looptijd*$L97))</f>
        <v>0</v>
      </c>
      <c r="AL97" s="881">
        <f>IF(BPM_belasting="nee",(((AD97-AJ97)-BK97)/2)*Rente_financiering,(((AD97-AJ97+AF97)-BL97)/2)*Rente_financiering)</f>
        <v>0</v>
      </c>
      <c r="AM97" s="880">
        <f>IF($L97=0,0,AL97*looptijd/($E97*looptijd*$L97))</f>
        <v>0</v>
      </c>
      <c r="AO97" s="876">
        <f>(H97*verz_die_taxibus_groot)+(I97*verz_benz_taxibus_groot)+(J97*verz_CNG_taxibus_groot)</f>
        <v>0</v>
      </c>
      <c r="AP97" s="877">
        <f>IF($G97=0,0,(AO97*12*looptijd)/($E97*looptijd*$G97))</f>
        <v>0</v>
      </c>
      <c r="AQ97" s="896">
        <f>(input_MRB_die_taxibus_groot*$H97)+(input_MRB_benz_taxibus_groot*$I97)+(input_MRB_CNG_taxibus_groot*J97)</f>
        <v>0</v>
      </c>
      <c r="AR97" s="877">
        <f>IF($G97=0,0,AQ97/($E97*looptijd*$G97))</f>
        <v>0</v>
      </c>
      <c r="AS97" s="878">
        <f>($E97*H97*(gem_verbr_die_taxi_groot/100)*prijs_die)+($E97*I97*(gem_verbr_benz_taxi_groot/100)*prijs_benz)+($E97*J97*(gem_verbr_CNG_taxi_groot/100)*prijs_CNG)</f>
        <v>0</v>
      </c>
      <c r="AT97" s="877">
        <f>IF($G97=0,0,(AS97*looptijd)/(looptijd*$E97*$G97))</f>
        <v>0</v>
      </c>
      <c r="AU97" s="878">
        <f>($E97*H97*Onderh_die_taxibus_groot_hoog_km)+($E97*I97*Onderh_benz_taxibus_groot_hoog_km)+($E97*J97*Onderh_CNG_taxibus_groot_hoog_km)</f>
        <v>0</v>
      </c>
      <c r="AV97" s="877">
        <f t="shared" si="9"/>
        <v>0</v>
      </c>
      <c r="AW97" s="878">
        <f>Rest_perc*SUM(U97:W97)</f>
        <v>0</v>
      </c>
      <c r="AX97" s="881">
        <f>Rest_perc*SUM(U97:Y97)</f>
        <v>0</v>
      </c>
      <c r="AY97" s="878">
        <f>IF(BTW_verrekening="Ja",((U97+W97)-AW97)/(looptijd*12),((U97+W97+Y97)-AX97)/(looptijd*12))</f>
        <v>0</v>
      </c>
      <c r="AZ97" s="877">
        <f>IF($G97=0,0,(AY97*12*looptijd)/(looptijd*$E97*$G97))</f>
        <v>0</v>
      </c>
      <c r="BA97" s="883">
        <f>(_schadekosten_per_km*E97*G97)/12</f>
        <v>0</v>
      </c>
      <c r="BB97" s="884">
        <f>IF($G97=0,0,(BA97*12*looptijd)/($E97*$G97*looptijd))</f>
        <v>0</v>
      </c>
      <c r="BD97" s="876">
        <f>(M97*verz_die_taxibus_groot)+(N97*verz_benz_taxibus_groot)+(O97*verz_CNG_taxibus_groot)+(P97*verz_BEV_taxibus_groot)+(Q97*verz_FCEV_taxi_groot)</f>
        <v>0</v>
      </c>
      <c r="BE97" s="877">
        <f>IF($L97=0,0,(BD97*12*looptijd)/($E97*looptijd*$L97))</f>
        <v>0</v>
      </c>
      <c r="BF97" s="878">
        <f>(MRB_die_groot_taxibus*M97)+(input_MRB_benz_taxibus_groot*N97)+(input_MRB_CNG_taxibus_klein*O97)*(input_MRB_BEV_taxibus_middel*P97)+(input_MRB_FCEV_taxi_groot*Q97)</f>
        <v>0</v>
      </c>
      <c r="BG97" s="877">
        <f>IF($L97=0,0,BF97/($E97*looptijd*$L97))</f>
        <v>0</v>
      </c>
      <c r="BH97" s="878">
        <f>($E97*M97*(gem_verbr_die_taxi_groot/100)*prijs_die)+($E97*N97*(gem_verbr_die_taxi_groot/100)*prijs_benz)+($E97*O97*(gem_verbr_CNG_taxi_groot/100)*prijs_CNG)+($E97*P97*(gem_verbr_BEV_taxi_groot/100)*prijs_elek_berekening)+($E97*Q97*(gem_verbr_FCEV_taxi_groot_Elek/100)*prijs_elek_berekening*(100%-_verh_H2_accu_taxi_groot))+($E97*Q97*(gem_verbr_FCEV_taxi_groot_H2/100)*prijs_H2*(_verh_H2_accu_taxi_groot))</f>
        <v>0</v>
      </c>
      <c r="BI97" s="877">
        <f>IF($L97=0,0,(BH97*looptijd)/(looptijd*$E97*$L97))</f>
        <v>0</v>
      </c>
      <c r="BJ97" s="885"/>
      <c r="BK97" s="878">
        <f>Rest_perc_ZE*(AD97+AF97)</f>
        <v>0</v>
      </c>
      <c r="BL97" s="878">
        <f>Rest_perc_ZE*(AD97+AF97+AH97)</f>
        <v>0</v>
      </c>
      <c r="BM97" s="885"/>
      <c r="BN97" s="878">
        <f>($E97*M97*Onderh_die_taxibus_groot_hoog_km)+($E97*N97*Onderh_benz_taxibus_groot_hoog_km)+($E97*O97*Onderh_CNG_taxibus_klein_hoog_km)+($E97*P97*Onderh_BEV_taxibus_groot_hoog_km)+($E97*Q97*Onderh_FCEV_taxi_groot_hoog_km)</f>
        <v>0</v>
      </c>
      <c r="BO97" s="877">
        <f>IF($L97=0,0,(BN97*looptijd)/(looptijd*$E97*$L97))</f>
        <v>0</v>
      </c>
      <c r="BP97" s="878"/>
      <c r="BQ97" s="878">
        <f>IF(BTW_verrekening="Ja",((AD97+AF97-AJ97)-BK97)/(looptijd*12),((AD97+AF97+AH97-AJ97)-BL97)/(looptijd*12))</f>
        <v>0</v>
      </c>
      <c r="BR97" s="877">
        <f>IF($G97=0,0,(BQ97*12*looptijd)/(looptijd*$E97*$G97))</f>
        <v>0</v>
      </c>
      <c r="BS97" s="885"/>
      <c r="BT97" s="883">
        <f>(_schadekosten_per_km*E97*L97)/12</f>
        <v>0</v>
      </c>
      <c r="BU97" s="884">
        <f>IF($L97=0,0,(BT97*12*looptijd)/($E97*$L97*looptijd))</f>
        <v>0</v>
      </c>
      <c r="BV97" s="881"/>
      <c r="BW97" s="886">
        <f>(Efac_die_TTW*(gem_verbr_die_taxi_groot/100)*$E97*H97)+(Efac_benz_TTW*(gem_verbr_benz_taxi_groot/100)*$E97*I97)+(Efac_CNG_berekening_TTW*(gem_verbr_CNG_taxi_groot/100)*$E97*J97)</f>
        <v>0</v>
      </c>
      <c r="BX97" s="887">
        <f>(Efac_die_WTW*(gem_verbr_die_taxi_groot/100)*$E97*H97)+(Efac_benz_WTW*(gem_verbr_benz_taxi_groot/100)*$E97*I97)+(Efac_CNG_berekening_WTW*(gem_verbr_CNG_taxi_groot/100)*$E97*J97)</f>
        <v>0</v>
      </c>
      <c r="BY97" s="888">
        <f>IF($G97=0,0,(BX97*looptijd)/($E97*$G97*looptijd))</f>
        <v>0</v>
      </c>
      <c r="BZ97" s="889"/>
      <c r="CA97" s="886">
        <f>(Efac_die_TTW*(gem_verbr_die_taxi_groot/100)*$E97*M97)+(Efac_benz_TTW*(gem_verbr_benz_taxi_groot/100)*$E97*N97)+(Efac_CNG_berekening_TTW*(gem_verbr_CNG_taxi_groot/100)*$E97*O97)+(Efac_elek_berekening_TTW*(gem_verbr_BEV_taxi_groot/100)*$E97*P97)+(Efac_elek_berekening_TTW*(gem_verbr_FCEV_taxi_groot_Elek/100)*(100%-_verh_H2_accu_taxi_groot)*Q97)+(Efac_H2_berekening_TTW*(gem_verbr_FCEV_taxi_groot_H2/100)*(_verh_H2_accu_taxi_groot)*Q97)</f>
        <v>0</v>
      </c>
      <c r="CB97" s="887">
        <f>(Efac_die_WTW*(gem_verbr_die_taxi_groot/100)*$E97*M97)+(Efac_benz_WTW*(gem_verbr_benz_taxi_groot/100)*$E97*N97)+(Efac_CNG_berekening_WTW*(gem_verbr_CNG_taxi_groot/100)*$E97*O97)+(Efac_elek_berekening_WTW*(gem_verbr_BEV_taxi_groot/100)*$E97*P97)+(Efac_elek_berekening_WTW*(gem_verbr_FCEV_taxi_groot_Elek/100)*(100%-_verh_H2_accu_taxi_groot)*Q97)+(Efac_H2_berekening_WTW*(gem_verbr_FCEV_taxi_groot_H2/100)*(_verh_H2_accu_taxi_groot)*Q97)</f>
        <v>0</v>
      </c>
      <c r="CC97" s="888">
        <f>IF($L97=0,0,(CB97*looptijd)/($L97*$E97*looptijd))</f>
        <v>0</v>
      </c>
    </row>
    <row r="98" spans="1:81">
      <c r="A98" s="891"/>
      <c r="B98" s="894"/>
      <c r="C98" s="868"/>
      <c r="D98" s="868"/>
      <c r="E98" s="872"/>
      <c r="F98" s="873"/>
      <c r="G98" s="870"/>
      <c r="H98" s="868"/>
      <c r="I98" s="868"/>
      <c r="J98" s="897"/>
      <c r="K98" s="873"/>
      <c r="L98" s="870"/>
      <c r="M98" s="868"/>
      <c r="N98" s="868"/>
      <c r="O98" s="868"/>
      <c r="P98" s="868"/>
      <c r="Q98" s="872"/>
      <c r="S98" s="875"/>
      <c r="U98" s="898"/>
      <c r="V98" s="877"/>
      <c r="W98" s="896"/>
      <c r="X98" s="877"/>
      <c r="Y98" s="879"/>
      <c r="Z98" s="879"/>
      <c r="AA98" s="879"/>
      <c r="AB98" s="880"/>
      <c r="AD98" s="898"/>
      <c r="AE98" s="877"/>
      <c r="AF98" s="878"/>
      <c r="AG98" s="878"/>
      <c r="AH98" s="878"/>
      <c r="AI98" s="878"/>
      <c r="AJ98" s="878"/>
      <c r="AK98" s="882"/>
      <c r="AL98" s="881"/>
      <c r="AM98" s="880"/>
      <c r="AO98" s="876"/>
      <c r="AP98" s="877"/>
      <c r="AQ98" s="896"/>
      <c r="AR98" s="877"/>
      <c r="AS98" s="878"/>
      <c r="AT98" s="877"/>
      <c r="AU98" s="878"/>
      <c r="AV98" s="877"/>
      <c r="AW98" s="878"/>
      <c r="AX98" s="881"/>
      <c r="AY98" s="878"/>
      <c r="AZ98" s="877"/>
      <c r="BA98" s="883"/>
      <c r="BB98" s="884"/>
      <c r="BD98" s="876"/>
      <c r="BE98" s="877"/>
      <c r="BF98" s="878"/>
      <c r="BG98" s="877"/>
      <c r="BH98" s="878"/>
      <c r="BI98" s="877"/>
      <c r="BJ98" s="885"/>
      <c r="BK98" s="878"/>
      <c r="BL98" s="878"/>
      <c r="BM98" s="885"/>
      <c r="BN98" s="878"/>
      <c r="BO98" s="877"/>
      <c r="BP98" s="878"/>
      <c r="BQ98" s="878"/>
      <c r="BR98" s="877"/>
      <c r="BS98" s="885"/>
      <c r="BT98" s="883"/>
      <c r="BU98" s="884"/>
      <c r="BV98" s="881"/>
      <c r="BW98" s="886"/>
      <c r="BX98" s="887"/>
      <c r="BY98" s="888"/>
      <c r="BZ98" s="889"/>
      <c r="CA98" s="886"/>
      <c r="CB98" s="887"/>
      <c r="CC98" s="888"/>
    </row>
    <row r="99" spans="1:81">
      <c r="A99" s="891">
        <v>51</v>
      </c>
      <c r="B99" s="894" t="s">
        <v>714</v>
      </c>
      <c r="C99" s="868" t="s">
        <v>748</v>
      </c>
      <c r="D99" s="868"/>
      <c r="E99" s="869">
        <f>$E$3</f>
        <v>10000</v>
      </c>
      <c r="G99" s="870">
        <f>SUM(H99:J99)</f>
        <v>0</v>
      </c>
      <c r="H99" s="868">
        <f t="array" ref="H99:H103">TRANSPOSE('1a. Invoer - BESTAAND'!J22:N22)</f>
        <v>0</v>
      </c>
      <c r="I99" s="871">
        <v>0</v>
      </c>
      <c r="J99" s="872">
        <f t="array" ref="J99:J103">TRANSPOSE('1a. Invoer - BESTAAND'!E51:I51
)</f>
        <v>0</v>
      </c>
      <c r="K99" s="873"/>
      <c r="L99" s="870">
        <f>SUM(M99:Q99)</f>
        <v>0</v>
      </c>
      <c r="M99" s="868">
        <v>0</v>
      </c>
      <c r="N99" s="868">
        <v>0</v>
      </c>
      <c r="O99" s="868">
        <v>0</v>
      </c>
      <c r="P99" s="868">
        <f t="array" ref="P99:P103">TRANSPOSE('1b. Invoer - NIEUW'!E24:I24)</f>
        <v>0</v>
      </c>
      <c r="Q99" s="872">
        <f t="array" ref="Q99:Q103">TRANSPOSE('1b. Invoer - NIEUW'!J24:N24)</f>
        <v>0</v>
      </c>
      <c r="S99" s="875">
        <f>(L99*E99*looptijd)</f>
        <v>0</v>
      </c>
      <c r="U99" s="898">
        <f>(Netto_cat_die_rolstoelbus*H99)+(Netto_cat_benz_rolstoelbus*I99)+(Netto_cat_CNG_rolstoelbus*J99)</f>
        <v>0</v>
      </c>
      <c r="V99" s="877">
        <f>IF($G99=0,0,U99/($E99*$G99*looptijd))</f>
        <v>0</v>
      </c>
      <c r="W99" s="896">
        <f>IF(BPM_belasting="ja",(BPM_die_rolstoelbus*H99)+(BPM_benz_rolstoelbus*I99)+(BPM_CNG_rolstoelbus*J99),0)</f>
        <v>0</v>
      </c>
      <c r="X99" s="877">
        <f>IF($G99=0,0,W99/($E99*looptijd*$G99))</f>
        <v>0</v>
      </c>
      <c r="Y99" s="879">
        <f>BTW*U99</f>
        <v>0</v>
      </c>
      <c r="Z99" s="879">
        <f>SUM(U99:Y99)</f>
        <v>0</v>
      </c>
      <c r="AA99" s="879">
        <f>IF(BTW_verrekening="ja",((U99+W99-AW99))/2*Rente_financiering,((U99+W99+Y99-AW99)/2)*Rente_financiering)</f>
        <v>0</v>
      </c>
      <c r="AB99" s="880">
        <f>IF(G99=0,0,AA99*looptijd/($E99*looptijd*$G99))</f>
        <v>0</v>
      </c>
      <c r="AD99" s="898">
        <f>(Netto_cat_die_rolstoelbus*M99)+(Netto_cat_benz_rolstoelbus*N99)+(Netto_cat_CNG_rolstoelbus*O99)+(Netto_cat_BEV_rolstoelbus*P99)+(Netto_cat_FCEV_rolstoel*Q99)</f>
        <v>0</v>
      </c>
      <c r="AE99" s="877">
        <f>IF($L99=0,0,AD99/($E99*$L99*looptijd))</f>
        <v>0</v>
      </c>
      <c r="AF99" s="878">
        <f>IF(BPM_belasting="ja",(BPM_benz_A*N99)+(BPM_CNG_A*O99)+(P99*BPM_BEV)+(Q99*BPM_FCEV),0)</f>
        <v>0</v>
      </c>
      <c r="AG99" s="878">
        <f>IF($L99=0,0,AF99/($E99*looptijd*$L99))</f>
        <v>0</v>
      </c>
      <c r="AH99" s="878">
        <f>BTW*AD99</f>
        <v>0</v>
      </c>
      <c r="AI99" s="878">
        <f>SUM(AD99:AH99)</f>
        <v>0</v>
      </c>
      <c r="AJ99" s="878">
        <f>IF('2. Invoer parameters'!$C$10="ja",MIA_BEV_rolstoelbus*P99,0)</f>
        <v>0</v>
      </c>
      <c r="AK99" s="882">
        <f>IF($L99=0,0,AJ99/($E99*looptijd*$L99))</f>
        <v>0</v>
      </c>
      <c r="AL99" s="881">
        <f>IF(BPM_belasting="nee",(((AD99-AJ99)-BK99)/2)*Rente_financiering,(((AD99-AJ99+AF99)-BL99)/2)*Rente_financiering)</f>
        <v>0</v>
      </c>
      <c r="AM99" s="880">
        <f>IF($L99=0,0,AL99*looptijd/($E99*looptijd*$L99))</f>
        <v>0</v>
      </c>
      <c r="AO99" s="876">
        <f>(H99*verz_die_rolstoelbus)+(I99*verz_benz_rolstoelbus)+(J99*verz_CNG_rolstoelbus)</f>
        <v>0</v>
      </c>
      <c r="AP99" s="877">
        <f>IF($G99=0,0,(AO99*12*looptijd)/($E99*looptijd*$G99))</f>
        <v>0</v>
      </c>
      <c r="AQ99" s="896">
        <f>(input_MRB_die_rolstoelbus*$H99)+(input_MRB_benz_taxibus_rolstoelbus*$I99)+(input_MRB_CNG_A*J99)</f>
        <v>0</v>
      </c>
      <c r="AR99" s="877">
        <f>IF($G99=0,0,AQ99/($E99*looptijd*$G99))</f>
        <v>0</v>
      </c>
      <c r="AS99" s="878">
        <f>($E99*H99*(gem_verbr_die_taxi_rolstoel/100)*prijs_die)+($E99*I99*(gem_verbr_benz_taxi_rolstoel/100)*prijs_benz)+($E99*J99*(gem_verbr_CNG_taxi_rolstoel/100)*prijs_CNG)</f>
        <v>0</v>
      </c>
      <c r="AT99" s="877">
        <f>IF($G99=0,0,(AS99*looptijd)/(looptijd*$E99*$G99))</f>
        <v>0</v>
      </c>
      <c r="AU99" s="878">
        <f>($E99*H99*Onderh_die_rolstoelbus)+($E99*I99*Onderh_benz_rolstoelbus)+($E99*J99*Onderh_CNG_rolstoelbus)</f>
        <v>0</v>
      </c>
      <c r="AV99" s="877">
        <f t="shared" ref="AV99:AV121" si="11">IF($G99=0,0,(AU99*looptijd)/(looptijd*$E99*$G99))</f>
        <v>0</v>
      </c>
      <c r="AW99" s="878">
        <f>Rest_perc*SUM(U99:W99)</f>
        <v>0</v>
      </c>
      <c r="AX99" s="881">
        <f>Rest_perc*SUM(U99:Y99)</f>
        <v>0</v>
      </c>
      <c r="AY99" s="878">
        <f>IF(BTW_verrekening="Ja",((U99+W99)-AW99)/(looptijd*12),((U99+W99+Y99)-AX99)/(looptijd*12))</f>
        <v>0</v>
      </c>
      <c r="AZ99" s="877">
        <f>IF($G99=0,0,(AY99*12*looptijd)/(looptijd*$E99*$G99))</f>
        <v>0</v>
      </c>
      <c r="BA99" s="883">
        <f>(_schadekosten_per_km*E99*G99)/12</f>
        <v>0</v>
      </c>
      <c r="BB99" s="884">
        <f>IF($G99=0,0,(BA99*12*looptijd)/($E99*$G99*looptijd))</f>
        <v>0</v>
      </c>
      <c r="BD99" s="876">
        <f>(M99*verz_die_rolstoelbus)+(N99*verz_benz_rolstoelbus)+(O99*verz_CNG_rolstoelbus)+(P99*verz_BEV_rolstoelbus)+(Q99*verz_FCEV_taxi_rolstoel)</f>
        <v>0</v>
      </c>
      <c r="BE99" s="877">
        <f>IF($L99=0,0,(BD99*12*looptijd)/($E99*looptijd*$L99))</f>
        <v>0</v>
      </c>
      <c r="BF99" s="878">
        <f>(MRB_die_rolstoelbus*M99)+(input_MRB_benz_taxibus_rolstoelbus*N99)+(input_MRB_CNG_taxibus_groot*O99)+(MRB_BEV*P99)+(input_MRB_FCEV_rolstoel*Q99)</f>
        <v>0</v>
      </c>
      <c r="BG99" s="877">
        <f>IF($L99=0,0,BF99/($E99*looptijd*$L99))</f>
        <v>0</v>
      </c>
      <c r="BH99" s="878">
        <f>($E99*M99*(gem_verbr_die_taxi_rolstoel/100)*prijs_die)+($E99*N99*(gem_verbr_die_taxi_rolstoel/100)*prijs_benz)+($E99*O99*(gem_verbr_CNG_taxi_rolstoel/100)*prijs_CNG)+($E99*P99*(gem_verbr_BEV_rolstoel/100)*prijs_elek_berekening)+($E99*Q99*(gem_verbr_FCEV_rolstoel_Elek/100)*prijs_elek_berekening*(100%-_verh_H2_accu_taxi_rolstoelbus))+($E99*Q99*(gem_verbr_FCEV_rolstoel_H2/100)*prijs_H2*(_verh_H2_accu_taxi_rolstoelbus))</f>
        <v>0</v>
      </c>
      <c r="BI99" s="877">
        <f>IF($L99=0,0,(BH99*looptijd)/(looptijd*$E99*$L99))</f>
        <v>0</v>
      </c>
      <c r="BJ99" s="885"/>
      <c r="BK99" s="878">
        <f>Rest_perc_ZE*(AD99+AF99)</f>
        <v>0</v>
      </c>
      <c r="BL99" s="878">
        <f>Rest_perc_ZE*(AD99+AF99+AH99)</f>
        <v>0</v>
      </c>
      <c r="BM99" s="885"/>
      <c r="BN99" s="878">
        <f>($E99*M99*Onderh_die_rolstoelbus)+($E99*N99*Onderh_benz_rolstoelbus)+($E99*O99*Onderh_CNG_taxibus_klein)+($E99*P99*Onderh_BEV_rolstoelbus)+($E99*Q99*Onderh_FCEV_rolstoel)</f>
        <v>0</v>
      </c>
      <c r="BO99" s="877">
        <f>IF($L99=0,0,(BN99*looptijd)/(looptijd*$E99*$L99))</f>
        <v>0</v>
      </c>
      <c r="BP99" s="878"/>
      <c r="BQ99" s="878">
        <f>IF(BTW_verrekening="Ja",((AD99+AF99-AJ99)-BK99)/(looptijd*12),((AD99+AF99+AH99-AJ99)-BL99)/(looptijd*12))</f>
        <v>0</v>
      </c>
      <c r="BR99" s="877">
        <f>IF($G99=0,0,(BQ99*12*looptijd)/(looptijd*$E99*$G99))</f>
        <v>0</v>
      </c>
      <c r="BS99" s="885"/>
      <c r="BT99" s="883">
        <f>(_schadekosten_per_km*E99*L99)/12</f>
        <v>0</v>
      </c>
      <c r="BU99" s="884">
        <f>IF($L99=0,0,(BT99*12*looptijd)/($E99*$L99*looptijd))</f>
        <v>0</v>
      </c>
      <c r="BV99" s="881"/>
      <c r="BW99" s="886">
        <f>(Efac_die_TTW*(gem_verbr_die_taxi_rolstoel/100)*$E99*H99)+(Efac_benz_TTW*(gem_verbr_benz_taxi_rolstoel/100)*$E99*I99)+(Efac_CNG_berekening_TTW*(gem_verbr_CNG_taxi_rolstoel/100)*$E99*J99)</f>
        <v>0</v>
      </c>
      <c r="BX99" s="887">
        <f>(Efac_die_WTW*(gem_verbr_die_taxi_rolstoel/100)*$E99*H99)+(Efac_benz_WTW*(gem_verbr_benz_taxi_rolstoel/100)*$E99*I99)+(Efac_CNG_berekening_WTW*(gem_verbr_CNG_taxi_rolstoel/100)*$E99*J99)</f>
        <v>0</v>
      </c>
      <c r="BY99" s="888">
        <f>IF($G99=0,0,(BX99*looptijd)/($E99*$G99*looptijd))</f>
        <v>0</v>
      </c>
      <c r="BZ99" s="889"/>
      <c r="CA99" s="886">
        <f>(Efac_die_TTW*(gem_verbr_die_taxi_rolstoel/100)*$E99*M99)+(Efac_benz_TTW*(gem_verbr_benz_taxi_rolstoel/100)*$E99*N99)+(Efac_CNG_berekening_TTW*(gem_verbr_CNG_taxi_rolstoel/100)*$E99*O99)+(Efac_elek_berekening_TTW*(gem_verbr_BEV_rolstoel/100)*$E99*P99)+(Efac_elek_berekening_TTW*(gem_verbr_FCEV_rolstoel_Elek/100)*(100%-_verh_H2_accu_F)*Q99)+(Efac_H2_berekening_TTW*(gem_verbr_FCEV_rolstoel_H2/100)*(_verh_H2_accu_F)*Q99)</f>
        <v>0</v>
      </c>
      <c r="CB99" s="887">
        <f>(Efac_die_WTW*(gem_verbr_die_taxi_rolstoel/100)*$E99*M99)+(Efac_benz_WTW*(gem_verbr_benz_taxi_rolstoel/100)*$E99*N99)+(Efac_CNG_berekening_WTW*(gem_verbr_CNG_taxi_rolstoel/100)*$E99*O99)+(Efac_elek_berekening_WTW*(gem_verbr_BEV_rolstoel/100)*$E99*P99)+(Efac_elek_berekening_WTW*(gem_verbr_FCEV_rolstoel_Elek/100)*(100%-_verh_H2_accu_F)*Q99)+(Efac_H2_berekening_WTW*(gem_verbr_FCEV_rolstoel_H2/100)*(_verh_H2_accu_F)*Q99)</f>
        <v>0</v>
      </c>
      <c r="CC99" s="888">
        <f>IF($L99=0,0,(CB99*looptijd)/($L99*$E99*looptijd))</f>
        <v>0</v>
      </c>
    </row>
    <row r="100" spans="1:81">
      <c r="A100" s="891">
        <v>52</v>
      </c>
      <c r="B100" s="894" t="s">
        <v>714</v>
      </c>
      <c r="C100" s="868" t="s">
        <v>749</v>
      </c>
      <c r="D100" s="868"/>
      <c r="E100" s="869">
        <f>$E$4</f>
        <v>15000</v>
      </c>
      <c r="G100" s="870">
        <f>SUM(H100:J100)</f>
        <v>0</v>
      </c>
      <c r="H100" s="868">
        <v>0</v>
      </c>
      <c r="I100" s="871">
        <v>0</v>
      </c>
      <c r="J100" s="872">
        <v>0</v>
      </c>
      <c r="K100" s="873"/>
      <c r="L100" s="870">
        <f>SUM(M100:Q100)</f>
        <v>0</v>
      </c>
      <c r="M100" s="868">
        <v>0</v>
      </c>
      <c r="N100" s="868">
        <v>0</v>
      </c>
      <c r="O100" s="868">
        <v>0</v>
      </c>
      <c r="P100" s="868">
        <v>0</v>
      </c>
      <c r="Q100" s="872">
        <v>0</v>
      </c>
      <c r="S100" s="875">
        <f>(L100*E100*looptijd)</f>
        <v>0</v>
      </c>
      <c r="U100" s="898">
        <f>(Netto_cat_die_rolstoelbus*H100)+(Netto_cat_benz_rolstoelbus*I100)+(Netto_cat_CNG_rolstoelbus*J100)</f>
        <v>0</v>
      </c>
      <c r="V100" s="877">
        <f>IF($G100=0,0,U100/($E100*$G100*looptijd))</f>
        <v>0</v>
      </c>
      <c r="W100" s="896">
        <f>IF(BPM_belasting="ja",(BPM_die_rolstoelbus*H100)+(BPM_benz_rolstoelbus*I100)+(BPM_CNG_rolstoelbus*J100),0)</f>
        <v>0</v>
      </c>
      <c r="X100" s="877">
        <f>IF($G100=0,0,W100/($E100*looptijd*$G100))</f>
        <v>0</v>
      </c>
      <c r="Y100" s="879">
        <f>BTW*U100</f>
        <v>0</v>
      </c>
      <c r="Z100" s="879">
        <f>SUM(U100:Y100)</f>
        <v>0</v>
      </c>
      <c r="AA100" s="879">
        <f>IF(BTW_verrekening="ja",((U100+W100-AW100))/2*Rente_financiering,((U100+W100+Y100-AW100)/2)*Rente_financiering)</f>
        <v>0</v>
      </c>
      <c r="AB100" s="880">
        <f>IF(G100=0,0,AA100*looptijd/($E100*looptijd*$G100))</f>
        <v>0</v>
      </c>
      <c r="AD100" s="898">
        <f>(Netto_cat_die_rolstoelbus*M100)+(Netto_cat_benz_rolstoelbus*N100)+(Netto_cat_CNG_rolstoelbus*O100)+(Netto_cat_BEV_rolstoelbus*P100)+(Netto_cat_FCEV_rolstoel*Q100)</f>
        <v>0</v>
      </c>
      <c r="AE100" s="877">
        <f>IF($L100=0,0,AD100/($E100*$L100*looptijd))</f>
        <v>0</v>
      </c>
      <c r="AF100" s="878">
        <f>IF(BPM_belasting="ja",(BPM_benz_A*N100)+(BPM_CNG_A*O100)+(P100*BPM_BEV)+(Q100*BPM_FCEV),0)</f>
        <v>0</v>
      </c>
      <c r="AG100" s="878">
        <f>IF($L100=0,0,AF100/($E100*looptijd*$L100))</f>
        <v>0</v>
      </c>
      <c r="AH100" s="878">
        <f>BTW*AD100</f>
        <v>0</v>
      </c>
      <c r="AI100" s="878">
        <f>SUM(AD100:AH100)</f>
        <v>0</v>
      </c>
      <c r="AJ100" s="878">
        <f>IF('2. Invoer parameters'!$C$10="ja",MIA_BEV_rolstoelbus*P100,0)</f>
        <v>0</v>
      </c>
      <c r="AK100" s="882">
        <f>IF($L100=0,0,AJ100/($E100*looptijd*$L100))</f>
        <v>0</v>
      </c>
      <c r="AL100" s="881">
        <f>IF(BPM_belasting="nee",(((AD100-AJ100)-BK100)/2)*Rente_financiering,(((AD100-AJ100+AF100)-BL100)/2)*Rente_financiering)</f>
        <v>0</v>
      </c>
      <c r="AM100" s="880">
        <f>IF($L100=0,0,AL100*looptijd/($E100*looptijd*$L100))</f>
        <v>0</v>
      </c>
      <c r="AO100" s="876">
        <f>(H100*verz_die_rolstoelbus)+(I100*verz_benz_rolstoelbus)+(J100*verz_CNG_rolstoelbus)</f>
        <v>0</v>
      </c>
      <c r="AP100" s="877">
        <f>IF($G100=0,0,(AO100*12*looptijd)/($E100*looptijd*$G100))</f>
        <v>0</v>
      </c>
      <c r="AQ100" s="896">
        <f>(input_MRB_die_rolstoelbus*$H100)+(input_MRB_benz_taxibus_rolstoelbus*$I100)+(input_MRB_CNG_A*J100)</f>
        <v>0</v>
      </c>
      <c r="AR100" s="877">
        <f>IF($G100=0,0,AQ100/($E100*looptijd*$G100))</f>
        <v>0</v>
      </c>
      <c r="AS100" s="878">
        <f>($E100*H100*(gem_verbr_die_taxi_rolstoel/100)*prijs_die)+($E100*I100*(gem_verbr_benz_taxi_rolstoel/100)*prijs_benz)+($E100*J100*(gem_verbr_CNG_taxi_rolstoel/100)*prijs_CNG)</f>
        <v>0</v>
      </c>
      <c r="AT100" s="877">
        <f>IF($G100=0,0,(AS100*looptijd)/(looptijd*$E100*$G100))</f>
        <v>0</v>
      </c>
      <c r="AU100" s="878">
        <f>($E100*H100*Onderh_die_rolstoelbus)+($E100*I100*Onderh_benz_rolstoelbus)+($E100*J100*Onderh_CNG_rolstoelbus)</f>
        <v>0</v>
      </c>
      <c r="AV100" s="877">
        <f t="shared" si="11"/>
        <v>0</v>
      </c>
      <c r="AW100" s="878">
        <f>Rest_perc*SUM(U100:W100)</f>
        <v>0</v>
      </c>
      <c r="AX100" s="881">
        <f>Rest_perc*SUM(U100:Y100)</f>
        <v>0</v>
      </c>
      <c r="AY100" s="878">
        <f>IF(BTW_verrekening="Ja",((U100+W100)-AW100)/(looptijd*12),((U100+W100+Y100)-AX100)/(looptijd*12))</f>
        <v>0</v>
      </c>
      <c r="AZ100" s="877">
        <f>IF($G100=0,0,(AY100*12*looptijd)/(looptijd*$E100*$G100))</f>
        <v>0</v>
      </c>
      <c r="BA100" s="883">
        <f>(_schadekosten_per_km*E100*G100)/12</f>
        <v>0</v>
      </c>
      <c r="BB100" s="884">
        <f>IF($G100=0,0,(BA100*12*looptijd)/($E100*$G100*looptijd))</f>
        <v>0</v>
      </c>
      <c r="BD100" s="876">
        <f>(M100*verz_die_rolstoelbus)+(N100*verz_benz_rolstoelbus)+(O100*verz_CNG_rolstoelbus)+(P100*verz_BEV_rolstoelbus)+(Q100*verz_FCEV_taxi_rolstoel)</f>
        <v>0</v>
      </c>
      <c r="BE100" s="877">
        <f>IF($L100=0,0,(BD100*12*looptijd)/($E100*looptijd*$L100))</f>
        <v>0</v>
      </c>
      <c r="BF100" s="878">
        <f>(MRB_die_rolstoelbus*M100)+(input_MRB_benz_taxibus_rolstoelbus*N100)+(input_MRB_CNG_taxibus_groot*O100)+(MRB_BEV*P100)+(input_MRB_FCEV_rolstoel*Q100)</f>
        <v>0</v>
      </c>
      <c r="BG100" s="877">
        <f>IF($L100=0,0,BF100/($E100*looptijd*$L100))</f>
        <v>0</v>
      </c>
      <c r="BH100" s="878">
        <f>($E100*M100*(gem_verbr_die_taxi_rolstoel/100)*prijs_die)+($E100*N100*(gem_verbr_die_taxi_rolstoel/100)*prijs_benz)+($E100*O100*(gem_verbr_CNG_taxi_rolstoel/100)*prijs_CNG)+($E100*P100*(gem_verbr_BEV_rolstoel/100)*prijs_elek_berekening)+($E100*Q100*(gem_verbr_FCEV_rolstoel_Elek/100)*prijs_elek_berekening*(100%-_verh_H2_accu_taxi_rolstoelbus))+($E100*Q100*(gem_verbr_FCEV_rolstoel_H2/100)*prijs_H2*(_verh_H2_accu_taxi_rolstoelbus))</f>
        <v>0</v>
      </c>
      <c r="BI100" s="877">
        <f>IF($L100=0,0,(BH100*looptijd)/(looptijd*$E100*$L100))</f>
        <v>0</v>
      </c>
      <c r="BJ100" s="885"/>
      <c r="BK100" s="878">
        <f>Rest_perc_ZE*(AD100+AF100)</f>
        <v>0</v>
      </c>
      <c r="BL100" s="878">
        <f>Rest_perc_ZE*(AD100+AF100+AH100)</f>
        <v>0</v>
      </c>
      <c r="BM100" s="885"/>
      <c r="BN100" s="878">
        <f>($E100*M100*Onderh_die_rolstoelbus)+($E100*N100*Onderh_benz_rolstoelbus)+($E100*O100*Onderh_CNG_taxibus_klein)+($E100*P100*Onderh_BEV_rolstoelbus)+($E100*Q100*Onderh_FCEV_rolstoel)</f>
        <v>0</v>
      </c>
      <c r="BO100" s="877">
        <f>IF($L100=0,0,(BN100*looptijd)/(looptijd*$E100*$L100))</f>
        <v>0</v>
      </c>
      <c r="BP100" s="878"/>
      <c r="BQ100" s="878">
        <f>IF(BTW_verrekening="Ja",((AD100+AF100-AJ100)-BK100)/(looptijd*12),((AD100+AF100+AH100-AJ100)-BL100)/(looptijd*12))</f>
        <v>0</v>
      </c>
      <c r="BR100" s="877">
        <f>IF($G100=0,0,(BQ100*12*looptijd)/(looptijd*$E100*$G100))</f>
        <v>0</v>
      </c>
      <c r="BS100" s="885"/>
      <c r="BT100" s="883">
        <f>(_schadekosten_per_km*E100*L100)/12</f>
        <v>0</v>
      </c>
      <c r="BU100" s="884">
        <f>IF($L100=0,0,(BT100*12*looptijd)/($E100*$L100*looptijd))</f>
        <v>0</v>
      </c>
      <c r="BV100" s="881"/>
      <c r="BW100" s="886">
        <f>(Efac_die_TTW*(gem_verbr_die_taxi_rolstoel/100)*$E100*H100)+(Efac_benz_TTW*(gem_verbr_benz_taxi_rolstoel/100)*$E100*I100)+(Efac_CNG_berekening_TTW*(gem_verbr_CNG_taxi_rolstoel/100)*$E100*J100)</f>
        <v>0</v>
      </c>
      <c r="BX100" s="887">
        <f>(Efac_die_WTW*(gem_verbr_die_taxi_rolstoel/100)*$E100*H100)+(Efac_benz_WTW*(gem_verbr_benz_taxi_rolstoel/100)*$E100*I100)+(Efac_CNG_berekening_WTW*(gem_verbr_CNG_taxi_rolstoel/100)*$E100*J100)</f>
        <v>0</v>
      </c>
      <c r="BY100" s="888">
        <f>IF($G100=0,0,(BX100*looptijd)/($E100*$G100*looptijd))</f>
        <v>0</v>
      </c>
      <c r="BZ100" s="889"/>
      <c r="CA100" s="886">
        <f>(Efac_die_TTW*(gem_verbr_die_taxi_rolstoel/100)*$E100*M100)+(Efac_benz_TTW*(gem_verbr_benz_taxi_rolstoel/100)*$E100*N100)+(Efac_CNG_berekening_TTW*(gem_verbr_CNG_taxi_rolstoel/100)*$E100*O100)+(Efac_elek_berekening_TTW*(gem_verbr_BEV_rolstoel/100)*$E100*P100)+(Efac_elek_berekening_TTW*(gem_verbr_FCEV_rolstoel_Elek/100)*(100%-_verh_H2_accu_F)*Q100)+(Efac_H2_berekening_TTW*(gem_verbr_FCEV_rolstoel_H2/100)*(_verh_H2_accu_F)*Q100)</f>
        <v>0</v>
      </c>
      <c r="CB100" s="887">
        <f>(Efac_die_WTW*(gem_verbr_die_taxi_rolstoel/100)*$E100*M100)+(Efac_benz_WTW*(gem_verbr_benz_taxi_rolstoel/100)*$E100*N100)+(Efac_CNG_berekening_WTW*(gem_verbr_CNG_taxi_rolstoel/100)*$E100*O100)+(Efac_elek_berekening_WTW*(gem_verbr_BEV_rolstoel/100)*$E100*P100)+(Efac_elek_berekening_WTW*(gem_verbr_FCEV_rolstoel_Elek/100)*(100%-_verh_H2_accu_F)*Q100)+(Efac_H2_berekening_WTW*(gem_verbr_FCEV_rolstoel_H2/100)*(_verh_H2_accu_F)*Q100)</f>
        <v>0</v>
      </c>
      <c r="CC100" s="888">
        <f>IF($L100=0,0,(CB100*looptijd)/($L100*$E100*looptijd))</f>
        <v>0</v>
      </c>
    </row>
    <row r="101" spans="1:81">
      <c r="A101" s="891">
        <v>53</v>
      </c>
      <c r="B101" s="894" t="s">
        <v>714</v>
      </c>
      <c r="C101" s="868" t="s">
        <v>750</v>
      </c>
      <c r="D101" s="868"/>
      <c r="E101" s="869">
        <f>$E$5</f>
        <v>25000</v>
      </c>
      <c r="G101" s="870">
        <f>SUM(H101:J101)</f>
        <v>0</v>
      </c>
      <c r="H101" s="868">
        <v>0</v>
      </c>
      <c r="I101" s="871">
        <v>0</v>
      </c>
      <c r="J101" s="872">
        <v>0</v>
      </c>
      <c r="K101" s="873"/>
      <c r="L101" s="870">
        <f>SUM(M101:Q101)</f>
        <v>0</v>
      </c>
      <c r="M101" s="868">
        <v>0</v>
      </c>
      <c r="N101" s="868">
        <v>0</v>
      </c>
      <c r="O101" s="868">
        <v>0</v>
      </c>
      <c r="P101" s="868">
        <v>0</v>
      </c>
      <c r="Q101" s="872">
        <v>0</v>
      </c>
      <c r="S101" s="875">
        <f>(L101*E101*looptijd)</f>
        <v>0</v>
      </c>
      <c r="U101" s="898">
        <f>(Netto_cat_die_rolstoelbus*H101)+(Netto_cat_benz_rolstoelbus*I101)+(Netto_cat_CNG_rolstoelbus*J101)</f>
        <v>0</v>
      </c>
      <c r="V101" s="877">
        <f>IF($G101=0,0,U101/($E101*$G101*looptijd))</f>
        <v>0</v>
      </c>
      <c r="W101" s="896">
        <f>IF(BPM_belasting="ja",(BPM_die_rolstoelbus*H101)+(BPM_benz_rolstoelbus*I101)+(BPM_CNG_rolstoelbus*J101),0)</f>
        <v>0</v>
      </c>
      <c r="X101" s="877">
        <f>IF($G101=0,0,W101/($E101*looptijd*$G101))</f>
        <v>0</v>
      </c>
      <c r="Y101" s="879">
        <f>BTW*U101</f>
        <v>0</v>
      </c>
      <c r="Z101" s="879">
        <f>SUM(U101:Y101)</f>
        <v>0</v>
      </c>
      <c r="AA101" s="879">
        <f>IF(BTW_verrekening="ja",((U101+W101-AW101))/2*Rente_financiering,((U101+W101+Y101-AW101)/2)*Rente_financiering)</f>
        <v>0</v>
      </c>
      <c r="AB101" s="880">
        <f>IF(G101=0,0,AA101*looptijd/($E101*looptijd*$G101))</f>
        <v>0</v>
      </c>
      <c r="AD101" s="898">
        <f>(Netto_cat_die_rolstoelbus*M101)+(Netto_cat_benz_rolstoelbus*N101)+(Netto_cat_CNG_rolstoelbus*O101)+(Netto_cat_BEV_rolstoelbus*P101)+(Netto_cat_FCEV_rolstoel*Q101)</f>
        <v>0</v>
      </c>
      <c r="AE101" s="877">
        <f>IF($L101=0,0,AD101/($E101*$L101*looptijd))</f>
        <v>0</v>
      </c>
      <c r="AF101" s="878">
        <f>IF(BPM_belasting="ja",(BPM_benz_A*N101)+(BPM_CNG_A*O101)+(P101*BPM_BEV)+(Q101*BPM_FCEV),0)</f>
        <v>0</v>
      </c>
      <c r="AG101" s="878">
        <f>IF($L101=0,0,AF101/($E101*looptijd*$L101))</f>
        <v>0</v>
      </c>
      <c r="AH101" s="878">
        <f>BTW*AD101</f>
        <v>0</v>
      </c>
      <c r="AI101" s="878">
        <f>SUM(AD101:AH101)</f>
        <v>0</v>
      </c>
      <c r="AJ101" s="878">
        <f>IF('2. Invoer parameters'!$C$10="ja",MIA_BEV_rolstoelbus*P101,0)</f>
        <v>0</v>
      </c>
      <c r="AK101" s="882">
        <f>IF($L101=0,0,AJ101/($E101*looptijd*$L101))</f>
        <v>0</v>
      </c>
      <c r="AL101" s="881">
        <f>IF(BPM_belasting="nee",(((AD101-AJ101)-BK101)/2)*Rente_financiering,(((AD101-AJ101+AF101)-BL101)/2)*Rente_financiering)</f>
        <v>0</v>
      </c>
      <c r="AM101" s="880">
        <f>IF($L101=0,0,AL101*looptijd/($E101*looptijd*$L101))</f>
        <v>0</v>
      </c>
      <c r="AO101" s="876">
        <f>(H101*verz_die_rolstoelbus)+(I101*verz_benz_rolstoelbus)+(J101*verz_CNG_rolstoelbus)</f>
        <v>0</v>
      </c>
      <c r="AP101" s="877">
        <f>IF($G101=0,0,(AO101*12*looptijd)/($E101*looptijd*$G101))</f>
        <v>0</v>
      </c>
      <c r="AQ101" s="896">
        <f>(input_MRB_die_rolstoelbus*$H101)+(input_MRB_benz_taxibus_rolstoelbus*$I101)+(input_MRB_CNG_A*J101)</f>
        <v>0</v>
      </c>
      <c r="AR101" s="877">
        <f>IF($G101=0,0,AQ101/($E101*looptijd*$G101))</f>
        <v>0</v>
      </c>
      <c r="AS101" s="878">
        <f>($E101*H101*(gem_verbr_die_taxi_rolstoel/100)*prijs_die)+($E101*I101*(gem_verbr_benz_taxi_rolstoel/100)*prijs_benz)+($E101*J101*(gem_verbr_CNG_taxi_rolstoel/100)*prijs_CNG)</f>
        <v>0</v>
      </c>
      <c r="AT101" s="877">
        <f>IF($G101=0,0,(AS101*looptijd)/(looptijd*$E101*$G101))</f>
        <v>0</v>
      </c>
      <c r="AU101" s="878">
        <f>($E101*H101*Onderh_die_rolstoelbus)+($E101*I101*Onderh_benz_rolstoelbus)+($E101*J101*Onderh_CNG_rolstoelbus)</f>
        <v>0</v>
      </c>
      <c r="AV101" s="877">
        <f t="shared" si="11"/>
        <v>0</v>
      </c>
      <c r="AW101" s="878">
        <f>Rest_perc*SUM(U101:W101)</f>
        <v>0</v>
      </c>
      <c r="AX101" s="881">
        <f>Rest_perc*SUM(U101:Y101)</f>
        <v>0</v>
      </c>
      <c r="AY101" s="878">
        <f>IF(BTW_verrekening="Ja",((U101+W101)-AW101)/(looptijd*12),((U101+W101+Y101)-AX101)/(looptijd*12))</f>
        <v>0</v>
      </c>
      <c r="AZ101" s="877">
        <f>IF($G101=0,0,(AY101*12*looptijd)/(looptijd*$E101*$G101))</f>
        <v>0</v>
      </c>
      <c r="BA101" s="883">
        <f>(_schadekosten_per_km*E101*G101)/12</f>
        <v>0</v>
      </c>
      <c r="BB101" s="884">
        <f>IF($G101=0,0,(BA101*12*looptijd)/($E101*$G101*looptijd))</f>
        <v>0</v>
      </c>
      <c r="BD101" s="876">
        <f>(M101*verz_die_rolstoelbus)+(N101*verz_benz_rolstoelbus)+(O101*verz_CNG_rolstoelbus)+(P101*verz_BEV_rolstoelbus)+(Q101*verz_FCEV_taxi_rolstoel)</f>
        <v>0</v>
      </c>
      <c r="BE101" s="877">
        <f>IF($L101=0,0,(BD101*12*looptijd)/($E101*looptijd*$L101))</f>
        <v>0</v>
      </c>
      <c r="BF101" s="878">
        <f>(MRB_die_rolstoelbus*M101)+(input_MRB_benz_taxibus_rolstoelbus*N101)+(input_MRB_CNG_taxibus_groot*O101)+(MRB_BEV*P101)+(input_MRB_FCEV_rolstoel*Q101)</f>
        <v>0</v>
      </c>
      <c r="BG101" s="877">
        <f>IF($L101=0,0,BF101/($E101*looptijd*$L101))</f>
        <v>0</v>
      </c>
      <c r="BH101" s="878">
        <f>($E101*M101*(gem_verbr_die_taxi_rolstoel/100)*prijs_die)+($E101*N101*(gem_verbr_die_taxi_rolstoel/100)*prijs_benz)+($E101*O101*(gem_verbr_CNG_taxi_rolstoel/100)*prijs_CNG)+($E101*P101*(gem_verbr_BEV_rolstoel/100)*prijs_elek_berekening)+($E101*Q101*(gem_verbr_FCEV_rolstoel_Elek/100)*prijs_elek_berekening*(100%-_verh_H2_accu_taxi_rolstoelbus))+($E101*Q101*(gem_verbr_FCEV_rolstoel_H2/100)*prijs_H2*(_verh_H2_accu_taxi_rolstoelbus))</f>
        <v>0</v>
      </c>
      <c r="BI101" s="877">
        <f>IF($L101=0,0,(BH101*looptijd)/(looptijd*$E101*$L101))</f>
        <v>0</v>
      </c>
      <c r="BJ101" s="885"/>
      <c r="BK101" s="878">
        <f>Rest_perc_ZE*(AD101+AF101)</f>
        <v>0</v>
      </c>
      <c r="BL101" s="878">
        <f>Rest_perc_ZE*(AD101+AF101+AH101)</f>
        <v>0</v>
      </c>
      <c r="BM101" s="885"/>
      <c r="BN101" s="878">
        <f>($E101*M101*Onderh_die_rolstoelbus)+($E101*N101*Onderh_benz_rolstoelbus)+($E101*O101*Onderh_CNG_taxibus_klein)+($E101*P101*Onderh_BEV_rolstoelbus)+($E101*Q101*Onderh_FCEV_rolstoel)</f>
        <v>0</v>
      </c>
      <c r="BO101" s="877">
        <f>IF($L101=0,0,(BN101*looptijd)/(looptijd*$E101*$L101))</f>
        <v>0</v>
      </c>
      <c r="BP101" s="878"/>
      <c r="BQ101" s="878">
        <f>IF(BTW_verrekening="Ja",((AD101+AF101-AJ101)-BK101)/(looptijd*12),((AD101+AF101+AH101-AJ101)-BL101)/(looptijd*12))</f>
        <v>0</v>
      </c>
      <c r="BR101" s="877">
        <f>IF($G101=0,0,(BQ101*12*looptijd)/(looptijd*$E101*$G101))</f>
        <v>0</v>
      </c>
      <c r="BS101" s="885"/>
      <c r="BT101" s="883">
        <f>(_schadekosten_per_km*E101*L101)/12</f>
        <v>0</v>
      </c>
      <c r="BU101" s="884">
        <f>IF($L101=0,0,(BT101*12*looptijd)/($E101*$L101*looptijd))</f>
        <v>0</v>
      </c>
      <c r="BV101" s="881"/>
      <c r="BW101" s="886">
        <f>(Efac_die_TTW*(gem_verbr_die_taxi_rolstoel/100)*$E101*H101)+(Efac_benz_TTW*(gem_verbr_benz_taxi_rolstoel/100)*$E101*I101)+(Efac_CNG_berekening_TTW*(gem_verbr_CNG_taxi_rolstoel/100)*$E101*J101)</f>
        <v>0</v>
      </c>
      <c r="BX101" s="887">
        <f>(Efac_die_WTW*(gem_verbr_die_taxi_rolstoel/100)*$E101*H101)+(Efac_benz_WTW*(gem_verbr_benz_taxi_rolstoel/100)*$E101*I101)+(Efac_CNG_berekening_WTW*(gem_verbr_CNG_taxi_rolstoel/100)*$E101*J101)</f>
        <v>0</v>
      </c>
      <c r="BY101" s="888">
        <f>IF($G101=0,0,(BX101*looptijd)/($E101*$G101*looptijd))</f>
        <v>0</v>
      </c>
      <c r="BZ101" s="889"/>
      <c r="CA101" s="886">
        <f>(Efac_die_TTW*(gem_verbr_die_taxi_rolstoel/100)*$E101*M101)+(Efac_benz_TTW*(gem_verbr_benz_taxi_rolstoel/100)*$E101*N101)+(Efac_CNG_berekening_TTW*(gem_verbr_CNG_taxi_rolstoel/100)*$E101*O101)+(Efac_elek_berekening_TTW*(gem_verbr_BEV_rolstoel/100)*$E101*P101)+(Efac_elek_berekening_TTW*(gem_verbr_FCEV_rolstoel_Elek/100)*(100%-_verh_H2_accu_F)*Q101)+(Efac_H2_berekening_TTW*(gem_verbr_FCEV_rolstoel_H2/100)*(_verh_H2_accu_F)*Q101)</f>
        <v>0</v>
      </c>
      <c r="CB101" s="887">
        <f>(Efac_die_WTW*(gem_verbr_die_taxi_rolstoel/100)*$E101*M101)+(Efac_benz_WTW*(gem_verbr_benz_taxi_rolstoel/100)*$E101*N101)+(Efac_CNG_berekening_WTW*(gem_verbr_CNG_taxi_rolstoel/100)*$E101*O101)+(Efac_elek_berekening_WTW*(gem_verbr_BEV_rolstoel/100)*$E101*P101)+(Efac_elek_berekening_WTW*(gem_verbr_FCEV_rolstoel_Elek/100)*(100%-_verh_H2_accu_F)*Q101)+(Efac_H2_berekening_WTW*(gem_verbr_FCEV_rolstoel_H2/100)*(_verh_H2_accu_F)*Q101)</f>
        <v>0</v>
      </c>
      <c r="CC101" s="888">
        <f>IF($L101=0,0,(CB101*looptijd)/($L101*$E101*looptijd))</f>
        <v>0</v>
      </c>
    </row>
    <row r="102" spans="1:81">
      <c r="A102" s="891">
        <v>54</v>
      </c>
      <c r="B102" s="894" t="s">
        <v>714</v>
      </c>
      <c r="C102" s="868" t="s">
        <v>752</v>
      </c>
      <c r="D102" s="868"/>
      <c r="E102" s="872">
        <v>50000</v>
      </c>
      <c r="F102" s="873"/>
      <c r="G102" s="870">
        <f>SUM(H102:J102)</f>
        <v>0</v>
      </c>
      <c r="H102" s="868">
        <v>0</v>
      </c>
      <c r="I102" s="871">
        <v>0</v>
      </c>
      <c r="J102" s="872">
        <v>0</v>
      </c>
      <c r="K102" s="873"/>
      <c r="L102" s="870">
        <f>SUM(M102:Q102)</f>
        <v>0</v>
      </c>
      <c r="M102" s="868">
        <v>0</v>
      </c>
      <c r="N102" s="868">
        <v>0</v>
      </c>
      <c r="O102" s="868">
        <v>0</v>
      </c>
      <c r="P102" s="868">
        <v>0</v>
      </c>
      <c r="Q102" s="872">
        <v>0</v>
      </c>
      <c r="S102" s="875">
        <f>(L102*E102*looptijd)</f>
        <v>0</v>
      </c>
      <c r="U102" s="898">
        <f>(Netto_cat_die_rolstoelbus*H102)+(Netto_cat_benz_rolstoelbus*I102)+(Netto_cat_CNG_rolstoelbus*J102)</f>
        <v>0</v>
      </c>
      <c r="V102" s="877">
        <f>IF($G102=0,0,U102/($E102*$G102*looptijd))</f>
        <v>0</v>
      </c>
      <c r="W102" s="896">
        <f>IF(BPM_belasting="ja",(BPM_die_rolstoelbus*H102)+(BPM_benz_rolstoelbus*I102)+(BPM_CNG_rolstoelbus*J102),0)</f>
        <v>0</v>
      </c>
      <c r="X102" s="877">
        <f>IF($G102=0,0,W102/($E102*looptijd*$G102))</f>
        <v>0</v>
      </c>
      <c r="Y102" s="879">
        <f>BTW*U102</f>
        <v>0</v>
      </c>
      <c r="Z102" s="879">
        <f>SUM(U102:Y102)</f>
        <v>0</v>
      </c>
      <c r="AA102" s="879">
        <f>IF(BTW_verrekening="ja",((U102+W102-AW102))/2*Rente_financiering,((U102+W102+Y102-AW102)/2)*Rente_financiering)</f>
        <v>0</v>
      </c>
      <c r="AB102" s="880">
        <f>IF(G102=0,0,AA102*looptijd/($E102*looptijd*$G102))</f>
        <v>0</v>
      </c>
      <c r="AD102" s="898">
        <f>(Netto_cat_die_rolstoelbus*M102)+(Netto_cat_benz_rolstoelbus*N102)+(Netto_cat_CNG_rolstoelbus*O102)+(Netto_cat_BEV_rolstoelbus*P102)+(Netto_cat_FCEV_rolstoel*Q102)</f>
        <v>0</v>
      </c>
      <c r="AE102" s="877">
        <f>IF($L102=0,0,AD102/($E102*$L102*looptijd))</f>
        <v>0</v>
      </c>
      <c r="AF102" s="878">
        <f>IF(BPM_belasting="ja",(BPM_benz_A*N102)+(BPM_CNG_A*O102)+(P102*BPM_BEV)+(Q102*BPM_FCEV),0)</f>
        <v>0</v>
      </c>
      <c r="AG102" s="878">
        <f>IF($L102=0,0,AF102/($E102*looptijd*$L102))</f>
        <v>0</v>
      </c>
      <c r="AH102" s="878">
        <f>BTW*AD102</f>
        <v>0</v>
      </c>
      <c r="AI102" s="878">
        <f>SUM(AD102:AH102)</f>
        <v>0</v>
      </c>
      <c r="AJ102" s="878">
        <f>IF('2. Invoer parameters'!$C$10="ja",MIA_BEV_rolstoelbus*P102,0)</f>
        <v>0</v>
      </c>
      <c r="AK102" s="882">
        <f>IF($L102=0,0,AJ102/($E102*looptijd*$L102))</f>
        <v>0</v>
      </c>
      <c r="AL102" s="881">
        <f>IF(BPM_belasting="nee",(((AD102-AJ102)-BK102)/2)*Rente_financiering,(((AD102-AJ102+AF102)-BL102)/2)*Rente_financiering)</f>
        <v>0</v>
      </c>
      <c r="AM102" s="880">
        <f>IF($L102=0,0,AL102*looptijd/($E102*looptijd*$L102))</f>
        <v>0</v>
      </c>
      <c r="AO102" s="876">
        <f>(H102*verz_die_rolstoelbus)+(I102*verz_benz_rolstoelbus)+(J102*verz_CNG_rolstoelbus)</f>
        <v>0</v>
      </c>
      <c r="AP102" s="877">
        <f>IF($G102=0,0,(AO102*12*looptijd)/($E102*looptijd*$G102))</f>
        <v>0</v>
      </c>
      <c r="AQ102" s="896">
        <f>(input_MRB_die_rolstoelbus*$H102)+(input_MRB_benz_taxibus_rolstoelbus*$I102)+(input_MRB_CNG_A*J102)</f>
        <v>0</v>
      </c>
      <c r="AR102" s="877">
        <f>IF($G102=0,0,AQ102/($E102*looptijd*$G102))</f>
        <v>0</v>
      </c>
      <c r="AS102" s="878">
        <f>($E102*H102*(gem_verbr_die_taxi_rolstoel/100)*prijs_die)+($E102*I102*(gem_verbr_benz_taxi_rolstoel/100)*prijs_benz)+($E102*J102*(gem_verbr_CNG_taxi_rolstoel/100)*prijs_CNG)</f>
        <v>0</v>
      </c>
      <c r="AT102" s="877">
        <f>IF($G102=0,0,(AS102*looptijd)/(looptijd*$E102*$G102))</f>
        <v>0</v>
      </c>
      <c r="AU102" s="878">
        <f>($E102*H102*Onderh_die_rolstoelbus_hoog_km)+($E99*I99*Onderh_benz_rolstoelbus_hoog_km)+($E102*J102*Onderh_CNG_rolstoelbus_hoog_km)</f>
        <v>0</v>
      </c>
      <c r="AV102" s="877">
        <f t="shared" si="11"/>
        <v>0</v>
      </c>
      <c r="AW102" s="878">
        <f>Rest_perc*SUM(U102:W102)</f>
        <v>0</v>
      </c>
      <c r="AX102" s="881">
        <f>Rest_perc*SUM(U102:Y102)</f>
        <v>0</v>
      </c>
      <c r="AY102" s="878">
        <f>IF(BTW_verrekening="Ja",((U102+W102)-AW102)/(looptijd*12),((U102+W102+Y102)-AX102)/(looptijd*12))</f>
        <v>0</v>
      </c>
      <c r="AZ102" s="877">
        <f>IF($G102=0,0,(AY102*12*looptijd)/(looptijd*$E102*$G102))</f>
        <v>0</v>
      </c>
      <c r="BA102" s="883">
        <f>(_schadekosten_per_km*E102*G102)/12</f>
        <v>0</v>
      </c>
      <c r="BB102" s="884">
        <f>IF($G102=0,0,(BA102*12*looptijd)/($E102*$G102*looptijd))</f>
        <v>0</v>
      </c>
      <c r="BD102" s="876">
        <f>(M102*verz_die_rolstoelbus)+(N102*verz_benz_rolstoelbus)+(O102*verz_CNG_rolstoelbus)+(P102*verz_BEV_rolstoelbus)+(Q102*verz_FCEV_taxi_rolstoel)</f>
        <v>0</v>
      </c>
      <c r="BE102" s="877">
        <f>IF($L102=0,0,(BD102*12*looptijd)/($E102*looptijd*$L102))</f>
        <v>0</v>
      </c>
      <c r="BF102" s="878">
        <f>(MRB_die_rolstoelbus*M102)+(input_MRB_benz_taxibus_rolstoelbus*N102)+(input_MRB_CNG_taxibus_groot*O102)+(MRB_BEV*P102)+(input_MRB_FCEV_rolstoel*Q102)</f>
        <v>0</v>
      </c>
      <c r="BG102" s="877">
        <f>IF($L102=0,0,BF102/($E102*looptijd*$L102))</f>
        <v>0</v>
      </c>
      <c r="BH102" s="878">
        <f>($E102*M102*(gem_verbr_die_taxi_rolstoel/100)*prijs_die)+($E102*N102*(gem_verbr_die_taxi_rolstoel/100)*prijs_benz)+($E102*O102*(gem_verbr_CNG_taxi_rolstoel/100)*prijs_CNG)+($E102*P102*(gem_verbr_BEV_rolstoel/100)*prijs_elek_berekening)+($E102*Q102*(gem_verbr_FCEV_rolstoel_Elek/100)*prijs_elek_berekening*(100%-_verh_H2_accu_taxi_rolstoelbus))+($E102*Q102*(gem_verbr_FCEV_rolstoel_H2/100)*prijs_H2*(_verh_H2_accu_taxi_rolstoelbus))</f>
        <v>0</v>
      </c>
      <c r="BI102" s="877">
        <f>IF($L102=0,0,(BH102*looptijd)/(looptijd*$E102*$L102))</f>
        <v>0</v>
      </c>
      <c r="BJ102" s="885"/>
      <c r="BK102" s="878">
        <f>Rest_perc_ZE*(AD102+AF102)</f>
        <v>0</v>
      </c>
      <c r="BL102" s="878">
        <f>Rest_perc_ZE*(AD102+AF102+AH102)</f>
        <v>0</v>
      </c>
      <c r="BM102" s="885"/>
      <c r="BN102" s="878">
        <f>($E102*M102*Onderh_die_rolstoelbus_hoog_km)+($E102*N102*Onderh_benz_rolstoelbus_hoog_km)+($E102*O102*Onderh_CNG_taxibus_klein_hoog_km)+($E102*P102*Onderh_BEV_rolstoelbus_hoog_km)+($E102*Q102*Onderh_FCEV_taxi_rolstoel_hoog_km)</f>
        <v>0</v>
      </c>
      <c r="BO102" s="877">
        <f>IF($L102=0,0,(BN102*looptijd)/(looptijd*$E102*$L102))</f>
        <v>0</v>
      </c>
      <c r="BP102" s="878"/>
      <c r="BQ102" s="878">
        <f>IF(BTW_verrekening="Ja",((AD102+AF102-AJ102)-BK102)/(looptijd*12),((AD102+AF102+AH102-AJ102)-BL102)/(looptijd*12))</f>
        <v>0</v>
      </c>
      <c r="BR102" s="877">
        <f>IF($G102=0,0,(BQ102*12*looptijd)/(looptijd*$E102*$G102))</f>
        <v>0</v>
      </c>
      <c r="BS102" s="885"/>
      <c r="BT102" s="883">
        <f>(_schadekosten_per_km*E102*L102)/12</f>
        <v>0</v>
      </c>
      <c r="BU102" s="884">
        <f>IF($L102=0,0,(BT102*12*looptijd)/($E102*$L102*looptijd))</f>
        <v>0</v>
      </c>
      <c r="BV102" s="881"/>
      <c r="BW102" s="886">
        <f>(Efac_die_TTW*(gem_verbr_die_taxi_rolstoel/100)*$E102*H102)+(Efac_benz_TTW*(gem_verbr_benz_taxi_rolstoel/100)*$E102*I102)+(Efac_CNG_berekening_TTW*(gem_verbr_CNG_taxi_rolstoel/100)*$E102*J102)</f>
        <v>0</v>
      </c>
      <c r="BX102" s="887">
        <f>(Efac_die_WTW*(gem_verbr_die_taxi_rolstoel/100)*$E102*H102)+(Efac_benz_WTW*(gem_verbr_benz_taxi_rolstoel/100)*$E102*I102)+(Efac_CNG_berekening_WTW*(gem_verbr_CNG_taxi_rolstoel/100)*$E102*J102)</f>
        <v>0</v>
      </c>
      <c r="BY102" s="888">
        <f>IF($G102=0,0,(BX102*looptijd)/($E102*$G102*looptijd))</f>
        <v>0</v>
      </c>
      <c r="BZ102" s="889"/>
      <c r="CA102" s="886">
        <f>(Efac_die_TTW*(gem_verbr_die_taxi_rolstoel/100)*$E102*M102)+(Efac_benz_TTW*(gem_verbr_benz_taxi_rolstoel/100)*$E102*N102)+(Efac_CNG_berekening_TTW*(gem_verbr_CNG_taxi_rolstoel/100)*$E102*O102)+(Efac_elek_berekening_TTW*(gem_verbr_BEV_rolstoel/100)*$E102*P102)+(Efac_elek_berekening_TTW*(gem_verbr_FCEV_rolstoel_Elek/100)*(100%-_verh_H2_accu_F)*Q102)+(Efac_H2_berekening_TTW*(gem_verbr_FCEV_rolstoel_H2/100)*(_verh_H2_accu_F)*Q102)</f>
        <v>0</v>
      </c>
      <c r="CB102" s="887">
        <f>(Efac_die_WTW*(gem_verbr_die_taxi_rolstoel/100)*$E102*M102)+(Efac_benz_WTW*(gem_verbr_benz_taxi_rolstoel/100)*$E102*N102)+(Efac_CNG_berekening_WTW*(gem_verbr_CNG_taxi_rolstoel/100)*$E102*O102)+(Efac_elek_berekening_WTW*(gem_verbr_BEV_rolstoel/100)*$E102*P102)+(Efac_elek_berekening_WTW*(gem_verbr_FCEV_rolstoel_Elek/100)*(100%-_verh_H2_accu_F)*Q102)+(Efac_H2_berekening_WTW*(gem_verbr_FCEV_rolstoel_H2/100)*(_verh_H2_accu_F)*Q102)</f>
        <v>0</v>
      </c>
      <c r="CC102" s="888">
        <f>IF($L102=0,0,(CB102*looptijd)/($L102*$E102*looptijd))</f>
        <v>0</v>
      </c>
    </row>
    <row r="103" spans="1:81">
      <c r="A103" s="891">
        <v>55</v>
      </c>
      <c r="B103" s="894" t="s">
        <v>714</v>
      </c>
      <c r="C103" s="868" t="s">
        <v>1695</v>
      </c>
      <c r="D103" s="868"/>
      <c r="E103" s="872">
        <v>75000</v>
      </c>
      <c r="F103" s="873"/>
      <c r="G103" s="870">
        <f>SUM(H103:J103)</f>
        <v>0</v>
      </c>
      <c r="H103" s="868">
        <v>0</v>
      </c>
      <c r="I103" s="871">
        <v>0</v>
      </c>
      <c r="J103" s="872">
        <v>0</v>
      </c>
      <c r="K103" s="873"/>
      <c r="L103" s="870">
        <f>SUM(M103:Q103)</f>
        <v>0</v>
      </c>
      <c r="M103" s="868">
        <v>0</v>
      </c>
      <c r="N103" s="868">
        <v>0</v>
      </c>
      <c r="O103" s="868">
        <v>0</v>
      </c>
      <c r="P103" s="868">
        <v>0</v>
      </c>
      <c r="Q103" s="872">
        <v>0</v>
      </c>
      <c r="S103" s="875">
        <f>(L103*E103*looptijd)</f>
        <v>0</v>
      </c>
      <c r="U103" s="898">
        <f>(Netto_cat_die_rolstoelbus*H103)+(Netto_cat_benz_rolstoelbus*I103)+(Netto_cat_CNG_rolstoelbus*J103)</f>
        <v>0</v>
      </c>
      <c r="V103" s="877">
        <f>IF($G103=0,0,U103/($E103*$G103*looptijd))</f>
        <v>0</v>
      </c>
      <c r="W103" s="896">
        <f>IF(BPM_belasting="ja",(BPM_die_rolstoelbus*H103)+(BPM_benz_rolstoelbus*I103)+(BPM_CNG_rolstoelbus*J103),0)</f>
        <v>0</v>
      </c>
      <c r="X103" s="877">
        <f>IF($G103=0,0,W103/($E103*looptijd*$G103))</f>
        <v>0</v>
      </c>
      <c r="Y103" s="879">
        <f>BTW*U103</f>
        <v>0</v>
      </c>
      <c r="Z103" s="879">
        <f>SUM(U103:Y103)</f>
        <v>0</v>
      </c>
      <c r="AA103" s="879">
        <f>IF(BTW_verrekening="ja",((U103+W103-AW103))/2*Rente_financiering,((U103+W103+Y103-AW103)/2)*Rente_financiering)</f>
        <v>0</v>
      </c>
      <c r="AB103" s="880">
        <f>IF(G103=0,0,AA103*looptijd/($E103*looptijd*$G103))</f>
        <v>0</v>
      </c>
      <c r="AD103" s="898">
        <f>(Netto_cat_die_rolstoelbus*M103)+(Netto_cat_benz_rolstoelbus*N103)+(Netto_cat_CNG_rolstoelbus*O103)+(Netto_cat_BEV_rolstoelbus*P103)+(Netto_cat_FCEV_rolstoel*Q103)</f>
        <v>0</v>
      </c>
      <c r="AE103" s="877">
        <f>IF($L103=0,0,AD103/($E103*$L103*looptijd))</f>
        <v>0</v>
      </c>
      <c r="AF103" s="878">
        <f>IF(BPM_belasting="ja",(BPM_benz_A*N103)+(BPM_CNG_A*O103)+(P103*BPM_BEV)+(Q103*BPM_FCEV),0)</f>
        <v>0</v>
      </c>
      <c r="AG103" s="878">
        <f>IF($L103=0,0,AF103/($E103*looptijd*$L103))</f>
        <v>0</v>
      </c>
      <c r="AH103" s="878">
        <f>BTW*AD103</f>
        <v>0</v>
      </c>
      <c r="AI103" s="878">
        <f>SUM(AD103:AH103)</f>
        <v>0</v>
      </c>
      <c r="AJ103" s="878">
        <f>IF('2. Invoer parameters'!$C$10="ja",MIA_BEV_rolstoelbus*P103,0)</f>
        <v>0</v>
      </c>
      <c r="AK103" s="882">
        <f>IF($L103=0,0,AJ103/($E103*looptijd*$L103))</f>
        <v>0</v>
      </c>
      <c r="AL103" s="881">
        <f>IF(BPM_belasting="nee",(((AD103-AJ103)-BK103)/2)*Rente_financiering,(((AD103-AJ103+AF103)-BL103)/2)*Rente_financiering)</f>
        <v>0</v>
      </c>
      <c r="AM103" s="880">
        <f>IF($L103=0,0,AL103*looptijd/($E103*looptijd*$L103))</f>
        <v>0</v>
      </c>
      <c r="AO103" s="876">
        <f>(H103*verz_die_rolstoelbus)+(I103*verz_benz_rolstoelbus)+(J103*verz_CNG_rolstoelbus)</f>
        <v>0</v>
      </c>
      <c r="AP103" s="877">
        <f>IF($G103=0,0,(AO103*12*looptijd)/($E103*looptijd*$G103))</f>
        <v>0</v>
      </c>
      <c r="AQ103" s="896">
        <f>(input_MRB_die_rolstoelbus*$H103)+(input_MRB_benz_taxibus_rolstoelbus*$I103)+(input_MRB_CNG_A*J103)</f>
        <v>0</v>
      </c>
      <c r="AR103" s="877">
        <f>IF($G103=0,0,AQ103/($E103*looptijd*$G103))</f>
        <v>0</v>
      </c>
      <c r="AS103" s="878">
        <f>($E103*H103*(gem_verbr_die_taxi_rolstoel/100)*prijs_die)+($E103*I103*(gem_verbr_benz_taxi_rolstoel/100)*prijs_benz)+($E103*J103*(gem_verbr_CNG_taxi_rolstoel/100)*prijs_CNG)</f>
        <v>0</v>
      </c>
      <c r="AT103" s="877">
        <f>IF($G103=0,0,(AS103*looptijd)/(looptijd*$E103*$G103))</f>
        <v>0</v>
      </c>
      <c r="AU103" s="878">
        <f>($E103*H103*Onderh_die_rolstoelbus_hoog_km)+($E100*I100*Onderh_benz_rolstoelbus_hoog_km)+($E103*J103*Onderh_CNG_rolstoelbus_hoog_km)</f>
        <v>0</v>
      </c>
      <c r="AV103" s="877">
        <f t="shared" si="11"/>
        <v>0</v>
      </c>
      <c r="AW103" s="878">
        <f>Rest_perc*SUM(U103:W103)</f>
        <v>0</v>
      </c>
      <c r="AX103" s="881">
        <f>Rest_perc*SUM(U103:Y103)</f>
        <v>0</v>
      </c>
      <c r="AY103" s="878">
        <f>IF(BTW_verrekening="Ja",((U103+W103)-AW103)/(looptijd*12),((U103+W103+Y103)-AX103)/(looptijd*12))</f>
        <v>0</v>
      </c>
      <c r="AZ103" s="877">
        <f>IF($G103=0,0,(AY103*12*looptijd)/(looptijd*$E103*$G103))</f>
        <v>0</v>
      </c>
      <c r="BA103" s="883">
        <f>(_schadekosten_per_km*E103*G103)/12</f>
        <v>0</v>
      </c>
      <c r="BB103" s="884">
        <f>IF($G103=0,0,(BA103*12*looptijd)/($E103*$G103*looptijd))</f>
        <v>0</v>
      </c>
      <c r="BD103" s="876">
        <f>(M103*verz_die_rolstoelbus)+(N103*verz_benz_rolstoelbus)+(O103*verz_CNG_rolstoelbus)+(P103*verz_BEV_rolstoelbus)+(Q103*verz_FCEV_taxi_rolstoel)</f>
        <v>0</v>
      </c>
      <c r="BE103" s="877">
        <f>IF($L103=0,0,(BD103*12*looptijd)/($E103*looptijd*$L103))</f>
        <v>0</v>
      </c>
      <c r="BF103" s="878">
        <f>(MRB_die_rolstoelbus*M103)+(input_MRB_benz_taxibus_rolstoelbus*N103)+(input_MRB_CNG_taxibus_groot*O103)+(MRB_BEV*P103)+(input_MRB_FCEV_rolstoel*Q103)</f>
        <v>0</v>
      </c>
      <c r="BG103" s="877">
        <f>IF($L103=0,0,BF103/($E103*looptijd*$L103))</f>
        <v>0</v>
      </c>
      <c r="BH103" s="878">
        <f>($E103*M103*(gem_verbr_die_taxi_rolstoel/100)*prijs_die)+($E103*N103*(gem_verbr_die_taxi_rolstoel/100)*prijs_benz)+($E103*O103*(gem_verbr_CNG_taxi_rolstoel/100)*prijs_CNG)+($E103*P103*(gem_verbr_BEV_rolstoel/100)*prijs_elek_berekening)+($E103*Q103*(gem_verbr_FCEV_rolstoel_Elek/100)*prijs_elek_berekening*(100%-_verh_H2_accu_taxi_rolstoelbus))+($E103*Q103*(gem_verbr_FCEV_rolstoel_H2/100)*prijs_H2*(_verh_H2_accu_taxi_rolstoelbus))</f>
        <v>0</v>
      </c>
      <c r="BI103" s="877">
        <f>IF($L103=0,0,(BH103*looptijd)/(looptijd*$E103*$L103))</f>
        <v>0</v>
      </c>
      <c r="BJ103" s="885"/>
      <c r="BK103" s="878">
        <f>Rest_perc_ZE*(AD103+AF103)</f>
        <v>0</v>
      </c>
      <c r="BL103" s="878">
        <f>Rest_perc_ZE*(AD103+AF103+AH103)</f>
        <v>0</v>
      </c>
      <c r="BM103" s="885"/>
      <c r="BN103" s="878">
        <f>($E103*M103*Onderh_die_rolstoelbus_hoog_km)+($E103*N103*Onderh_benz_rolstoelbus_hoog_km)+($E103*O103*Onderh_CNG_taxibus_klein_hoog_km)+($E103*P103*Onderh_BEV_rolstoelbus_hoog_km)+($E103*Q103*Onderh_FCEV_taxi_rolstoel_hoog_km)</f>
        <v>0</v>
      </c>
      <c r="BO103" s="877">
        <f>IF($L103=0,0,(BN103*looptijd)/(looptijd*$E103*$L103))</f>
        <v>0</v>
      </c>
      <c r="BP103" s="878"/>
      <c r="BQ103" s="878">
        <f>IF(BTW_verrekening="Ja",((AD103+AF103-AJ103)-BK103)/(looptijd*12),((AD103+AF103+AH103-AJ103)-BL103)/(looptijd*12))</f>
        <v>0</v>
      </c>
      <c r="BR103" s="877">
        <f>IF($G103=0,0,(BQ103*12*looptijd)/(looptijd*$E103*$G103))</f>
        <v>0</v>
      </c>
      <c r="BS103" s="885"/>
      <c r="BT103" s="883">
        <f>(_schadekosten_per_km*E103*L103)/12</f>
        <v>0</v>
      </c>
      <c r="BU103" s="884">
        <f>IF($L103=0,0,(BT103*12*looptijd)/($E103*$L103*looptijd))</f>
        <v>0</v>
      </c>
      <c r="BV103" s="881"/>
      <c r="BW103" s="886">
        <f>(Efac_die_TTW*(gem_verbr_die_taxi_rolstoel/100)*$E103*H103)+(Efac_benz_TTW*(gem_verbr_benz_taxi_rolstoel/100)*$E103*I103)+(Efac_CNG_berekening_TTW*(gem_verbr_CNG_taxi_rolstoel/100)*$E103*J103)</f>
        <v>0</v>
      </c>
      <c r="BX103" s="887">
        <f>(Efac_die_WTW*(gem_verbr_die_taxi_rolstoel/100)*$E103*H103)+(Efac_benz_WTW*(gem_verbr_benz_taxi_rolstoel/100)*$E103*I103)+(Efac_CNG_berekening_WTW*(gem_verbr_CNG_taxi_rolstoel/100)*$E103*J103)</f>
        <v>0</v>
      </c>
      <c r="BY103" s="888">
        <f>IF($G103=0,0,(BX103*looptijd)/($E103*$G103*looptijd))</f>
        <v>0</v>
      </c>
      <c r="BZ103" s="889"/>
      <c r="CA103" s="886">
        <f>(Efac_die_TTW*(gem_verbr_die_taxi_rolstoel/100)*$E103*M103)+(Efac_benz_TTW*(gem_verbr_benz_taxi_rolstoel/100)*$E103*N103)+(Efac_CNG_berekening_TTW*(gem_verbr_CNG_taxi_rolstoel/100)*$E103*O103)+(Efac_elek_berekening_TTW*(gem_verbr_BEV_rolstoel/100)*$E103*P103)+(Efac_elek_berekening_TTW*(gem_verbr_FCEV_rolstoel_Elek/100)*(100%-_verh_H2_accu_F)*Q103)+(Efac_H2_berekening_TTW*(gem_verbr_FCEV_rolstoel_H2/100)*(_verh_H2_accu_F)*Q103)</f>
        <v>0</v>
      </c>
      <c r="CB103" s="887">
        <f>(Efac_die_WTW*(gem_verbr_die_taxi_rolstoel/100)*$E103*M103)+(Efac_benz_WTW*(gem_verbr_benz_taxi_rolstoel/100)*$E103*N103)+(Efac_CNG_berekening_WTW*(gem_verbr_CNG_taxi_rolstoel/100)*$E103*O103)+(Efac_elek_berekening_WTW*(gem_verbr_BEV_rolstoel/100)*$E103*P103)+(Efac_elek_berekening_WTW*(gem_verbr_FCEV_rolstoel_Elek/100)*(100%-_verh_H2_accu_F)*Q103)+(Efac_H2_berekening_WTW*(gem_verbr_FCEV_rolstoel_H2/100)*(_verh_H2_accu_F)*Q103)</f>
        <v>0</v>
      </c>
      <c r="CC103" s="888">
        <f>IF($L103=0,0,(CB103*looptijd)/($L103*$E103*looptijd))</f>
        <v>0</v>
      </c>
    </row>
    <row r="104" spans="1:81">
      <c r="B104" s="867"/>
      <c r="C104" s="889"/>
      <c r="D104" s="889"/>
      <c r="E104" s="869"/>
      <c r="G104" s="870"/>
      <c r="H104" s="868"/>
      <c r="I104" s="868"/>
      <c r="J104" s="872"/>
      <c r="K104" s="873"/>
      <c r="L104" s="870"/>
      <c r="M104" s="868"/>
      <c r="N104" s="868"/>
      <c r="O104" s="868"/>
      <c r="P104" s="868"/>
      <c r="Q104" s="872"/>
      <c r="S104" s="875"/>
      <c r="U104" s="867"/>
      <c r="V104" s="877"/>
      <c r="W104" s="889"/>
      <c r="X104" s="877"/>
      <c r="Y104" s="879"/>
      <c r="Z104" s="879"/>
      <c r="AA104" s="879"/>
      <c r="AB104" s="880"/>
      <c r="AD104" s="867"/>
      <c r="AE104" s="877"/>
      <c r="AF104" s="878"/>
      <c r="AG104" s="878"/>
      <c r="AH104" s="878"/>
      <c r="AI104" s="878"/>
      <c r="AJ104" s="878"/>
      <c r="AK104" s="882"/>
      <c r="AL104" s="881"/>
      <c r="AM104" s="880"/>
      <c r="AO104" s="867"/>
      <c r="AP104" s="877"/>
      <c r="AQ104" s="878"/>
      <c r="AR104" s="877"/>
      <c r="AS104" s="889"/>
      <c r="AT104" s="877"/>
      <c r="AU104" s="889"/>
      <c r="AV104" s="877">
        <f t="shared" si="11"/>
        <v>0</v>
      </c>
      <c r="AW104" s="878"/>
      <c r="AX104" s="881"/>
      <c r="AY104" s="878"/>
      <c r="AZ104" s="877"/>
      <c r="BA104" s="883"/>
      <c r="BB104" s="884"/>
      <c r="BD104" s="876"/>
      <c r="BE104" s="877"/>
      <c r="BF104" s="889"/>
      <c r="BG104" s="877"/>
      <c r="BH104" s="878"/>
      <c r="BI104" s="877"/>
      <c r="BJ104" s="892"/>
      <c r="BK104" s="878"/>
      <c r="BL104" s="878"/>
      <c r="BM104" s="885"/>
      <c r="BN104" s="889"/>
      <c r="BO104" s="877"/>
      <c r="BP104" s="889"/>
      <c r="BQ104" s="878"/>
      <c r="BR104" s="877"/>
      <c r="BS104" s="885"/>
      <c r="BT104" s="883"/>
      <c r="BU104" s="884"/>
      <c r="BV104" s="881"/>
      <c r="BW104" s="886"/>
      <c r="BX104" s="889"/>
      <c r="BY104" s="888"/>
      <c r="BZ104" s="889"/>
      <c r="CA104" s="886"/>
      <c r="CB104" s="889"/>
      <c r="CC104" s="888"/>
    </row>
    <row r="105" spans="1:81">
      <c r="A105" s="891">
        <v>41</v>
      </c>
      <c r="B105" s="894" t="s">
        <v>2044</v>
      </c>
      <c r="C105" s="868" t="s">
        <v>748</v>
      </c>
      <c r="D105" s="868"/>
      <c r="E105" s="869">
        <f>$E$3</f>
        <v>10000</v>
      </c>
      <c r="G105" s="870">
        <f>SUM(H105:J105)</f>
        <v>0</v>
      </c>
      <c r="H105" s="868">
        <f t="array" ref="H105:H109">TRANSPOSE('1a. Invoer - BESTAAND'!J24:N24)</f>
        <v>0</v>
      </c>
      <c r="I105" s="871">
        <v>0</v>
      </c>
      <c r="J105" s="874">
        <v>0</v>
      </c>
      <c r="K105" s="873"/>
      <c r="L105" s="870">
        <f t="shared" ref="L105:L109" si="12">SUM(M105:Q105)</f>
        <v>0</v>
      </c>
      <c r="M105" s="868">
        <v>0</v>
      </c>
      <c r="N105" s="868">
        <v>0</v>
      </c>
      <c r="O105" s="868">
        <v>0</v>
      </c>
      <c r="P105" s="868">
        <f t="array" ref="P105:P109">TRANSPOSE('1b. Invoer - NIEUW'!E26:I26)</f>
        <v>0</v>
      </c>
      <c r="Q105" s="872">
        <f t="array" ref="Q105:Q109">TRANSPOSE('1b. Invoer - NIEUW'!J26:N26)</f>
        <v>0</v>
      </c>
      <c r="S105" s="875">
        <f>(L105*E105*looptijd)</f>
        <v>0</v>
      </c>
      <c r="U105" s="876">
        <f>(cat_prijs_net_dies_veegvuilwagen*H105)</f>
        <v>0</v>
      </c>
      <c r="V105" s="877">
        <f>IF($G105=0,0,U105/($E105*$G105*looptijd))</f>
        <v>0</v>
      </c>
      <c r="W105" s="878">
        <f>IF(BPM_belasting="ja",(BPM_die_veegvuilwagen*H105),0)</f>
        <v>0</v>
      </c>
      <c r="X105" s="877">
        <f>IF($G105=0,0,W105/($E105*looptijd*$G105))</f>
        <v>0</v>
      </c>
      <c r="Y105" s="879">
        <f>BTW*U105</f>
        <v>0</v>
      </c>
      <c r="Z105" s="879">
        <f>SUM(U105:Y105)</f>
        <v>0</v>
      </c>
      <c r="AA105" s="879">
        <f>IF(BTW_verrekening="ja",((U105+W105-AW105))/2*Rente_financiering,((U105+W105+Y105-AW105)/2)*Rente_financiering)</f>
        <v>0</v>
      </c>
      <c r="AB105" s="880">
        <f>IF(G105=0,0,AA105*looptijd/($E105*looptijd*$G105))</f>
        <v>0</v>
      </c>
      <c r="AD105" s="876">
        <f>(Netto_cat_die_veegvuilwagen*M105)+(Netto_cat_BEV_veegvuilwagen*P105)+(Netto_cat_FCEV_veegvuilwagen*Q105)</f>
        <v>0</v>
      </c>
      <c r="AE105" s="877">
        <f>IF($L105=0,0,AD105/($E105*$L105*looptijd))</f>
        <v>0</v>
      </c>
      <c r="AF105" s="878">
        <f>IF(BPM_belasting="ja",(BPM_benz_A*N105)+(BPM_CNG_A*O105)+(P105*BPM_BEV)+(Q105*BPM_FCEV),0)</f>
        <v>0</v>
      </c>
      <c r="AG105" s="878">
        <f>IF($L105=0,0,AF105/($E105*looptijd*$L105))</f>
        <v>0</v>
      </c>
      <c r="AH105" s="878">
        <f>BTW*AD105</f>
        <v>0</v>
      </c>
      <c r="AI105" s="878">
        <f>SUM(AD105:AH105)</f>
        <v>0</v>
      </c>
      <c r="AJ105" s="878">
        <f>IF('2. Invoer parameters'!$C$10="ja",MIA_BEV_veegvuilwagen*P105,0)</f>
        <v>0</v>
      </c>
      <c r="AK105" s="882">
        <f>IF($L105=0,0,AJ105/($E105*looptijd*$L105))</f>
        <v>0</v>
      </c>
      <c r="AL105" s="881">
        <f>IF(BPM_belasting="nee",(((AD105-AJ105)-BK105)/2)*Rente_financiering,(((AD105-AJ105+AF105)-BL105)/2)*Rente_financiering)</f>
        <v>0</v>
      </c>
      <c r="AM105" s="880">
        <f>IF($L105=0,0,AL105*looptijd/($E105*looptijd*$L105))</f>
        <v>0</v>
      </c>
      <c r="AO105" s="876">
        <f>(H105*verz_die_veegvuilwagen)</f>
        <v>0</v>
      </c>
      <c r="AP105" s="877">
        <f>IF($G105=0,0,(AO105*12*looptijd)/($E105*looptijd*$G105))</f>
        <v>0</v>
      </c>
      <c r="AQ105" s="878">
        <f>(input_MRB_die_veegvuilwagen*$H105)</f>
        <v>0</v>
      </c>
      <c r="AR105" s="877">
        <f>IF($G105=0,0,AQ105/($E105*looptijd*$G105))</f>
        <v>0</v>
      </c>
      <c r="AS105" s="878">
        <f>($E105*H105*(gem_verbr_die_veegvuilwagen/100)*prijs_die)</f>
        <v>0</v>
      </c>
      <c r="AT105" s="877">
        <f>IF($G105=0,0,(AS105*looptijd)/(looptijd*$E105*$G105))</f>
        <v>0</v>
      </c>
      <c r="AU105" s="878">
        <f>($E105*H105*Onderh_die_veegvuilwagen)</f>
        <v>0</v>
      </c>
      <c r="AV105" s="877">
        <f t="shared" si="11"/>
        <v>0</v>
      </c>
      <c r="AW105" s="878">
        <f>Rest_perc*SUM(U105:W105)</f>
        <v>0</v>
      </c>
      <c r="AX105" s="881">
        <f>Rest_perc*SUM(U105:Y105)</f>
        <v>0</v>
      </c>
      <c r="AY105" s="878">
        <f>IF(BTW_verrekening="Ja",((U105+W105)-AW105)/(looptijd*12),((U105+W105+Y105)-AX105)/(looptijd*12))</f>
        <v>0</v>
      </c>
      <c r="AZ105" s="877">
        <f>IF($G105=0,0,(AY105*12*looptijd)/(looptijd*$E105*$G105))</f>
        <v>0</v>
      </c>
      <c r="BA105" s="883">
        <f>(_schadekosten_per_km_huisvuilwagen*E105*G105)/12</f>
        <v>0</v>
      </c>
      <c r="BB105" s="884">
        <f>IF($G105=0,0,(BA105*12*looptijd)/($E105*$G105*looptijd))</f>
        <v>0</v>
      </c>
      <c r="BD105" s="876">
        <f>(M105*verz_die_veegvuilwagen)+(P105*verz_BEV_veegvuilwagen)+(Q105*verz_FCEV_veegvuilwagen)</f>
        <v>0</v>
      </c>
      <c r="BE105" s="877">
        <f>IF($L105=0,0,(BD105*12*looptijd)/($E105*looptijd*$L105))</f>
        <v>0</v>
      </c>
      <c r="BF105" s="878">
        <f>(input_MRB_die_veegvuilwagen*M105)+(input_MRB_BEV_veegvuilwagen*P105)+(input_MRB_FCEV_veegvuilwagen*Q105)</f>
        <v>0</v>
      </c>
      <c r="BG105" s="877">
        <f>IF($L105=0,0,BF105/($E105*looptijd*$L105))</f>
        <v>0</v>
      </c>
      <c r="BH105" s="878">
        <f>($E105*M105*(gem_verbr_die_veegvuilwagen/100)*prijs_die)+($E105*P105*(gem_verbr_BEV_veegvuilwagen/100)*prijs_elek_berekening)+($E105*Q105*(gem_verbr_FCEV_veegvuilwagen_Elek/100)*prijs_elek_berekening*(100%-_verh_H2_accu_veegvuilwagen))+($E105*Q105*(gem_verbr_FCEV_veegvuilwagen_H2/100)*prijs_H2*(_verh_H2_accu_veegvuilwagen))</f>
        <v>0</v>
      </c>
      <c r="BI105" s="877">
        <f>IF($L105=0,0,(BH105*looptijd)/(looptijd*$E105*$L105))</f>
        <v>0</v>
      </c>
      <c r="BJ105" s="885"/>
      <c r="BK105" s="878">
        <f>Rest_perc_ZE*(AD105+AF105)</f>
        <v>0</v>
      </c>
      <c r="BL105" s="878">
        <f>Rest_perc_ZE*(AD105+AF105+AH105)</f>
        <v>0</v>
      </c>
      <c r="BM105" s="885"/>
      <c r="BN105" s="878">
        <f>($E105*M105*Onderh_die_veegvuilwagen)+($E105*P105*Onderh_BEV_veegvuilwagen)+($E105*Q105*Onderh_FCEV_veegvuilwagen)</f>
        <v>0</v>
      </c>
      <c r="BO105" s="877">
        <f>IF($L105=0,0,(BN105*looptijd)/(looptijd*$E105*$L105))</f>
        <v>0</v>
      </c>
      <c r="BP105" s="878"/>
      <c r="BQ105" s="878">
        <f>IF(BTW_verrekening="Ja",((AD105+AF105-AJ105)-BK105)/(looptijd*12),((AD105+AF105+AH105-AJ105)-BL105)/(looptijd*12))</f>
        <v>0</v>
      </c>
      <c r="BR105" s="877">
        <f>IF($G105=0,0,(BQ105*12*looptijd)/(looptijd*$E105*$G105))</f>
        <v>0</v>
      </c>
      <c r="BS105" s="885"/>
      <c r="BT105" s="883">
        <f>(_schadekosten_per_km_veegvuilwagen*E105*L105)/12</f>
        <v>0</v>
      </c>
      <c r="BU105" s="884">
        <f>IF($L105=0,0,(BT105*12*looptijd)/($E105*$L105*looptijd))</f>
        <v>0</v>
      </c>
      <c r="BV105" s="881"/>
      <c r="BW105" s="886">
        <f>(Efac_die_TTW*(gem_verbr_die_veegvuilwagen/100)*$E105*H105)</f>
        <v>0</v>
      </c>
      <c r="BX105" s="887">
        <f>(Efac_die_WTW*(gem_verbr_die_veegvuilwagen/100)*$E105*H105)</f>
        <v>0</v>
      </c>
      <c r="BY105" s="888">
        <f>IF($G105=0,0,(BX105*looptijd)/($E105*$G105*looptijd))</f>
        <v>0</v>
      </c>
      <c r="BZ105" s="889"/>
      <c r="CA105" s="886">
        <f>(Efac_die_TTW*(gem_verbr_die_veegvuilwagen/100)*$E105*M105)+(Efac_elek_berekening_TTW*(gem_verbr_BEV_veegvuilwagen/100)*$E105*P105)+(Efac_elek_berekening_TTW*(gem_verbr_FCEV_veegvuilwagen_Elek/100)*(100%-_verh_H2_accu_veegvuilwagen)*Q105*$E105)+(Efac_H2_berekening_TTW*(gem_verbr_FCEV_veegvuilwagen_H2/100)*(_verh_H2_accu_veegvuilwagen)*Q105*$E105)</f>
        <v>0</v>
      </c>
      <c r="CB105" s="887">
        <f>(Efac_die_WTW*(gem_verbr_die_veegvuilwagen/100)*$E105*M105)+(Efac_elek_berekening_WTW*(gem_verbr_BEV_veegvuilwagen/100)*$E105*P105)+(Efac_elek_berekening_WTW*(gem_verbr_FCEV_veegvuilwagen_Elek/100)*(100%-_verh_H2_accu_veegvuilwagen)*Q105*$E105)+(Efac_H2_berekening_WTW*(gem_verbr_FCEV_veegvuilwagen_H2/100)*(_verh_H2_accu_veegvuilwagen)*Q105*$E105)</f>
        <v>0</v>
      </c>
      <c r="CC105" s="888">
        <f>IF($L105=0,0,(CB105*looptijd)/($L105*$E105*looptijd))</f>
        <v>0</v>
      </c>
    </row>
    <row r="106" spans="1:81">
      <c r="A106" s="891">
        <v>42</v>
      </c>
      <c r="B106" s="894" t="s">
        <v>2044</v>
      </c>
      <c r="C106" s="868" t="s">
        <v>749</v>
      </c>
      <c r="D106" s="868"/>
      <c r="E106" s="869">
        <f>$E$4</f>
        <v>15000</v>
      </c>
      <c r="G106" s="870">
        <f t="shared" ref="G106:G109" si="13">SUM(H106:J106)</f>
        <v>0</v>
      </c>
      <c r="H106" s="868">
        <v>0</v>
      </c>
      <c r="I106" s="871">
        <v>0</v>
      </c>
      <c r="J106" s="874">
        <v>0</v>
      </c>
      <c r="K106" s="873"/>
      <c r="L106" s="870">
        <f t="shared" si="12"/>
        <v>0</v>
      </c>
      <c r="M106" s="868">
        <v>0</v>
      </c>
      <c r="N106" s="868">
        <v>0</v>
      </c>
      <c r="O106" s="868">
        <v>0</v>
      </c>
      <c r="P106" s="868">
        <v>0</v>
      </c>
      <c r="Q106" s="872">
        <v>0</v>
      </c>
      <c r="S106" s="875">
        <f>(L106*E106*looptijd)</f>
        <v>0</v>
      </c>
      <c r="U106" s="876">
        <f>(cat_prijs_net_dies_veegvuilwagen*H106)</f>
        <v>0</v>
      </c>
      <c r="V106" s="877">
        <f>IF($G106=0,0,U106/($E106*$G106*looptijd))</f>
        <v>0</v>
      </c>
      <c r="W106" s="896">
        <f>IF(BPM_belasting="ja",(BPM_die_veegvuilwagen*H106),0)</f>
        <v>0</v>
      </c>
      <c r="X106" s="877">
        <f>IF($G106=0,0,W106/($E106*looptijd*$G106))</f>
        <v>0</v>
      </c>
      <c r="Y106" s="879">
        <f>BTW*U106</f>
        <v>0</v>
      </c>
      <c r="Z106" s="879">
        <f>SUM(U106:Y106)</f>
        <v>0</v>
      </c>
      <c r="AA106" s="879">
        <f>IF(BTW_verrekening="ja",((U106+W106-AW106))/2*Rente_financiering,((U106+W106+Y106-AW106)/2)*Rente_financiering)</f>
        <v>0</v>
      </c>
      <c r="AB106" s="880">
        <f>IF(G106=0,0,AA106*looptijd/($E106*looptijd*$G106))</f>
        <v>0</v>
      </c>
      <c r="AD106" s="876">
        <f>(Netto_cat_die_veegvuilwagen*M106)+(Netto_cat_BEV_veegvuilwagen*P106)+(Netto_cat_FCEV_veegvuilwagen*Q106)</f>
        <v>0</v>
      </c>
      <c r="AE106" s="877">
        <f>IF($L106=0,0,AD106/($E106*$L106*looptijd))</f>
        <v>0</v>
      </c>
      <c r="AF106" s="878">
        <f>IF(BPM_belasting="ja",(BPM_benz_A*N106)+(BPM_CNG_A*O106)+(P106*BPM_BEV)+(Q106*BPM_FCEV),0)</f>
        <v>0</v>
      </c>
      <c r="AG106" s="878">
        <f>IF($L106=0,0,AF106/($E106*looptijd*$L106))</f>
        <v>0</v>
      </c>
      <c r="AH106" s="878">
        <f>BTW*AD106</f>
        <v>0</v>
      </c>
      <c r="AI106" s="878">
        <f>SUM(AD106:AH106)</f>
        <v>0</v>
      </c>
      <c r="AJ106" s="878">
        <f>IF('2. Invoer parameters'!$C$10="ja",MIA_BEV_veegvuilwagen*P106,0)</f>
        <v>0</v>
      </c>
      <c r="AK106" s="882">
        <f>IF($L106=0,0,AJ106/($E106*looptijd*$L106))</f>
        <v>0</v>
      </c>
      <c r="AL106" s="881">
        <f>IF(BPM_belasting="nee",(((AD106-AJ106)-BK106)/2)*Rente_financiering,(((AD106-AJ106+AF106)-BL106)/2)*Rente_financiering)</f>
        <v>0</v>
      </c>
      <c r="AM106" s="880">
        <f>IF($L106=0,0,AL106*looptijd/($E106*looptijd*$L106))</f>
        <v>0</v>
      </c>
      <c r="AO106" s="876">
        <f>(H106*verz_die_veegvuilwagen)</f>
        <v>0</v>
      </c>
      <c r="AP106" s="877">
        <f>IF($G106=0,0,(AO106*12*looptijd)/($E106*looptijd*$G106))</f>
        <v>0</v>
      </c>
      <c r="AQ106" s="878">
        <f>(input_MRB_die_veegvuilwagen*$H106)</f>
        <v>0</v>
      </c>
      <c r="AR106" s="877">
        <f>IF($G106=0,0,AQ106/($E106*looptijd*$G106))</f>
        <v>0</v>
      </c>
      <c r="AS106" s="878">
        <f>($E106*H106*(gem_verbr_die_veegvuilwagen/100)*prijs_die)</f>
        <v>0</v>
      </c>
      <c r="AT106" s="877">
        <f>IF($G106=0,0,(AS106*looptijd)/(looptijd*$E106*$G106))</f>
        <v>0</v>
      </c>
      <c r="AU106" s="878">
        <f>($E106*H106*Onderh_die_veegvuilwagen)</f>
        <v>0</v>
      </c>
      <c r="AV106" s="877">
        <f t="shared" si="11"/>
        <v>0</v>
      </c>
      <c r="AW106" s="878">
        <f>Rest_perc*SUM(U106:W106)</f>
        <v>0</v>
      </c>
      <c r="AX106" s="881">
        <f>Rest_perc*SUM(U106:Y106)</f>
        <v>0</v>
      </c>
      <c r="AY106" s="878">
        <f>IF(BTW_verrekening="Ja",((U106+W106)-AW106)/(looptijd*12),((U106+W106+Y106)-AX106)/(looptijd*12))</f>
        <v>0</v>
      </c>
      <c r="AZ106" s="877">
        <f>IF($G106=0,0,(AY106*12*looptijd)/(looptijd*$E106*$G106))</f>
        <v>0</v>
      </c>
      <c r="BA106" s="883">
        <f>(_schadekosten_per_km_huisvuilwagen*E106*G106)/12</f>
        <v>0</v>
      </c>
      <c r="BB106" s="884">
        <f>IF($G106=0,0,(BA106*12*looptijd)/($E106*$G106*looptijd))</f>
        <v>0</v>
      </c>
      <c r="BD106" s="876">
        <f>(M106*verz_die_veegvuilwagen)+(P106*verz_BEV_veegvuilwagen)+(Q106*verz_FCEV_veegvuilwagen)</f>
        <v>0</v>
      </c>
      <c r="BE106" s="877">
        <f>IF($L106=0,0,(BD106*12*looptijd)/($E106*looptijd*$L106))</f>
        <v>0</v>
      </c>
      <c r="BF106" s="878">
        <f>(input_MRB_die_veegvuilwagen*M106)+(input_MRB_BEV_veegvuilwagen*P106)+(input_MRB_FCEV_veegvuilwagen*Q106)</f>
        <v>0</v>
      </c>
      <c r="BG106" s="877">
        <f>IF($L106=0,0,BF106/($E106*looptijd*$L106))</f>
        <v>0</v>
      </c>
      <c r="BH106" s="878">
        <f>($E106*M106*(gem_verbr_die_veegvuilwagen/100)*prijs_die)+($E106*P106*(gem_verbr_BEV_veegvuilwagen/100)*prijs_elek_berekening)+($E106*Q106*(gem_verbr_FCEV_veegvuilwagen_Elek/100)*prijs_elek_berekening*(100%-_verh_H2_accu_veegvuilwagen))+($E106*Q106*(gem_verbr_FCEV_veegvuilwagen_H2/100)*prijs_H2*(_verh_H2_accu_veegvuilwagen))</f>
        <v>0</v>
      </c>
      <c r="BI106" s="877">
        <f>IF($L106=0,0,(BH106*looptijd)/(looptijd*$E106*$L106))</f>
        <v>0</v>
      </c>
      <c r="BJ106" s="885"/>
      <c r="BK106" s="878">
        <f>Rest_perc_ZE*(AD106+AF106)</f>
        <v>0</v>
      </c>
      <c r="BL106" s="878">
        <f>Rest_perc_ZE*(AD106+AF106+AH106)</f>
        <v>0</v>
      </c>
      <c r="BM106" s="885"/>
      <c r="BN106" s="878">
        <f>($E106*M106*Onderh_die_veegvuilwagen)+($E106*P106*Onderh_BEV_veegvuilwagen)+($E106*Q106*Onderh_FCEV_veegvuilwagen)</f>
        <v>0</v>
      </c>
      <c r="BO106" s="877">
        <f>IF($L106=0,0,(BN106*looptijd)/(looptijd*$E106*$L106))</f>
        <v>0</v>
      </c>
      <c r="BP106" s="878"/>
      <c r="BQ106" s="878">
        <f>IF(BTW_verrekening="Ja",((AD106+AF106-AJ106)-BK106)/(looptijd*12),((AD106+AF106+AH106-AJ106)-BL106)/(looptijd*12))</f>
        <v>0</v>
      </c>
      <c r="BR106" s="877">
        <f>IF($G106=0,0,(BQ106*12*looptijd)/(looptijd*$E106*$G106))</f>
        <v>0</v>
      </c>
      <c r="BS106" s="885"/>
      <c r="BT106" s="883">
        <f>(_schadekosten_per_km_veegvuilwagen*E106*L106)/12</f>
        <v>0</v>
      </c>
      <c r="BU106" s="884">
        <f>IF($L106=0,0,(BT106*12*looptijd)/($E106*$L106*looptijd))</f>
        <v>0</v>
      </c>
      <c r="BV106" s="881"/>
      <c r="BW106" s="886">
        <f>(Efac_die_TTW*(gem_verbr_die_veegvuilwagen/100)*$E106*H106)</f>
        <v>0</v>
      </c>
      <c r="BX106" s="887">
        <f>(Efac_die_WTW*(gem_verbr_die_veegvuilwagen/100)*$E106*H106)</f>
        <v>0</v>
      </c>
      <c r="BY106" s="888">
        <f>IF($G106=0,0,(BX106*looptijd)/($E106*$G106*looptijd))</f>
        <v>0</v>
      </c>
      <c r="BZ106" s="889"/>
      <c r="CA106" s="886">
        <f>(Efac_die_TTW*(gem_verbr_die_veegvuilwagen/100)*$E106*M106)+(Efac_elek_berekening_TTW*(gem_verbr_BEV_veegvuilwagen/100)*$E106*P106)+(Efac_elek_berekening_TTW*(gem_verbr_FCEV_veegvuilwagen_Elek/100)*(100%-_verh_H2_accu_veegvuilwagen)*Q106*$E106)+(Efac_H2_berekening_TTW*(gem_verbr_FCEV_veegvuilwagen_H2/100)*(_verh_H2_accu_veegvuilwagen)*Q106*$E106)</f>
        <v>0</v>
      </c>
      <c r="CB106" s="887">
        <f>(Efac_die_WTW*(gem_verbr_die_veegvuilwagen/100)*$E106*M106)+(Efac_elek_berekening_WTW*(gem_verbr_BEV_veegvuilwagen/100)*$E106*P106)+(Efac_elek_berekening_WTW*(gem_verbr_FCEV_veegvuilwagen_Elek/100)*(100%-_verh_H2_accu_veegvuilwagen)*Q106*$E106)+(Efac_H2_berekening_WTW*(gem_verbr_FCEV_veegvuilwagen_H2/100)*(_verh_H2_accu_veegvuilwagen)*Q106*$E106)</f>
        <v>0</v>
      </c>
      <c r="CC106" s="888">
        <f>IF($L106=0,0,(CB106*looptijd)/($L106*$E106*looptijd))</f>
        <v>0</v>
      </c>
    </row>
    <row r="107" spans="1:81">
      <c r="A107" s="891">
        <v>43</v>
      </c>
      <c r="B107" s="894" t="s">
        <v>2044</v>
      </c>
      <c r="C107" s="868" t="s">
        <v>750</v>
      </c>
      <c r="D107" s="868"/>
      <c r="E107" s="869">
        <f>$E$5</f>
        <v>25000</v>
      </c>
      <c r="G107" s="870">
        <f t="shared" si="13"/>
        <v>0</v>
      </c>
      <c r="H107" s="868">
        <v>0</v>
      </c>
      <c r="I107" s="871">
        <v>0</v>
      </c>
      <c r="J107" s="874">
        <v>0</v>
      </c>
      <c r="K107" s="873"/>
      <c r="L107" s="870">
        <f t="shared" si="12"/>
        <v>0</v>
      </c>
      <c r="M107" s="868">
        <v>0</v>
      </c>
      <c r="N107" s="868">
        <v>0</v>
      </c>
      <c r="O107" s="868">
        <v>0</v>
      </c>
      <c r="P107" s="868">
        <v>0</v>
      </c>
      <c r="Q107" s="872">
        <v>0</v>
      </c>
      <c r="S107" s="875">
        <f>(L107*E107*looptijd)</f>
        <v>0</v>
      </c>
      <c r="U107" s="876">
        <f>(cat_prijs_net_dies_veegvuilwagen*H107)</f>
        <v>0</v>
      </c>
      <c r="V107" s="877">
        <f>IF($G107=0,0,U107/($E107*$G107*looptijd))</f>
        <v>0</v>
      </c>
      <c r="W107" s="878">
        <f>IF(BPM_belasting="ja",(BPM_die_veegvuilwagen*H107),0)</f>
        <v>0</v>
      </c>
      <c r="X107" s="877">
        <f>IF($G107=0,0,W107/($E107*looptijd*$G107))</f>
        <v>0</v>
      </c>
      <c r="Y107" s="879">
        <f>BTW*U107</f>
        <v>0</v>
      </c>
      <c r="Z107" s="879">
        <f>SUM(U107:Y107)</f>
        <v>0</v>
      </c>
      <c r="AA107" s="879">
        <f>IF(BTW_verrekening="ja",((U107+W107-AW107))/2*Rente_financiering,((U107+W107+Y107-AW107)/2)*Rente_financiering)</f>
        <v>0</v>
      </c>
      <c r="AB107" s="880">
        <f>IF(G107=0,0,AA107*looptijd/($E107*looptijd*$G107))</f>
        <v>0</v>
      </c>
      <c r="AD107" s="876">
        <f>(Netto_cat_die_veegvuilwagen*M107)+(Netto_cat_BEV_veegvuilwagen*P107)+(Netto_cat_FCEV_veegvuilwagen*Q107)</f>
        <v>0</v>
      </c>
      <c r="AE107" s="877">
        <f>IF($L107=0,0,AD107/($E107*$L107*looptijd))</f>
        <v>0</v>
      </c>
      <c r="AF107" s="878">
        <f>IF(BPM_belasting="ja",(BPM_benz_A*N107)+(BPM_CNG_A*O107)+(P107*BPM_BEV)+(Q107*BPM_FCEV),0)</f>
        <v>0</v>
      </c>
      <c r="AG107" s="878">
        <f>IF($L107=0,0,AF107/($E107*looptijd*$L107))</f>
        <v>0</v>
      </c>
      <c r="AH107" s="878">
        <f>BTW*AD107</f>
        <v>0</v>
      </c>
      <c r="AI107" s="878">
        <f>SUM(AD107:AH107)</f>
        <v>0</v>
      </c>
      <c r="AJ107" s="878">
        <f>IF('2. Invoer parameters'!$C$10="ja",MIA_BEV_veegvuilwagen*P107,0)</f>
        <v>0</v>
      </c>
      <c r="AK107" s="882">
        <f>IF($L107=0,0,AJ107/($E107*looptijd*$L107))</f>
        <v>0</v>
      </c>
      <c r="AL107" s="881">
        <f>IF(BPM_belasting="nee",(((AD107-AJ107)-BK107)/2)*Rente_financiering,(((AD107-AJ107+AF107)-BL107)/2)*Rente_financiering)</f>
        <v>0</v>
      </c>
      <c r="AM107" s="880">
        <f>IF($L107=0,0,AL107*looptijd/($E107*looptijd*$L107))</f>
        <v>0</v>
      </c>
      <c r="AO107" s="876">
        <f>(H107*verz_die_veegvuilwagen)</f>
        <v>0</v>
      </c>
      <c r="AP107" s="877">
        <f>IF($G107=0,0,(AO107*12*looptijd)/($E107*looptijd*$G107))</f>
        <v>0</v>
      </c>
      <c r="AQ107" s="878">
        <f>(input_MRB_die_veegvuilwagen*$H107)</f>
        <v>0</v>
      </c>
      <c r="AR107" s="877">
        <f>IF($G107=0,0,AQ107/($E107*looptijd*$G107))</f>
        <v>0</v>
      </c>
      <c r="AS107" s="878">
        <f>($E107*H107*(gem_verbr_die_veegvuilwagen/100)*prijs_die)</f>
        <v>0</v>
      </c>
      <c r="AT107" s="877">
        <f>IF($G107=0,0,(AS107*looptijd)/(looptijd*$E107*$G107))</f>
        <v>0</v>
      </c>
      <c r="AU107" s="878">
        <f>($E107*H107*Onderh_die_veegvuilwagen)</f>
        <v>0</v>
      </c>
      <c r="AV107" s="877">
        <f t="shared" si="11"/>
        <v>0</v>
      </c>
      <c r="AW107" s="878">
        <f>Rest_perc*SUM(U107:W107)</f>
        <v>0</v>
      </c>
      <c r="AX107" s="881">
        <f>Rest_perc*SUM(U107:Y107)</f>
        <v>0</v>
      </c>
      <c r="AY107" s="878">
        <f>IF(BTW_verrekening="Ja",((U107+W107)-AW107)/(looptijd*12),((U107+W107+Y107)-AX107)/(looptijd*12))</f>
        <v>0</v>
      </c>
      <c r="AZ107" s="877">
        <f>IF($G107=0,0,(AY107*12*looptijd)/(looptijd*$E107*$G107))</f>
        <v>0</v>
      </c>
      <c r="BA107" s="883">
        <f>(_schadekosten_per_km_huisvuilwagen*E107*G107)/12</f>
        <v>0</v>
      </c>
      <c r="BB107" s="884">
        <f>IF($G107=0,0,(BA107*12*looptijd)/($E107*$G107*looptijd))</f>
        <v>0</v>
      </c>
      <c r="BD107" s="876">
        <f>(M107*verz_die_veegvuilwagen)+(P107*verz_BEV_veegvuilwagen)+(Q107*verz_FCEV_veegvuilwagen)</f>
        <v>0</v>
      </c>
      <c r="BE107" s="877">
        <f>IF($L107=0,0,(BD107*12*looptijd)/($E107*looptijd*$L107))</f>
        <v>0</v>
      </c>
      <c r="BF107" s="878">
        <f>(input_MRB_die_veegvuilwagen*M107)+(input_MRB_BEV_veegvuilwagen*P107)+(input_MRB_FCEV_veegvuilwagen*Q107)</f>
        <v>0</v>
      </c>
      <c r="BG107" s="877">
        <f>IF($L107=0,0,BF107/($E107*looptijd*$L107))</f>
        <v>0</v>
      </c>
      <c r="BH107" s="878">
        <f>($E107*M107*(gem_verbr_die_veegvuilwagen/100)*prijs_die)+($E107*P107*(gem_verbr_BEV_veegvuilwagen/100)*prijs_elek_berekening)+($E107*Q107*(gem_verbr_FCEV_veegvuilwagen_Elek/100)*prijs_elek_berekening*(100%-_verh_H2_accu_veegvuilwagen))+($E107*Q107*(gem_verbr_FCEV_veegvuilwagen_H2/100)*prijs_H2*(_verh_H2_accu_veegvuilwagen))</f>
        <v>0</v>
      </c>
      <c r="BI107" s="877">
        <f>IF($L107=0,0,(BH107*looptijd)/(looptijd*$E107*$L107))</f>
        <v>0</v>
      </c>
      <c r="BJ107" s="885"/>
      <c r="BK107" s="878">
        <f>Rest_perc_ZE*(AD107+AF107)</f>
        <v>0</v>
      </c>
      <c r="BL107" s="878">
        <f>Rest_perc_ZE*(AD107+AF107+AH107)</f>
        <v>0</v>
      </c>
      <c r="BM107" s="885"/>
      <c r="BN107" s="878">
        <f>($E107*M107*Onderh_die_veegvuilwagen)+($E107*P107*Onderh_BEV_veegvuilwagen)+($E107*Q107*Onderh_FCEV_veegvuilwagen)</f>
        <v>0</v>
      </c>
      <c r="BO107" s="877">
        <f>IF($L107=0,0,(BN107*looptijd)/(looptijd*$E107*$L107))</f>
        <v>0</v>
      </c>
      <c r="BP107" s="878"/>
      <c r="BQ107" s="878">
        <f>IF(BTW_verrekening="Ja",((AD107+AF107-AJ107)-BK107)/(looptijd*12),((AD107+AF107+AH107-AJ107)-BL107)/(looptijd*12))</f>
        <v>0</v>
      </c>
      <c r="BR107" s="877">
        <f>IF($G107=0,0,(BQ107*12*looptijd)/(looptijd*$E107*$G107))</f>
        <v>0</v>
      </c>
      <c r="BS107" s="885"/>
      <c r="BT107" s="883">
        <f>(_schadekosten_per_km_veegvuilwagen*E107*L107)/12</f>
        <v>0</v>
      </c>
      <c r="BU107" s="884">
        <f>IF($L107=0,0,(BT107*12*looptijd)/($E107*$L107*looptijd))</f>
        <v>0</v>
      </c>
      <c r="BV107" s="881"/>
      <c r="BW107" s="886">
        <f>(Efac_die_TTW*(gem_verbr_die_veegvuilwagen/100)*$E107*H107)</f>
        <v>0</v>
      </c>
      <c r="BX107" s="887">
        <f>(Efac_die_WTW*(gem_verbr_die_veegvuilwagen/100)*$E107*H107)</f>
        <v>0</v>
      </c>
      <c r="BY107" s="888">
        <f>IF($G107=0,0,(BX107*looptijd)/($E107*$G107*looptijd))</f>
        <v>0</v>
      </c>
      <c r="BZ107" s="889"/>
      <c r="CA107" s="886">
        <f>(Efac_die_TTW*(gem_verbr_die_veegvuilwagen/100)*$E107*M107)+(Efac_elek_berekening_TTW*(gem_verbr_BEV_veegvuilwagen/100)*$E107*P107)+(Efac_elek_berekening_TTW*(gem_verbr_FCEV_veegvuilwagen_Elek/100)*(100%-_verh_H2_accu_veegvuilwagen)*Q107*$E107)+(Efac_H2_berekening_TTW*(gem_verbr_FCEV_veegvuilwagen_H2/100)*(_verh_H2_accu_veegvuilwagen)*Q107*$E107)</f>
        <v>0</v>
      </c>
      <c r="CB107" s="887">
        <f>(Efac_die_WTW*(gem_verbr_die_veegvuilwagen/100)*$E107*M107)+(Efac_elek_berekening_WTW*(gem_verbr_BEV_veegvuilwagen/100)*$E107*P107)+(Efac_elek_berekening_WTW*(gem_verbr_FCEV_veegvuilwagen_Elek/100)*(100%-_verh_H2_accu_veegvuilwagen)*Q107*$E107)+(Efac_H2_berekening_WTW*(gem_verbr_FCEV_veegvuilwagen_H2/100)*(_verh_H2_accu_veegvuilwagen)*Q107*$E107)</f>
        <v>0</v>
      </c>
      <c r="CC107" s="888">
        <f>IF($L107=0,0,(CB107*looptijd)/($L107*$E107*looptijd))</f>
        <v>0</v>
      </c>
    </row>
    <row r="108" spans="1:81">
      <c r="A108" s="891">
        <v>44</v>
      </c>
      <c r="B108" s="894" t="s">
        <v>2044</v>
      </c>
      <c r="C108" s="868" t="s">
        <v>752</v>
      </c>
      <c r="D108" s="868"/>
      <c r="E108" s="872">
        <v>50000</v>
      </c>
      <c r="F108" s="873"/>
      <c r="G108" s="870">
        <f t="shared" si="13"/>
        <v>0</v>
      </c>
      <c r="H108" s="868">
        <v>0</v>
      </c>
      <c r="I108" s="871">
        <v>0</v>
      </c>
      <c r="J108" s="874">
        <v>0</v>
      </c>
      <c r="K108" s="873"/>
      <c r="L108" s="870">
        <f t="shared" si="12"/>
        <v>0</v>
      </c>
      <c r="M108" s="868">
        <v>0</v>
      </c>
      <c r="N108" s="868">
        <v>0</v>
      </c>
      <c r="O108" s="868">
        <v>0</v>
      </c>
      <c r="P108" s="868">
        <v>0</v>
      </c>
      <c r="Q108" s="872">
        <v>0</v>
      </c>
      <c r="S108" s="875">
        <f>(L108*E108*looptijd)</f>
        <v>0</v>
      </c>
      <c r="U108" s="876">
        <f>(cat_prijs_net_dies_veegvuilwagen*H108)</f>
        <v>0</v>
      </c>
      <c r="V108" s="877">
        <f>IF($G108=0,0,U108/($E108*$G108*looptijd))</f>
        <v>0</v>
      </c>
      <c r="W108" s="878">
        <f>IF(BPM_belasting="ja",(BPM_die_veegvuilwagen*H108),0)</f>
        <v>0</v>
      </c>
      <c r="X108" s="877">
        <f>IF($G108=0,0,W108/($E108*looptijd*$G108))</f>
        <v>0</v>
      </c>
      <c r="Y108" s="879">
        <f>BTW*U108</f>
        <v>0</v>
      </c>
      <c r="Z108" s="879">
        <f>SUM(U108:Y108)</f>
        <v>0</v>
      </c>
      <c r="AA108" s="879">
        <f>IF(BTW_verrekening="ja",((U108+W108-AW108))/2*Rente_financiering,((U108+W108+Y108-AW108)/2)*Rente_financiering)</f>
        <v>0</v>
      </c>
      <c r="AB108" s="880">
        <f>IF(G108=0,0,AA108*looptijd/($E108*looptijd*$G108))</f>
        <v>0</v>
      </c>
      <c r="AD108" s="876">
        <f>(Netto_cat_die_veegvuilwagen*M108)+(Netto_cat_BEV_veegvuilwagen*P108)+(Netto_cat_FCEV_veegvuilwagen*Q108)</f>
        <v>0</v>
      </c>
      <c r="AE108" s="877">
        <f>IF($L108=0,0,AD108/($E108*$L108*looptijd))</f>
        <v>0</v>
      </c>
      <c r="AF108" s="878">
        <f>IF(BPM_belasting="ja",(BPM_benz_A*N108)+(BPM_CNG_A*O108)+(P108*BPM_BEV)+(Q108*BPM_FCEV),0)</f>
        <v>0</v>
      </c>
      <c r="AG108" s="878">
        <f>IF($L108=0,0,AF108/($E108*looptijd*$L108))</f>
        <v>0</v>
      </c>
      <c r="AH108" s="878">
        <f>BTW*AD108</f>
        <v>0</v>
      </c>
      <c r="AI108" s="878">
        <f>SUM(AD108:AH108)</f>
        <v>0</v>
      </c>
      <c r="AJ108" s="878">
        <f>IF('2. Invoer parameters'!$C$10="ja",MIA_BEV_veegvuilwagen*P108,0)</f>
        <v>0</v>
      </c>
      <c r="AK108" s="882">
        <f>IF($L108=0,0,AJ108/($E108*looptijd*$L108))</f>
        <v>0</v>
      </c>
      <c r="AL108" s="881">
        <f>IF(BPM_belasting="nee",(((AD108-AJ108)-BK108)/2)*Rente_financiering,(((AD108-AJ108+AF108)-BL108)/2)*Rente_financiering)</f>
        <v>0</v>
      </c>
      <c r="AM108" s="880">
        <f>IF($L108=0,0,AL108*looptijd/($E108*looptijd*$L108))</f>
        <v>0</v>
      </c>
      <c r="AO108" s="876">
        <f>(H108*verz_die_veegvuilwagen)</f>
        <v>0</v>
      </c>
      <c r="AP108" s="877">
        <f>IF($G108=0,0,(AO108*12*looptijd)/($E108*looptijd*$G108))</f>
        <v>0</v>
      </c>
      <c r="AQ108" s="878">
        <f>(input_MRB_die_veegvuilwagen*$H108)</f>
        <v>0</v>
      </c>
      <c r="AR108" s="877">
        <f>IF($G108=0,0,AQ108/($E108*looptijd*$G108))</f>
        <v>0</v>
      </c>
      <c r="AS108" s="878">
        <f>($E108*H108*(gem_verbr_die_veegvuilwagen/100)*prijs_die)</f>
        <v>0</v>
      </c>
      <c r="AT108" s="877">
        <f>IF($G108=0,0,(AS108*looptijd)/(looptijd*$E108*$G108))</f>
        <v>0</v>
      </c>
      <c r="AU108" s="878">
        <f>($E108*H108*Onderh_die_veegvuilwagen_hoog_km)</f>
        <v>0</v>
      </c>
      <c r="AV108" s="877">
        <f t="shared" si="11"/>
        <v>0</v>
      </c>
      <c r="AW108" s="878">
        <f>Rest_perc*SUM(U108:W108)</f>
        <v>0</v>
      </c>
      <c r="AX108" s="881">
        <f>Rest_perc*SUM(U108:Y108)</f>
        <v>0</v>
      </c>
      <c r="AY108" s="878">
        <f>IF(BTW_verrekening="Ja",((U108+W108)-AW108)/(looptijd*12),((U108+W108+Y108)-AX108)/(looptijd*12))</f>
        <v>0</v>
      </c>
      <c r="AZ108" s="877">
        <f>IF($G108=0,0,(AY108*12*looptijd)/(looptijd*$E108*$G108))</f>
        <v>0</v>
      </c>
      <c r="BA108" s="883">
        <f>(_schadekosten_per_km_huisvuilwagen*E108*G108)/12</f>
        <v>0</v>
      </c>
      <c r="BB108" s="884">
        <f>IF($G108=0,0,(BA108*12*looptijd)/($E108*$G108*looptijd))</f>
        <v>0</v>
      </c>
      <c r="BD108" s="876">
        <f>(M108*verz_die_veegvuilwagen)+(P108*verz_BEV_veegvuilwagen)+(Q108*verz_FCEV_veegvuilwagen)</f>
        <v>0</v>
      </c>
      <c r="BE108" s="877">
        <f>IF($L108=0,0,(BD108*12*looptijd)/($E108*looptijd*$L108))</f>
        <v>0</v>
      </c>
      <c r="BF108" s="878">
        <f>(input_MRB_die_veegvuilwagen*M108)+(input_MRB_BEV_veegvuilwagen*P108)+(input_MRB_FCEV_veegvuilwagen*Q108)</f>
        <v>0</v>
      </c>
      <c r="BG108" s="877">
        <f>IF($L108=0,0,BF108/($E108*looptijd*$L108))</f>
        <v>0</v>
      </c>
      <c r="BH108" s="878">
        <f>($E108*M108*(gem_verbr_die_veegvuilwagen/100)*prijs_die)+($E108*P108*(gem_verbr_BEV_veegvuilwagen/100)*prijs_elek_berekening)+($E108*Q108*(gem_verbr_FCEV_veegvuilwagen_Elek/100)*prijs_elek_berekening*(100%-_verh_H2_accu_veegvuilwagen))+($E108*Q108*(gem_verbr_FCEV_veegvuilwagen_H2/100)*prijs_H2*(_verh_H2_accu_veegvuilwagen))</f>
        <v>0</v>
      </c>
      <c r="BI108" s="877">
        <f>IF($L108=0,0,(BH108*looptijd)/(looptijd*$E108*$L108))</f>
        <v>0</v>
      </c>
      <c r="BJ108" s="885"/>
      <c r="BK108" s="878">
        <f>Rest_perc_ZE*(AD108+AF108)</f>
        <v>0</v>
      </c>
      <c r="BL108" s="878">
        <f>Rest_perc_ZE*(AD108+AF108+AH108)</f>
        <v>0</v>
      </c>
      <c r="BM108" s="885"/>
      <c r="BN108" s="878">
        <f>($E108*M108*Onderh_die_veegvuilwagen_hoog_km)+($E108*P108*Onderh_BEV_veegvuilwagen_hoog_km)+($E108*Q108*Onderh_FCEV_veegvuilwagen_hoog_km)</f>
        <v>0</v>
      </c>
      <c r="BO108" s="877">
        <f>IF($L108=0,0,(BN108*looptijd)/(looptijd*$E108*$L108))</f>
        <v>0</v>
      </c>
      <c r="BP108" s="878"/>
      <c r="BQ108" s="878">
        <f>IF(BTW_verrekening="Ja",((AD108+AF108-AJ108)-BK108)/(looptijd*12),((AD108+AF108+AH108-AJ108)-BL108)/(looptijd*12))</f>
        <v>0</v>
      </c>
      <c r="BR108" s="877">
        <f>IF($G108=0,0,(BQ108*12*looptijd)/(looptijd*$E108*$G108))</f>
        <v>0</v>
      </c>
      <c r="BS108" s="885"/>
      <c r="BT108" s="883">
        <f>(_schadekosten_per_km_veegvuilwagen*E108*L108)/12</f>
        <v>0</v>
      </c>
      <c r="BU108" s="884">
        <f>IF($L108=0,0,(BT108*12*looptijd)/($E108*$L108*looptijd))</f>
        <v>0</v>
      </c>
      <c r="BV108" s="881"/>
      <c r="BW108" s="886">
        <f>(Efac_die_TTW*(gem_verbr_die_veegvuilwagen/100)*$E108*H108)</f>
        <v>0</v>
      </c>
      <c r="BX108" s="887">
        <f>(Efac_die_WTW*(gem_verbr_die_veegvuilwagen/100)*$E108*H108)</f>
        <v>0</v>
      </c>
      <c r="BY108" s="888">
        <f>IF($G108=0,0,(BX108*looptijd)/($E108*$G108*looptijd))</f>
        <v>0</v>
      </c>
      <c r="BZ108" s="889"/>
      <c r="CA108" s="886">
        <f>(Efac_die_TTW*(gem_verbr_die_veegvuilwagen/100)*$E108*M108)+(Efac_elek_berekening_TTW*(gem_verbr_BEV_veegvuilwagen/100)*$E108*P108)+(Efac_elek_berekening_TTW*(gem_verbr_FCEV_veegvuilwagen_Elek/100)*(100%-_verh_H2_accu_veegvuilwagen)*Q108*$E108)+(Efac_H2_berekening_TTW*(gem_verbr_FCEV_veegvuilwagen_H2/100)*(_verh_H2_accu_veegvuilwagen)*Q108*$E108)</f>
        <v>0</v>
      </c>
      <c r="CB108" s="887">
        <f>(Efac_die_WTW*(gem_verbr_die_veegvuilwagen/100)*$E108*M108)+(Efac_elek_berekening_WTW*(gem_verbr_BEV_veegvuilwagen/100)*$E108*P108)+(Efac_elek_berekening_WTW*(gem_verbr_FCEV_veegvuilwagen_Elek/100)*(100%-_verh_H2_accu_veegvuilwagen)*Q108*$E108)+(Efac_H2_berekening_WTW*(gem_verbr_FCEV_veegvuilwagen_H2/100)*(_verh_H2_accu_veegvuilwagen)*Q108*$E108)</f>
        <v>0</v>
      </c>
      <c r="CC108" s="888">
        <f>IF($L108=0,0,(CB108*looptijd)/($L108*$E108*looptijd))</f>
        <v>0</v>
      </c>
    </row>
    <row r="109" spans="1:81">
      <c r="A109" s="891">
        <v>45</v>
      </c>
      <c r="B109" s="894" t="s">
        <v>2044</v>
      </c>
      <c r="C109" s="868" t="s">
        <v>1695</v>
      </c>
      <c r="D109" s="868"/>
      <c r="E109" s="872">
        <v>75000</v>
      </c>
      <c r="F109" s="873"/>
      <c r="G109" s="870">
        <f t="shared" si="13"/>
        <v>0</v>
      </c>
      <c r="H109" s="868">
        <v>0</v>
      </c>
      <c r="I109" s="871">
        <v>0</v>
      </c>
      <c r="J109" s="874">
        <v>0</v>
      </c>
      <c r="K109" s="873"/>
      <c r="L109" s="870">
        <f t="shared" si="12"/>
        <v>0</v>
      </c>
      <c r="M109" s="868">
        <v>0</v>
      </c>
      <c r="N109" s="868">
        <v>0</v>
      </c>
      <c r="O109" s="868">
        <v>0</v>
      </c>
      <c r="P109" s="868">
        <v>0</v>
      </c>
      <c r="Q109" s="872">
        <v>0</v>
      </c>
      <c r="S109" s="875">
        <f>(L109*E109*looptijd)</f>
        <v>0</v>
      </c>
      <c r="U109" s="876">
        <f>(cat_prijs_net_dies_veegvuilwagen*H109)</f>
        <v>0</v>
      </c>
      <c r="V109" s="877">
        <f>IF($G109=0,0,U109/($E109*$G109*looptijd))</f>
        <v>0</v>
      </c>
      <c r="W109" s="878">
        <f>IF(BPM_belasting="ja",(BPM_die_veegvuilwagen*H109),0)</f>
        <v>0</v>
      </c>
      <c r="X109" s="877">
        <f>IF($G109=0,0,W109/($E109*looptijd*$G109))</f>
        <v>0</v>
      </c>
      <c r="Y109" s="879">
        <f>BTW*U109</f>
        <v>0</v>
      </c>
      <c r="Z109" s="879">
        <f>SUM(U109:Y109)</f>
        <v>0</v>
      </c>
      <c r="AA109" s="879">
        <f>IF(BTW_verrekening="ja",((U109+W109-AW109))/2*Rente_financiering,((U109+W109+Y109-AW109)/2)*Rente_financiering)</f>
        <v>0</v>
      </c>
      <c r="AB109" s="880">
        <f>IF(G109=0,0,AA109*looptijd/($E109*looptijd*$G109))</f>
        <v>0</v>
      </c>
      <c r="AD109" s="876">
        <f>(Netto_cat_die_veegvuilwagen*M109)+(Netto_cat_BEV_veegvuilwagen*P109)+(Netto_cat_FCEV_veegvuilwagen*Q109)</f>
        <v>0</v>
      </c>
      <c r="AE109" s="877">
        <f>IF($L109=0,0,AD109/($E109*$L109*looptijd))</f>
        <v>0</v>
      </c>
      <c r="AF109" s="878">
        <f>IF(BPM_belasting="ja",(BPM_benz_A*N109)+(BPM_CNG_A*O109)+(P109*BPM_BEV)+(Q109*BPM_FCEV),0)</f>
        <v>0</v>
      </c>
      <c r="AG109" s="878">
        <f>IF($L109=0,0,AF109/($E109*looptijd*$L109))</f>
        <v>0</v>
      </c>
      <c r="AH109" s="878">
        <f>BTW*AD109</f>
        <v>0</v>
      </c>
      <c r="AI109" s="878">
        <f>SUM(AD109:AH109)</f>
        <v>0</v>
      </c>
      <c r="AJ109" s="878">
        <f>IF('2. Invoer parameters'!$C$10="ja",MIA_BEV_veegvuilwagen*P109,0)</f>
        <v>0</v>
      </c>
      <c r="AK109" s="882">
        <f>IF($L109=0,0,AJ109/($E109*looptijd*$L109))</f>
        <v>0</v>
      </c>
      <c r="AL109" s="881">
        <f>IF(BPM_belasting="nee",(((AD109-AJ109)-BK109)/2)*Rente_financiering,(((AD109-AJ109+AF109)-BL109)/2)*Rente_financiering)</f>
        <v>0</v>
      </c>
      <c r="AM109" s="880">
        <f>IF($L109=0,0,AL109*looptijd/($E109*looptijd*$L109))</f>
        <v>0</v>
      </c>
      <c r="AO109" s="876">
        <f>(H109*verz_die_veegvuilwagen)</f>
        <v>0</v>
      </c>
      <c r="AP109" s="877">
        <f>IF($G109=0,0,(AO109*12*looptijd)/($E109*looptijd*$G109))</f>
        <v>0</v>
      </c>
      <c r="AQ109" s="878">
        <f>(input_MRB_die_veegvuilwagen*$H109)</f>
        <v>0</v>
      </c>
      <c r="AR109" s="877">
        <f>IF($G109=0,0,AQ109/($E109*looptijd*$G109))</f>
        <v>0</v>
      </c>
      <c r="AS109" s="878">
        <f>($E109*H109*(gem_verbr_die_veegvuilwagen/100)*prijs_die)</f>
        <v>0</v>
      </c>
      <c r="AT109" s="877">
        <f>IF($G109=0,0,(AS109*looptijd)/(looptijd*$E109*$G109))</f>
        <v>0</v>
      </c>
      <c r="AU109" s="878">
        <f>($E109*H109*Onderh_die_veegvuilwagen_hoog_km)</f>
        <v>0</v>
      </c>
      <c r="AV109" s="877">
        <f t="shared" si="11"/>
        <v>0</v>
      </c>
      <c r="AW109" s="878">
        <f>Rest_perc*SUM(U109:W109)</f>
        <v>0</v>
      </c>
      <c r="AX109" s="881">
        <f>Rest_perc*SUM(U109:Y109)</f>
        <v>0</v>
      </c>
      <c r="AY109" s="878">
        <f>IF(BTW_verrekening="Ja",((U109+W109)-AW109)/(looptijd*12),((U109+W109+Y109)-AX109)/(looptijd*12))</f>
        <v>0</v>
      </c>
      <c r="AZ109" s="877">
        <f>IF($G109=0,0,(AY109*12*looptijd)/(looptijd*$E109*$G109))</f>
        <v>0</v>
      </c>
      <c r="BA109" s="883">
        <f>(_schadekosten_per_km_huisvuilwagen*E109*G109)/12</f>
        <v>0</v>
      </c>
      <c r="BB109" s="884">
        <f>IF($G109=0,0,(BA109*12*looptijd)/($E109*$G109*looptijd))</f>
        <v>0</v>
      </c>
      <c r="BD109" s="876">
        <f>(M109*verz_die_veegvuilwagen)+(P109*verz_BEV_veegvuilwagen)+(Q109*verz_FCEV_veegvuilwagen)</f>
        <v>0</v>
      </c>
      <c r="BE109" s="877">
        <f>IF($L109=0,0,(BD109*12*looptijd)/($E109*looptijd*$L109))</f>
        <v>0</v>
      </c>
      <c r="BF109" s="878">
        <f>(input_MRB_die_veegvuilwagen*M109)+(input_MRB_BEV_veegvuilwagen*P109)+(input_MRB_FCEV_veegvuilwagen*Q109)</f>
        <v>0</v>
      </c>
      <c r="BG109" s="877">
        <f>IF($L109=0,0,BF109/($E109*looptijd*$L109))</f>
        <v>0</v>
      </c>
      <c r="BH109" s="878">
        <f>($E109*M109*(gem_verbr_die_veegvuilwagen/100)*prijs_die)+($E109*P109*(gem_verbr_BEV_veegvuilwagen/100)*prijs_elek_berekening)+($E109*Q109*(gem_verbr_FCEV_veegvuilwagen_Elek/100)*prijs_elek_berekening*(100%-_verh_H2_accu_veegvuilwagen))+($E109*Q109*(gem_verbr_FCEV_veegvuilwagen_H2/100)*prijs_H2*(_verh_H2_accu_veegvuilwagen))</f>
        <v>0</v>
      </c>
      <c r="BI109" s="877">
        <f>IF($L109=0,0,(BH109*looptijd)/(looptijd*$E109*$L109))</f>
        <v>0</v>
      </c>
      <c r="BJ109" s="885"/>
      <c r="BK109" s="878">
        <f>Rest_perc_ZE*(AD109+AF109)</f>
        <v>0</v>
      </c>
      <c r="BL109" s="878">
        <f>Rest_perc_ZE*(AD109+AF109+AH109)</f>
        <v>0</v>
      </c>
      <c r="BM109" s="885"/>
      <c r="BN109" s="878">
        <f>($E109*M109*Onderh_die_veegvuilwagen_hoog_km)+($E109*P109*Onderh_BEV_veegvuilwagen_hoog_km)+($E109*Q109*Onderh_FCEV_veegvuilwagen_hoog_km)</f>
        <v>0</v>
      </c>
      <c r="BO109" s="877">
        <f>IF($L109=0,0,(BN109*looptijd)/(looptijd*$E109*$L109))</f>
        <v>0</v>
      </c>
      <c r="BP109" s="878"/>
      <c r="BQ109" s="878">
        <f>IF(BTW_verrekening="Ja",((AD109+AF109-AJ109)-BK109)/(looptijd*12),((AD109+AF109+AH109-AJ109)-BL109)/(looptijd*12))</f>
        <v>0</v>
      </c>
      <c r="BR109" s="877">
        <f>IF($G109=0,0,(BQ109*12*looptijd)/(looptijd*$E109*$G109))</f>
        <v>0</v>
      </c>
      <c r="BS109" s="885"/>
      <c r="BT109" s="883">
        <f>(_schadekosten_per_km_veegvuilwagen*E109*L109)/12</f>
        <v>0</v>
      </c>
      <c r="BU109" s="884">
        <f>IF($L109=0,0,(BT109*12*looptijd)/($E109*$L109*looptijd))</f>
        <v>0</v>
      </c>
      <c r="BV109" s="881"/>
      <c r="BW109" s="886">
        <f>(Efac_die_TTW*(gem_verbr_die_veegvuilwagen/100)*$E109*H109)</f>
        <v>0</v>
      </c>
      <c r="BX109" s="887">
        <f>(Efac_die_WTW*(gem_verbr_die_veegvuilwagen/100)*$E109*H109)</f>
        <v>0</v>
      </c>
      <c r="BY109" s="888">
        <f>IF($G109=0,0,(BX109*looptijd)/($E109*$G109*looptijd))</f>
        <v>0</v>
      </c>
      <c r="BZ109" s="889"/>
      <c r="CA109" s="886">
        <f>(Efac_die_TTW*(gem_verbr_die_veegvuilwagen/100)*$E109*M109)+(Efac_elek_berekening_TTW*(gem_verbr_BEV_veegvuilwagen/100)*$E109*P109)+(Efac_elek_berekening_TTW*(gem_verbr_FCEV_veegvuilwagen_Elek/100)*(100%-_verh_H2_accu_veegvuilwagen)*Q109*$E109)+(Efac_H2_berekening_TTW*(gem_verbr_FCEV_veegvuilwagen_H2/100)*(_verh_H2_accu_veegvuilwagen)*Q109*$E109)</f>
        <v>0</v>
      </c>
      <c r="CB109" s="887">
        <f>(Efac_die_WTW*(gem_verbr_die_veegvuilwagen/100)*$E109*M109)+(Efac_elek_berekening_WTW*(gem_verbr_BEV_veegvuilwagen/100)*$E109*P109)+(Efac_elek_berekening_WTW*(gem_verbr_FCEV_veegvuilwagen_Elek/100)*(100%-_verh_H2_accu_veegvuilwagen)*Q109*$E109)+(Efac_H2_berekening_WTW*(gem_verbr_FCEV_veegvuilwagen_H2/100)*(_verh_H2_accu_veegvuilwagen)*Q109*$E109)</f>
        <v>0</v>
      </c>
      <c r="CC109" s="888">
        <f>IF($L109=0,0,(CB109*looptijd)/($L109*$E109*looptijd))</f>
        <v>0</v>
      </c>
    </row>
    <row r="110" spans="1:81">
      <c r="B110" s="867"/>
      <c r="C110" s="889"/>
      <c r="D110" s="889"/>
      <c r="E110" s="869"/>
      <c r="G110" s="870"/>
      <c r="H110" s="868"/>
      <c r="I110" s="868"/>
      <c r="J110" s="872"/>
      <c r="K110" s="873"/>
      <c r="L110" s="870"/>
      <c r="M110" s="868"/>
      <c r="N110" s="868"/>
      <c r="O110" s="868"/>
      <c r="P110" s="868"/>
      <c r="Q110" s="872"/>
      <c r="S110" s="875"/>
      <c r="U110" s="867"/>
      <c r="V110" s="877"/>
      <c r="W110" s="889"/>
      <c r="X110" s="877"/>
      <c r="Y110" s="879"/>
      <c r="Z110" s="879"/>
      <c r="AA110" s="879"/>
      <c r="AB110" s="880"/>
      <c r="AD110" s="867"/>
      <c r="AE110" s="877"/>
      <c r="AF110" s="878"/>
      <c r="AG110" s="878"/>
      <c r="AH110" s="878"/>
      <c r="AI110" s="878"/>
      <c r="AJ110" s="878"/>
      <c r="AK110" s="882"/>
      <c r="AL110" s="881"/>
      <c r="AM110" s="880"/>
      <c r="AO110" s="867"/>
      <c r="AP110" s="877"/>
      <c r="AQ110" s="878"/>
      <c r="AR110" s="877"/>
      <c r="AS110" s="889"/>
      <c r="AT110" s="877"/>
      <c r="AU110" s="889"/>
      <c r="AV110" s="877">
        <f t="shared" si="11"/>
        <v>0</v>
      </c>
      <c r="AW110" s="878"/>
      <c r="AX110" s="881"/>
      <c r="AY110" s="878"/>
      <c r="AZ110" s="877"/>
      <c r="BA110" s="883"/>
      <c r="BB110" s="884"/>
      <c r="BD110" s="876"/>
      <c r="BE110" s="877"/>
      <c r="BF110" s="889"/>
      <c r="BG110" s="877"/>
      <c r="BH110" s="878"/>
      <c r="BI110" s="877"/>
      <c r="BJ110" s="892"/>
      <c r="BK110" s="878"/>
      <c r="BL110" s="878"/>
      <c r="BM110" s="885"/>
      <c r="BN110" s="889"/>
      <c r="BO110" s="877"/>
      <c r="BP110" s="889"/>
      <c r="BQ110" s="878"/>
      <c r="BR110" s="877"/>
      <c r="BS110" s="885"/>
      <c r="BT110" s="883"/>
      <c r="BU110" s="884"/>
      <c r="BV110" s="881"/>
      <c r="BW110" s="886"/>
      <c r="BX110" s="889"/>
      <c r="BY110" s="888"/>
      <c r="BZ110" s="889"/>
      <c r="CA110" s="886"/>
      <c r="CB110" s="889"/>
      <c r="CC110" s="888"/>
    </row>
    <row r="111" spans="1:81">
      <c r="A111" s="891"/>
      <c r="B111" s="894" t="s">
        <v>1637</v>
      </c>
      <c r="C111" s="868" t="s">
        <v>748</v>
      </c>
      <c r="D111" s="868"/>
      <c r="E111" s="869">
        <f>$E$3</f>
        <v>10000</v>
      </c>
      <c r="F111" s="873"/>
      <c r="G111" s="870">
        <f t="shared" ref="G111:G115" si="14">SUM(H111:J111)</f>
        <v>0</v>
      </c>
      <c r="H111" s="868">
        <f t="array" ref="H111:H115">TRANSPOSE('1a. Invoer - BESTAAND'!J25:N25)</f>
        <v>0</v>
      </c>
      <c r="I111" s="871">
        <v>0</v>
      </c>
      <c r="J111" s="874">
        <v>0</v>
      </c>
      <c r="K111" s="873"/>
      <c r="L111" s="870">
        <f t="shared" ref="L111:L115" si="15">SUM(M111:Q111)</f>
        <v>0</v>
      </c>
      <c r="M111" s="868">
        <v>0</v>
      </c>
      <c r="N111" s="868">
        <v>0</v>
      </c>
      <c r="O111" s="868">
        <v>0</v>
      </c>
      <c r="P111" s="868">
        <f t="array" ref="P111:P115">TRANSPOSE('1b. Invoer - NIEUW'!E27:I27)</f>
        <v>0</v>
      </c>
      <c r="Q111" s="872">
        <f t="array" ref="Q111:Q115">TRANSPOSE('1b. Invoer - NIEUW'!J27:N27)</f>
        <v>0</v>
      </c>
      <c r="S111" s="875">
        <f>(L111*E111*looptijd)</f>
        <v>0</v>
      </c>
      <c r="U111" s="876">
        <f>(cat_prijs_net_dies_vuilniswagen*H111)</f>
        <v>0</v>
      </c>
      <c r="V111" s="877">
        <f>IF($G111=0,0,U111/($E111*$G111*looptijd))</f>
        <v>0</v>
      </c>
      <c r="W111" s="878">
        <f>IF(BPM_belasting="ja",(BPM_die_vuilniswagen*H111))</f>
        <v>0</v>
      </c>
      <c r="X111" s="877">
        <f>IF($G111=0,0,W111/($E111*looptijd*$G111))</f>
        <v>0</v>
      </c>
      <c r="Y111" s="879">
        <f>BTW*U111</f>
        <v>0</v>
      </c>
      <c r="Z111" s="879">
        <f>SUM(U111:Y111)</f>
        <v>0</v>
      </c>
      <c r="AA111" s="879">
        <f>IF(BTW_verrekening="ja",((U111+W111-AW111))/2*Rente_financiering,((U111+W111+Y111-AW111)/2)*Rente_financiering)</f>
        <v>0</v>
      </c>
      <c r="AB111" s="880">
        <f>IF(G111=0,0,AA111*looptijd/($E111*looptijd*$G111))</f>
        <v>0</v>
      </c>
      <c r="AD111" s="876">
        <f>(Netto_cat_die_vuilniswagen*M111)+(Netto_cat_BEV_vuilniswagen*P111)+(Netto_cat_FCEV_vuilniswagen*Q111)</f>
        <v>0</v>
      </c>
      <c r="AE111" s="877">
        <f>IF($L111=0,0,AD111/($E111*$L111*looptijd))</f>
        <v>0</v>
      </c>
      <c r="AF111" s="878">
        <f>IF(BPM_belasting="ja",(BPM_benz_A*N111)+(BPM_CNG_A*O111)+(P111*BPM_BEV)+(Q111*BPM_FCEV),0)</f>
        <v>0</v>
      </c>
      <c r="AG111" s="878">
        <f>IF($L111=0,0,AF111/($E111*looptijd*$L111))</f>
        <v>0</v>
      </c>
      <c r="AH111" s="878">
        <f>BTW*AD111</f>
        <v>0</v>
      </c>
      <c r="AI111" s="878">
        <f>SUM(AD111:AH111)</f>
        <v>0</v>
      </c>
      <c r="AJ111" s="878">
        <f>IF('2. Invoer parameters'!$C$10="ja",MIA_BEV_vuilniswagen*P111,0)</f>
        <v>0</v>
      </c>
      <c r="AK111" s="882">
        <f>IF($L111=0,0,AJ111/($E111*looptijd*$L111))</f>
        <v>0</v>
      </c>
      <c r="AL111" s="881">
        <f>IF(BPM_belasting="nee",(((AD111-AJ111)-BK111)/2)*Rente_financiering,(((AD111-AJ111+AF111)-BL111)/2)*Rente_financiering)</f>
        <v>0</v>
      </c>
      <c r="AM111" s="880">
        <f>IF($L111=0,0,AL111*looptijd/($E111*looptijd*$L111))</f>
        <v>0</v>
      </c>
      <c r="AO111" s="876">
        <f>(H111*verz_die_vuilniswagen)</f>
        <v>0</v>
      </c>
      <c r="AP111" s="877">
        <f>IF($G111=0,0,(AO111*12*looptijd)/($E111*looptijd*$G111))</f>
        <v>0</v>
      </c>
      <c r="AQ111" s="878">
        <f>(input_MRB_die_vuilniswagen*$H111)</f>
        <v>0</v>
      </c>
      <c r="AR111" s="877">
        <f>IF($G111=0,0,AQ111/($E111*looptijd*$G111))</f>
        <v>0</v>
      </c>
      <c r="AS111" s="878">
        <f>($E111*H111*(gem_verbr_die_vuilniswagen/100)*prijs_die)</f>
        <v>0</v>
      </c>
      <c r="AT111" s="877">
        <f>IF($G111=0,0,(AS111*looptijd)/(looptijd*$E111*$G111))</f>
        <v>0</v>
      </c>
      <c r="AU111" s="878">
        <f>($E111*H111*Onderh_die_vuilniswagen)</f>
        <v>0</v>
      </c>
      <c r="AV111" s="877">
        <f t="shared" si="11"/>
        <v>0</v>
      </c>
      <c r="AW111" s="878">
        <f>Rest_perc_huisvuil*SUM(U111:W111)</f>
        <v>0</v>
      </c>
      <c r="AX111" s="881">
        <f>Rest_perc_huisvuil*SUM(U111:Y111)</f>
        <v>0</v>
      </c>
      <c r="AY111" s="878">
        <f>IF(BTW_verrekening="Ja",((U111+W111)-AW111)/(looptijd*12),((U111+W111+Y111)-AX111)/(looptijd*12))</f>
        <v>0</v>
      </c>
      <c r="AZ111" s="877">
        <f>IF($G111=0,0,(AY111*12*looptijd)/(looptijd*$E111*$G111))</f>
        <v>0</v>
      </c>
      <c r="BA111" s="883">
        <f>(_schadekosten_per_km_huisvuilwagen*E111*G111)/12</f>
        <v>0</v>
      </c>
      <c r="BB111" s="884">
        <f>IF($G111=0,0,(BA111*12*looptijd)/($E111*$G111*looptijd))</f>
        <v>0</v>
      </c>
      <c r="BD111" s="876">
        <f>(M111*verz_die_vuilniswagen)+(P111*verz_BEV_vuilniswagen)+(Q111*verz_FCEV_vuilniswagen)</f>
        <v>0</v>
      </c>
      <c r="BE111" s="877">
        <f>IF($L111=0,0,(BD111*12*looptijd)/($E111*looptijd*$L111))</f>
        <v>0</v>
      </c>
      <c r="BF111" s="878">
        <f>(input_MRB_die_vuilniswagen*M111)+(input_MRB_BEV_vuilniswagen*P111)+(input_MRB_FCEV_vuilniswagen*Q111)</f>
        <v>0</v>
      </c>
      <c r="BG111" s="877">
        <f>IF($L111=0,0,BF111/($E111*looptijd*$L111))</f>
        <v>0</v>
      </c>
      <c r="BH111" s="878">
        <f>($E111*M111*(gem_verbr_die_vuilniswagen/100)*prijs_die)+($E111*P111*(gem_verbr_BEV_vuilniswagen/100)*prijs_elek_berekening)+($E111*Q111*(gem_verbr_FCEV_vuilniswagen_Elek/100)*prijs_elek_berekening*(100%-_verh_H2_accu_vuilniswagen))+($E111*Q111*(gem_verbr_FCEV_vuilniswagen_H2/100)*prijs_H2*(_verh_H2_accu_vuilniswagen))</f>
        <v>0</v>
      </c>
      <c r="BI111" s="877">
        <f>IF($L111=0,0,(BH111*looptijd)/(looptijd*$E111*$L111))</f>
        <v>0</v>
      </c>
      <c r="BJ111" s="885"/>
      <c r="BK111" s="878">
        <f>Rest_perc_huisvuil*(AD111+AF111)</f>
        <v>0</v>
      </c>
      <c r="BL111" s="878">
        <f>Rest_perc_huisvuil*(AD111+AF111+AH111)</f>
        <v>0</v>
      </c>
      <c r="BM111" s="885"/>
      <c r="BN111" s="878">
        <f>($E111*M111*Onderh_die_vuilniswagen)+($E111*P111*Onderh_BEV_vuilniswagen)+($E111*Q111*Onderh_FCEV_vuilniswagen)</f>
        <v>0</v>
      </c>
      <c r="BO111" s="877">
        <f>IF($L111=0,0,(BN111*looptijd)/(looptijd*$E111*$L111))</f>
        <v>0</v>
      </c>
      <c r="BP111" s="878"/>
      <c r="BQ111" s="878">
        <f>IF(BTW_verrekening="Ja",((AD111+AF111-AJ111)-BK111)/(looptijd*12),((AD111+AF111+AH111-AJ111)-BL111)/(looptijd*12))</f>
        <v>0</v>
      </c>
      <c r="BR111" s="877">
        <f>IF($G111=0,0,(BQ111*12*looptijd)/(looptijd*$E111*$G111))</f>
        <v>0</v>
      </c>
      <c r="BS111" s="885"/>
      <c r="BT111" s="883">
        <f>(_schadekosten_per_km_huisvuilwagen*E111*L111)/12</f>
        <v>0</v>
      </c>
      <c r="BU111" s="884">
        <f>IF($L111=0,0,(BT111*12*looptijd)/($E111*$L111*looptijd))</f>
        <v>0</v>
      </c>
      <c r="BV111" s="881"/>
      <c r="BW111" s="886">
        <f>(Efac_die_TTW*(gem_verbr_die_vuilniswagen/100)*$E111*H111)</f>
        <v>0</v>
      </c>
      <c r="BX111" s="887">
        <f>(Efac_die_WTW*(gem_verbr_die_vuilniswagen/100)*$E111*H111)</f>
        <v>0</v>
      </c>
      <c r="BY111" s="888">
        <f>IF($G111=0,0,(BX111*looptijd)/($E111*$G111*looptijd))</f>
        <v>0</v>
      </c>
      <c r="BZ111" s="889"/>
      <c r="CA111" s="886">
        <f>(Efac_die_TTW*(gem_verbr_die_vuilniswagen/100)*$E111*M111)+(Efac_elek_berekening_TTW*(gem_verbr_BEV_vuilniswagen/100)*$E111*P111)+(Efac_elek_berekening_TTW*(gem_verbr_FCEV_vuilniswagen_Elek/100)*(100%-_verh_H2_accu_vuilniswagen)*Q111*$E111)+(Efac_H2_berekening_TTW*(gem_verbr_FCEV_vuilniswagen_H2/100)*(_verh_H2_accu_vuilniswagen)*Q111*$E111)</f>
        <v>0</v>
      </c>
      <c r="CB111" s="887">
        <f>(Efac_die_WTW*(gem_verbr_die_vuilniswagen/100)*$E111*M111)+(Efac_elek_berekening_WTW*(gem_verbr_BEV_vuilniswagen/100)*$E111*P111)+(Efac_elek_berekening_WTW*(gem_verbr_FCEV_vuilniswagen_Elek/100)*(100%-_verh_H2_accu_vuilniswagen)*Q111*$E111)+(Efac_H2_berekening_WTW*(gem_verbr_FCEV_vuilniswagen_H2/100)*(_verh_H2_accu_vuilniswagen)*Q111*$E111)</f>
        <v>0</v>
      </c>
      <c r="CC111" s="888">
        <f>IF($L111=0,0,(CB111*looptijd)/($L111*$E111*looptijd))</f>
        <v>0</v>
      </c>
    </row>
    <row r="112" spans="1:81">
      <c r="A112" s="891"/>
      <c r="B112" s="894" t="s">
        <v>1637</v>
      </c>
      <c r="C112" s="868" t="s">
        <v>749</v>
      </c>
      <c r="D112" s="868"/>
      <c r="E112" s="869">
        <f>$E$4</f>
        <v>15000</v>
      </c>
      <c r="F112" s="873"/>
      <c r="G112" s="870">
        <f t="shared" si="14"/>
        <v>0</v>
      </c>
      <c r="H112" s="868">
        <v>0</v>
      </c>
      <c r="I112" s="871">
        <v>0</v>
      </c>
      <c r="J112" s="874">
        <v>0</v>
      </c>
      <c r="K112" s="873"/>
      <c r="L112" s="870">
        <f t="shared" si="15"/>
        <v>0</v>
      </c>
      <c r="M112" s="868">
        <v>0</v>
      </c>
      <c r="N112" s="868">
        <v>0</v>
      </c>
      <c r="O112" s="868">
        <v>0</v>
      </c>
      <c r="P112" s="868">
        <v>0</v>
      </c>
      <c r="Q112" s="872">
        <v>0</v>
      </c>
      <c r="S112" s="875">
        <f>(L112*E112*looptijd)</f>
        <v>0</v>
      </c>
      <c r="U112" s="876">
        <f>(cat_prijs_net_dies_vuilniswagen*H112)</f>
        <v>0</v>
      </c>
      <c r="V112" s="877">
        <f>IF($G112=0,0,U112/($E112*$G112*looptijd))</f>
        <v>0</v>
      </c>
      <c r="W112" s="878">
        <f>IF(BPM_belasting="ja",(BPM_die_vuilniswagen*H112))</f>
        <v>0</v>
      </c>
      <c r="X112" s="877">
        <f>IF($G112=0,0,W112/($E112*looptijd*$G112))</f>
        <v>0</v>
      </c>
      <c r="Y112" s="879">
        <f>BTW*U112</f>
        <v>0</v>
      </c>
      <c r="Z112" s="879">
        <f t="shared" ref="Z112:Z115" si="16">SUM(U112:Y112)</f>
        <v>0</v>
      </c>
      <c r="AA112" s="879">
        <f>IF(BTW_verrekening="ja",((U112+W112-AW112))/2*Rente_financiering,((U112+W112+Y112-AW112)/2)*Rente_financiering)</f>
        <v>0</v>
      </c>
      <c r="AB112" s="880">
        <f>IF(G112=0,0,AA112*looptijd/($E112*looptijd*$G112))</f>
        <v>0</v>
      </c>
      <c r="AD112" s="876">
        <f>(Netto_cat_die_vuilniswagen*M112)+(Netto_cat_BEV_vuilniswagen*P112)+(Netto_cat_FCEV_vuilniswagen*Q112)</f>
        <v>0</v>
      </c>
      <c r="AE112" s="877">
        <f>IF($L112=0,0,AD112/($E112*$L112*looptijd))</f>
        <v>0</v>
      </c>
      <c r="AF112" s="878">
        <f>IF(BPM_belasting="ja",(BPM_benz_A*N112)+(BPM_CNG_A*O112)+(P112*BPM_BEV)+(Q112*BPM_FCEV),0)</f>
        <v>0</v>
      </c>
      <c r="AG112" s="878">
        <f>IF($L112=0,0,AF112/($E112*looptijd*$L112))</f>
        <v>0</v>
      </c>
      <c r="AH112" s="878">
        <f>BTW*AD112</f>
        <v>0</v>
      </c>
      <c r="AI112" s="878">
        <f>SUM(AD112:AH112)</f>
        <v>0</v>
      </c>
      <c r="AJ112" s="878">
        <f>IF('2. Invoer parameters'!$C$10="ja",MIA_BEV_vuilniswagen*P112,0)</f>
        <v>0</v>
      </c>
      <c r="AK112" s="882">
        <f>IF($L112=0,0,AJ112/($E112*looptijd*$L112))</f>
        <v>0</v>
      </c>
      <c r="AL112" s="881">
        <f>IF(BPM_belasting="nee",(((AD112-AJ112)-BK112)/2)*Rente_financiering,(((AD112-AJ112+AF112)-BL112)/2)*Rente_financiering)</f>
        <v>0</v>
      </c>
      <c r="AM112" s="880">
        <f>IF($L112=0,0,AL112*looptijd/($E112*looptijd*$L112))</f>
        <v>0</v>
      </c>
      <c r="AO112" s="876">
        <f>(H112*verz_die_vuilniswagen)</f>
        <v>0</v>
      </c>
      <c r="AP112" s="877">
        <f>IF($G112=0,0,(AO112*12*looptijd)/($E112*looptijd*$G112))</f>
        <v>0</v>
      </c>
      <c r="AQ112" s="878">
        <f>(input_MRB_die_vuilniswagen*$H112)</f>
        <v>0</v>
      </c>
      <c r="AR112" s="877">
        <f>IF($G112=0,0,AQ112/($E112*looptijd*$G112))</f>
        <v>0</v>
      </c>
      <c r="AS112" s="878">
        <f>($E112*H112*(gem_verbr_die_vuilniswagen/100)*prijs_die)</f>
        <v>0</v>
      </c>
      <c r="AT112" s="877">
        <f>IF($G112=0,0,(AS112*looptijd)/(looptijd*$E112*$G112))</f>
        <v>0</v>
      </c>
      <c r="AU112" s="878">
        <f>($E112*H112*Onderh_die_vuilniswagen)</f>
        <v>0</v>
      </c>
      <c r="AV112" s="877">
        <f t="shared" si="11"/>
        <v>0</v>
      </c>
      <c r="AW112" s="878">
        <f>Rest_perc_huisvuil*SUM(U112:W112)</f>
        <v>0</v>
      </c>
      <c r="AX112" s="881">
        <f>Rest_perc_huisvuil*SUM(U112:Y112)</f>
        <v>0</v>
      </c>
      <c r="AY112" s="878">
        <f>IF(BTW_verrekening="Ja",((U112+W112)-AW112)/(looptijd*12),((U112+W112+Y112)-AX112)/(looptijd*12))</f>
        <v>0</v>
      </c>
      <c r="AZ112" s="877">
        <f>IF($G112=0,0,(AY112*12*looptijd)/(looptijd*$E112*$G112))</f>
        <v>0</v>
      </c>
      <c r="BA112" s="883">
        <f>(_schadekosten_per_km_huisvuilwagen*E112*G112)/12</f>
        <v>0</v>
      </c>
      <c r="BB112" s="884">
        <f>IF($G112=0,0,(BA112*12*looptijd)/($E112*$G112*looptijd))</f>
        <v>0</v>
      </c>
      <c r="BD112" s="876">
        <f>(M112*verz_die_vuilniswagen)+(P112*verz_BEV_vuilniswagen)+(Q112*verz_FCEV_vuilniswagen)</f>
        <v>0</v>
      </c>
      <c r="BE112" s="877">
        <f>IF($L112=0,0,(BD112*12*looptijd)/($E112*looptijd*$L112))</f>
        <v>0</v>
      </c>
      <c r="BF112" s="878">
        <f>(input_MRB_die_vuilniswagen*M112)+(input_MRB_BEV_vuilniswagen*P112)+(input_MRB_FCEV_vuilniswagen*Q112)</f>
        <v>0</v>
      </c>
      <c r="BG112" s="877">
        <f>IF($L112=0,0,BF112/($E112*looptijd*$L112))</f>
        <v>0</v>
      </c>
      <c r="BH112" s="878">
        <f>($E112*M112*(gem_verbr_die_vuilniswagen/100)*prijs_die)+($E112*P112*(gem_verbr_BEV_vuilniswagen/100)*prijs_elek_berekening)+($E112*Q112*(gem_verbr_FCEV_vuilniswagen_Elek/100)*prijs_elek_berekening*(100%-_verh_H2_accu_vuilniswagen))+($E112*Q112*(gem_verbr_FCEV_vuilniswagen_H2/100)*prijs_H2*(_verh_H2_accu_vuilniswagen))</f>
        <v>0</v>
      </c>
      <c r="BI112" s="877">
        <f>IF($L112=0,0,(BH112*looptijd)/(looptijd*$E112*$L112))</f>
        <v>0</v>
      </c>
      <c r="BJ112" s="885"/>
      <c r="BK112" s="878">
        <f>Rest_perc_huisvuil*(AD112+AF112)</f>
        <v>0</v>
      </c>
      <c r="BL112" s="878">
        <f>Rest_perc_huisvuil*(AD112+AF112+AH112)</f>
        <v>0</v>
      </c>
      <c r="BM112" s="885"/>
      <c r="BN112" s="878">
        <f>($E112*M112*Onderh_die_vuilniswagen)+($E112*P112*Onderh_BEV_vuilniswagen)+($E112*Q112*Onderh_FCEV_vuilniswagen)</f>
        <v>0</v>
      </c>
      <c r="BO112" s="877">
        <f>IF($L112=0,0,(BN112*looptijd)/(looptijd*$E112*$L112))</f>
        <v>0</v>
      </c>
      <c r="BP112" s="878"/>
      <c r="BQ112" s="878">
        <f>IF(BTW_verrekening="Ja",((AD112+AF112-AJ112)-BK112)/(looptijd*12),((AD112+AF112+AH112-AJ112)-BL112)/(looptijd*12))</f>
        <v>0</v>
      </c>
      <c r="BR112" s="877">
        <f>IF($G112=0,0,(BQ112*12*looptijd)/(looptijd*$E112*$G112))</f>
        <v>0</v>
      </c>
      <c r="BS112" s="885"/>
      <c r="BT112" s="883">
        <f>(_schadekosten_per_km_huisvuilwagen*E112*L112)/12</f>
        <v>0</v>
      </c>
      <c r="BU112" s="884">
        <f>IF($L112=0,0,(BT112*12*looptijd)/($E112*$L112*looptijd))</f>
        <v>0</v>
      </c>
      <c r="BV112" s="881"/>
      <c r="BW112" s="886">
        <f>(Efac_die_TTW*(gem_verbr_die_vuilniswagen/100)*$E112*H112)</f>
        <v>0</v>
      </c>
      <c r="BX112" s="887">
        <f>(Efac_die_WTW*(gem_verbr_die_vuilniswagen/100)*$E112*H112)</f>
        <v>0</v>
      </c>
      <c r="BY112" s="888">
        <f>IF($G112=0,0,(BX112*looptijd)/($E112*$G112*looptijd))</f>
        <v>0</v>
      </c>
      <c r="BZ112" s="889"/>
      <c r="CA112" s="886">
        <f>(Efac_die_TTW*(gem_verbr_die_vuilniswagen/100)*$E112*M112)+(Efac_elek_berekening_TTW*(gem_verbr_BEV_vuilniswagen/100)*$E112*P112)+(Efac_elek_berekening_TTW*(gem_verbr_FCEV_vuilniswagen_Elek/100)*(100%-_verh_H2_accu_vuilniswagen)*Q112*$E112)+(Efac_H2_berekening_TTW*(gem_verbr_FCEV_vuilniswagen_H2/100)*(_verh_H2_accu_vuilniswagen)*Q112*$E112)</f>
        <v>0</v>
      </c>
      <c r="CB112" s="887">
        <f>(Efac_die_WTW*(gem_verbr_die_vuilniswagen/100)*$E112*M112)+(Efac_elek_berekening_WTW*(gem_verbr_BEV_vuilniswagen/100)*$E112*P112)+(Efac_elek_berekening_WTW*(gem_verbr_FCEV_vuilniswagen_Elek/100)*(100%-_verh_H2_accu_vuilniswagen)*Q112*$E112)+(Efac_H2_berekening_WTW*(gem_verbr_FCEV_vuilniswagen_H2/100)*(_verh_H2_accu_vuilniswagen)*Q112*$E112)</f>
        <v>0</v>
      </c>
      <c r="CC112" s="888">
        <f>IF($L112=0,0,(CB112*looptijd)/($L112*$E112*looptijd))</f>
        <v>0</v>
      </c>
    </row>
    <row r="113" spans="1:81">
      <c r="A113" s="891"/>
      <c r="B113" s="894" t="s">
        <v>1637</v>
      </c>
      <c r="C113" s="899" t="s">
        <v>750</v>
      </c>
      <c r="D113" s="899"/>
      <c r="E113" s="869">
        <f>$E$5</f>
        <v>25000</v>
      </c>
      <c r="F113" s="873"/>
      <c r="G113" s="870">
        <f t="shared" si="14"/>
        <v>0</v>
      </c>
      <c r="H113" s="868">
        <v>0</v>
      </c>
      <c r="I113" s="871">
        <v>0</v>
      </c>
      <c r="J113" s="874">
        <v>0</v>
      </c>
      <c r="K113" s="873"/>
      <c r="L113" s="870">
        <f t="shared" si="15"/>
        <v>0</v>
      </c>
      <c r="M113" s="868">
        <v>0</v>
      </c>
      <c r="N113" s="868">
        <v>0</v>
      </c>
      <c r="O113" s="868">
        <v>0</v>
      </c>
      <c r="P113" s="868">
        <v>0</v>
      </c>
      <c r="Q113" s="872">
        <v>0</v>
      </c>
      <c r="S113" s="875">
        <f>(L113*E113*looptijd)</f>
        <v>0</v>
      </c>
      <c r="U113" s="876">
        <f>(cat_prijs_net_dies_vuilniswagen*H113)</f>
        <v>0</v>
      </c>
      <c r="V113" s="877">
        <f>IF($G113=0,0,U113/($E113*$G113*looptijd))</f>
        <v>0</v>
      </c>
      <c r="W113" s="878">
        <f>IF(BPM_belasting="ja",(BPM_die_vuilniswagen*H113))</f>
        <v>0</v>
      </c>
      <c r="X113" s="877">
        <f>IF($G113=0,0,W113/($E113*looptijd*$G113))</f>
        <v>0</v>
      </c>
      <c r="Y113" s="879">
        <f>BTW*U113</f>
        <v>0</v>
      </c>
      <c r="Z113" s="879">
        <f t="shared" si="16"/>
        <v>0</v>
      </c>
      <c r="AA113" s="879">
        <f>IF(BTW_verrekening="ja",((U113+W113-AW113))/2*Rente_financiering,((U113+W113+Y113-AW113)/2)*Rente_financiering)</f>
        <v>0</v>
      </c>
      <c r="AB113" s="880">
        <f>IF(G113=0,0,AA113*looptijd/($E113*looptijd*$G113))</f>
        <v>0</v>
      </c>
      <c r="AD113" s="876">
        <f>(Netto_cat_die_vuilniswagen*M113)+(Netto_cat_BEV_vuilniswagen*P113)+(Netto_cat_FCEV_vuilniswagen*Q113)</f>
        <v>0</v>
      </c>
      <c r="AE113" s="877">
        <f>IF($L113=0,0,AD113/($E113*$L113*looptijd))</f>
        <v>0</v>
      </c>
      <c r="AF113" s="878">
        <f>IF(BPM_belasting="ja",(BPM_benz_A*N113)+(BPM_CNG_A*O113)+(P113*BPM_BEV)+(Q113*BPM_FCEV),0)</f>
        <v>0</v>
      </c>
      <c r="AG113" s="878">
        <f>IF($L113=0,0,AF113/($E113*looptijd*$L113))</f>
        <v>0</v>
      </c>
      <c r="AH113" s="878">
        <f>BTW*AD113</f>
        <v>0</v>
      </c>
      <c r="AI113" s="878">
        <f>SUM(AD113:AH113)</f>
        <v>0</v>
      </c>
      <c r="AJ113" s="878">
        <f>IF('2. Invoer parameters'!$C$10="ja",MIA_BEV_vuilniswagen*P113,0)</f>
        <v>0</v>
      </c>
      <c r="AK113" s="882">
        <f>IF($L113=0,0,AJ113/($E113*looptijd*$L113))</f>
        <v>0</v>
      </c>
      <c r="AL113" s="881">
        <f>IF(BPM_belasting="nee",(((AD113-AJ113)-BK113)/2)*Rente_financiering,(((AD113-AJ113+AF113)-BL113)/2)*Rente_financiering)</f>
        <v>0</v>
      </c>
      <c r="AM113" s="880">
        <f>IF($L113=0,0,AL113*looptijd/($E113*looptijd*$L113))</f>
        <v>0</v>
      </c>
      <c r="AO113" s="876">
        <f>(H113*verz_die_vuilniswagen)</f>
        <v>0</v>
      </c>
      <c r="AP113" s="877">
        <f>IF($G113=0,0,(AO113*12*looptijd)/($E113*looptijd*$G113))</f>
        <v>0</v>
      </c>
      <c r="AQ113" s="878">
        <f>(input_MRB_die_vuilniswagen*$H113)</f>
        <v>0</v>
      </c>
      <c r="AR113" s="877">
        <f>IF($G113=0,0,AQ113/($E113*looptijd*$G113))</f>
        <v>0</v>
      </c>
      <c r="AS113" s="878">
        <f>($E113*H113*(gem_verbr_die_vuilniswagen/100)*prijs_die)</f>
        <v>0</v>
      </c>
      <c r="AT113" s="877">
        <f>IF($G113=0,0,(AS113*looptijd)/(looptijd*$E113*$G113))</f>
        <v>0</v>
      </c>
      <c r="AU113" s="878">
        <f>($E113*H113*Onderh_die_vuilniswagen)</f>
        <v>0</v>
      </c>
      <c r="AV113" s="877">
        <f t="shared" si="11"/>
        <v>0</v>
      </c>
      <c r="AW113" s="878">
        <f>Rest_perc_huisvuil*SUM(U113:W113)</f>
        <v>0</v>
      </c>
      <c r="AX113" s="881">
        <f>Rest_perc_huisvuil*SUM(U113:Y113)</f>
        <v>0</v>
      </c>
      <c r="AY113" s="878">
        <f>IF(BTW_verrekening="Ja",((U113+W113)-AW113)/(looptijd*12),((U113+W113+Y113)-AX113)/(looptijd*12))</f>
        <v>0</v>
      </c>
      <c r="AZ113" s="877">
        <f>IF($G113=0,0,(AY113*12*looptijd)/(looptijd*$E113*$G113))</f>
        <v>0</v>
      </c>
      <c r="BA113" s="883">
        <f>(_schadekosten_per_km_huisvuilwagen*E113*G113)/12</f>
        <v>0</v>
      </c>
      <c r="BB113" s="884">
        <f>IF($G113=0,0,(BA113*12*looptijd)/($E113*$G113*looptijd))</f>
        <v>0</v>
      </c>
      <c r="BD113" s="876">
        <f>(M113*verz_die_vuilniswagen)+(P113*verz_BEV_vuilniswagen)+(Q113*verz_FCEV_vuilniswagen)</f>
        <v>0</v>
      </c>
      <c r="BE113" s="877">
        <f>IF($L113=0,0,(BD113*12*looptijd)/($E113*looptijd*$L113))</f>
        <v>0</v>
      </c>
      <c r="BF113" s="878">
        <f>(input_MRB_die_vuilniswagen*M113)+(input_MRB_BEV_vuilniswagen*P113)+(input_MRB_FCEV_vuilniswagen*Q113)</f>
        <v>0</v>
      </c>
      <c r="BG113" s="877">
        <f>IF($L113=0,0,BF113/($E113*looptijd*$L113))</f>
        <v>0</v>
      </c>
      <c r="BH113" s="878">
        <f>($E113*M113*(gem_verbr_die_vuilniswagen/100)*prijs_die)+($E113*P113*(gem_verbr_BEV_vuilniswagen/100)*prijs_elek_berekening)+($E113*Q113*(gem_verbr_FCEV_vuilniswagen_Elek/100)*prijs_elek_berekening*(100%-_verh_H2_accu_vuilniswagen))+($E113*Q113*(gem_verbr_FCEV_vuilniswagen_H2/100)*prijs_H2*(_verh_H2_accu_vuilniswagen))</f>
        <v>0</v>
      </c>
      <c r="BI113" s="877">
        <f>IF($L113=0,0,(BH113*looptijd)/(looptijd*$E113*$L113))</f>
        <v>0</v>
      </c>
      <c r="BJ113" s="885"/>
      <c r="BK113" s="878">
        <f>Rest_perc_huisvuil*(AD113+AF113)</f>
        <v>0</v>
      </c>
      <c r="BL113" s="878">
        <f>Rest_perc_huisvuil*(AD113+AF113+AH113)</f>
        <v>0</v>
      </c>
      <c r="BM113" s="885"/>
      <c r="BN113" s="878">
        <f>($E113*M113*Onderh_die_vuilniswagen)+($E113*P113*Onderh_BEV_vuilniswagen)+($E113*Q113*Onderh_FCEV_vuilniswagen)</f>
        <v>0</v>
      </c>
      <c r="BO113" s="877">
        <f>IF($L113=0,0,(BN113*looptijd)/(looptijd*$E113*$L113))</f>
        <v>0</v>
      </c>
      <c r="BP113" s="878"/>
      <c r="BQ113" s="878">
        <f>IF(BTW_verrekening="Ja",((AD113+AF113-AJ113)-BK113)/(looptijd*12),((AD113+AF113+AH113-AJ113)-BL113)/(looptijd*12))</f>
        <v>0</v>
      </c>
      <c r="BR113" s="877">
        <f>IF($G113=0,0,(BQ113*12*looptijd)/(looptijd*$E113*$G113))</f>
        <v>0</v>
      </c>
      <c r="BS113" s="885"/>
      <c r="BT113" s="883">
        <f>(_schadekosten_per_km_huisvuilwagen*E113*L113)/12</f>
        <v>0</v>
      </c>
      <c r="BU113" s="884">
        <f>IF($L113=0,0,(BT113*12*looptijd)/($E113*$L113*looptijd))</f>
        <v>0</v>
      </c>
      <c r="BV113" s="881"/>
      <c r="BW113" s="886">
        <f>(Efac_die_TTW*(gem_verbr_die_vuilniswagen/100)*$E113*H113)</f>
        <v>0</v>
      </c>
      <c r="BX113" s="887">
        <f>(Efac_die_WTW*(gem_verbr_die_vuilniswagen/100)*$E113*H113)</f>
        <v>0</v>
      </c>
      <c r="BY113" s="888">
        <f>IF($G113=0,0,(BX113*looptijd)/($E113*$G113*looptijd))</f>
        <v>0</v>
      </c>
      <c r="BZ113" s="889"/>
      <c r="CA113" s="886">
        <f>(Efac_die_TTW*(gem_verbr_die_vuilniswagen/100)*$E113*M113)+(Efac_elek_berekening_TTW*(gem_verbr_BEV_vuilniswagen/100)*$E113*P113)+(Efac_elek_berekening_TTW*(gem_verbr_FCEV_vuilniswagen_Elek/100)*(100%-_verh_H2_accu_vuilniswagen)*Q113*$E113)+(Efac_H2_berekening_TTW*(gem_verbr_FCEV_vuilniswagen_H2/100)*(_verh_H2_accu_vuilniswagen)*Q113*$E113)</f>
        <v>0</v>
      </c>
      <c r="CB113" s="887">
        <f>(Efac_die_WTW*(gem_verbr_die_vuilniswagen/100)*$E113*M113)+(Efac_elek_berekening_WTW*(gem_verbr_BEV_vuilniswagen/100)*$E113*P113)+(Efac_elek_berekening_WTW*(gem_verbr_FCEV_vuilniswagen_Elek/100)*(100%-_verh_H2_accu_vuilniswagen)*Q113*$E113)+(Efac_H2_berekening_WTW*(gem_verbr_FCEV_vuilniswagen_H2/100)*(_verh_H2_accu_vuilniswagen)*Q113*$E113)</f>
        <v>0</v>
      </c>
      <c r="CC113" s="888">
        <f>IF($L113=0,0,(CB113*looptijd)/($L113*$E113*looptijd))</f>
        <v>0</v>
      </c>
    </row>
    <row r="114" spans="1:81">
      <c r="A114" s="891"/>
      <c r="B114" s="894" t="s">
        <v>1637</v>
      </c>
      <c r="C114" s="868" t="s">
        <v>752</v>
      </c>
      <c r="D114" s="868"/>
      <c r="E114" s="872">
        <v>50000</v>
      </c>
      <c r="F114" s="873"/>
      <c r="G114" s="870">
        <f t="shared" si="14"/>
        <v>0</v>
      </c>
      <c r="H114" s="868">
        <v>0</v>
      </c>
      <c r="I114" s="871">
        <v>0</v>
      </c>
      <c r="J114" s="874">
        <v>0</v>
      </c>
      <c r="K114" s="873"/>
      <c r="L114" s="870">
        <f t="shared" si="15"/>
        <v>0</v>
      </c>
      <c r="M114" s="868">
        <v>0</v>
      </c>
      <c r="N114" s="868">
        <v>0</v>
      </c>
      <c r="O114" s="868">
        <v>0</v>
      </c>
      <c r="P114" s="868">
        <v>0</v>
      </c>
      <c r="Q114" s="872">
        <v>0</v>
      </c>
      <c r="S114" s="875">
        <f>(L114*E114*looptijd)</f>
        <v>0</v>
      </c>
      <c r="U114" s="876">
        <f>(cat_prijs_net_dies_vuilniswagen*H114)</f>
        <v>0</v>
      </c>
      <c r="V114" s="877">
        <f>IF($G114=0,0,U114/($E114*$G114*looptijd))</f>
        <v>0</v>
      </c>
      <c r="W114" s="878">
        <f>IF(BPM_belasting="ja",(BPM_die_vuilniswagen*H114))</f>
        <v>0</v>
      </c>
      <c r="X114" s="877">
        <f>IF($G114=0,0,W114/($E114*looptijd*$G114))</f>
        <v>0</v>
      </c>
      <c r="Y114" s="879">
        <f>BTW*U114</f>
        <v>0</v>
      </c>
      <c r="Z114" s="879">
        <f t="shared" si="16"/>
        <v>0</v>
      </c>
      <c r="AA114" s="879">
        <f>IF(BTW_verrekening="ja",((U114+W114-AW114))/2*Rente_financiering,((U114+W114+Y114-AW114)/2)*Rente_financiering)</f>
        <v>0</v>
      </c>
      <c r="AB114" s="880">
        <f>IF(G114=0,0,AA114*looptijd/($E114*looptijd*$G114))</f>
        <v>0</v>
      </c>
      <c r="AD114" s="876">
        <f>(Netto_cat_die_vuilniswagen*M114)+(Netto_cat_BEV_vuilniswagen*P114)+(Netto_cat_FCEV_vuilniswagen*Q114)</f>
        <v>0</v>
      </c>
      <c r="AE114" s="877">
        <f>IF($L114=0,0,AD114/($E114*$L114*looptijd))</f>
        <v>0</v>
      </c>
      <c r="AF114" s="878">
        <f>IF(BPM_belasting="ja",(BPM_benz_A*N114)+(BPM_CNG_A*O114)+(P114*BPM_BEV)+(Q114*BPM_FCEV),0)</f>
        <v>0</v>
      </c>
      <c r="AG114" s="878">
        <f>IF($L114=0,0,AF114/($E114*looptijd*$L114))</f>
        <v>0</v>
      </c>
      <c r="AH114" s="878">
        <f>BTW*AD114</f>
        <v>0</v>
      </c>
      <c r="AI114" s="878">
        <f>SUM(AD114:AH114)</f>
        <v>0</v>
      </c>
      <c r="AJ114" s="878">
        <f>IF('2. Invoer parameters'!$C$10="ja",MIA_BEV_vuilniswagen*P114,0)</f>
        <v>0</v>
      </c>
      <c r="AK114" s="882">
        <f>IF($L114=0,0,AJ114/($E114*looptijd*$L114))</f>
        <v>0</v>
      </c>
      <c r="AL114" s="881">
        <f>IF(BPM_belasting="nee",(((AD114-AJ114)-BK114)/2)*Rente_financiering,(((AD114-AJ114+AF114)-BL114)/2)*Rente_financiering)</f>
        <v>0</v>
      </c>
      <c r="AM114" s="880">
        <f>IF($L114=0,0,AL114*looptijd/($E114*looptijd*$L114))</f>
        <v>0</v>
      </c>
      <c r="AO114" s="876">
        <f>(H114*verz_die_vuilniswagen)</f>
        <v>0</v>
      </c>
      <c r="AP114" s="877">
        <f>IF($G114=0,0,(AO114*12*looptijd)/($E114*looptijd*$G114))</f>
        <v>0</v>
      </c>
      <c r="AQ114" s="878">
        <f>(input_MRB_die_vuilniswagen*$H114)</f>
        <v>0</v>
      </c>
      <c r="AR114" s="877">
        <f>IF($G114=0,0,AQ114/($E114*looptijd*$G114))</f>
        <v>0</v>
      </c>
      <c r="AS114" s="878">
        <f>($E114*H114*(gem_verbr_die_vuilniswagen/100)*prijs_die)</f>
        <v>0</v>
      </c>
      <c r="AT114" s="877">
        <f>IF($G114=0,0,(AS114*looptijd)/(looptijd*$E114*$G114))</f>
        <v>0</v>
      </c>
      <c r="AU114" s="878">
        <f>($E114*H114*Onderh_die_vuilniswagen_hoog_km)</f>
        <v>0</v>
      </c>
      <c r="AV114" s="877">
        <f t="shared" si="11"/>
        <v>0</v>
      </c>
      <c r="AW114" s="878">
        <f>Rest_perc_huisvuil*SUM(U114:W114)</f>
        <v>0</v>
      </c>
      <c r="AX114" s="881">
        <f>Rest_perc_huisvuil*SUM(U114:Y114)</f>
        <v>0</v>
      </c>
      <c r="AY114" s="878">
        <f>IF(BTW_verrekening="Ja",((U114+W114)-AW114)/(looptijd*12),((U114+W114+Y114)-AX114)/(looptijd*12))</f>
        <v>0</v>
      </c>
      <c r="AZ114" s="877">
        <f>IF($G114=0,0,(AY114*12*looptijd)/(looptijd*$E114*$G114))</f>
        <v>0</v>
      </c>
      <c r="BA114" s="883">
        <f>(_schadekosten_per_km_huisvuilwagen*E114*G114)/12</f>
        <v>0</v>
      </c>
      <c r="BB114" s="884">
        <f>IF($G114=0,0,(BA114*12*looptijd)/($E114*$G114*looptijd))</f>
        <v>0</v>
      </c>
      <c r="BD114" s="876">
        <f>(M114*verz_die_vuilniswagen)+(P114*verz_BEV_vuilniswagen)+(Q114*verz_FCEV_vuilniswagen)</f>
        <v>0</v>
      </c>
      <c r="BE114" s="877">
        <f>IF($L114=0,0,(BD114*12*looptijd)/($E114*looptijd*$L114))</f>
        <v>0</v>
      </c>
      <c r="BF114" s="878">
        <f>(input_MRB_die_vuilniswagen*M114)+(input_MRB_BEV_vuilniswagen*P114)+(input_MRB_FCEV_vuilniswagen*Q114)</f>
        <v>0</v>
      </c>
      <c r="BG114" s="877">
        <f>IF($L114=0,0,BF114/($E114*looptijd*$L114))</f>
        <v>0</v>
      </c>
      <c r="BH114" s="878">
        <f>($E114*M114*(gem_verbr_die_vuilniswagen/100)*prijs_die)+($E114*P114*(gem_verbr_BEV_vuilniswagen/100)*prijs_elek_berekening)+($E114*Q114*(gem_verbr_FCEV_vuilniswagen_Elek/100)*prijs_elek_berekening*(100%-_verh_H2_accu_vuilniswagen))+($E114*Q114*(gem_verbr_FCEV_vuilniswagen_H2/100)*prijs_H2*(_verh_H2_accu_vuilniswagen))</f>
        <v>0</v>
      </c>
      <c r="BI114" s="877">
        <f>IF($L114=0,0,(BH114*looptijd)/(looptijd*$E114*$L114))</f>
        <v>0</v>
      </c>
      <c r="BJ114" s="885"/>
      <c r="BK114" s="878">
        <f>Rest_perc_huisvuil*(AD114+AF114)</f>
        <v>0</v>
      </c>
      <c r="BL114" s="878">
        <f>Rest_perc_huisvuil*(AD114+AF114+AH114)</f>
        <v>0</v>
      </c>
      <c r="BM114" s="885"/>
      <c r="BN114" s="878">
        <f>($E114*M114*Onderh_die_vuilniswagen_hoog_km)+($E114*P114*Onderh_BEV_vuilniswagen_hoog_km)+($E114*Q114*Onderh_FCEV_vuilniswagen_hoog_km)</f>
        <v>0</v>
      </c>
      <c r="BO114" s="877">
        <f>IF($L114=0,0,(BN114*looptijd)/(looptijd*$E114*$L114))</f>
        <v>0</v>
      </c>
      <c r="BP114" s="878"/>
      <c r="BQ114" s="878">
        <f>IF(BTW_verrekening="Ja",((AD114+AF114-AJ114)-BK114)/(looptijd*12),((AD114+AF114+AH114-AJ114)-BL114)/(looptijd*12))</f>
        <v>0</v>
      </c>
      <c r="BR114" s="877">
        <f>IF($G114=0,0,(BQ114*12*looptijd)/(looptijd*$E114*$G114))</f>
        <v>0</v>
      </c>
      <c r="BS114" s="885"/>
      <c r="BT114" s="883">
        <f>(_schadekosten_per_km_huisvuilwagen*E114*L114)/12</f>
        <v>0</v>
      </c>
      <c r="BU114" s="884">
        <f>IF($L114=0,0,(BT114*12*looptijd)/($E114*$L114*looptijd))</f>
        <v>0</v>
      </c>
      <c r="BV114" s="881"/>
      <c r="BW114" s="886">
        <f>(Efac_die_TTW*(gem_verbr_die_vuilniswagen/100)*$E114*H114)</f>
        <v>0</v>
      </c>
      <c r="BX114" s="887">
        <f>(Efac_die_WTW*(gem_verbr_die_vuilniswagen/100)*$E114*H114)</f>
        <v>0</v>
      </c>
      <c r="BY114" s="888">
        <f>IF($G114=0,0,(BX114*looptijd)/($E114*$G114*looptijd))</f>
        <v>0</v>
      </c>
      <c r="BZ114" s="889"/>
      <c r="CA114" s="886">
        <f>(Efac_die_TTW*(gem_verbr_die_vuilniswagen/100)*$E114*M114)+(Efac_elek_berekening_TTW*(gem_verbr_BEV_vuilniswagen/100)*$E114*P114)+(Efac_elek_berekening_TTW*(gem_verbr_FCEV_vuilniswagen_Elek/100)*(100%-_verh_H2_accu_vuilniswagen)*Q114*$E114)+(Efac_H2_berekening_TTW*(gem_verbr_FCEV_vuilniswagen_H2/100)*(_verh_H2_accu_vuilniswagen)*Q114*$E114)</f>
        <v>0</v>
      </c>
      <c r="CB114" s="887">
        <f>(Efac_die_WTW*(gem_verbr_die_vuilniswagen/100)*$E114*M114)+(Efac_elek_berekening_WTW*(gem_verbr_BEV_vuilniswagen/100)*$E114*P114)+(Efac_elek_berekening_WTW*(gem_verbr_FCEV_vuilniswagen_Elek/100)*(100%-_verh_H2_accu_vuilniswagen)*Q114*$E114)+(Efac_H2_berekening_WTW*(gem_verbr_FCEV_vuilniswagen_H2/100)*(_verh_H2_accu_vuilniswagen)*Q114*$E114)</f>
        <v>0</v>
      </c>
      <c r="CC114" s="888">
        <f>IF($L114=0,0,(CB114*looptijd)/($L114*$E114*looptijd))</f>
        <v>0</v>
      </c>
    </row>
    <row r="115" spans="1:81">
      <c r="A115" s="891"/>
      <c r="B115" s="894" t="s">
        <v>1637</v>
      </c>
      <c r="C115" s="868" t="s">
        <v>1695</v>
      </c>
      <c r="D115" s="868"/>
      <c r="E115" s="872">
        <v>75000</v>
      </c>
      <c r="F115" s="873"/>
      <c r="G115" s="870">
        <f t="shared" si="14"/>
        <v>0</v>
      </c>
      <c r="H115" s="868">
        <v>0</v>
      </c>
      <c r="I115" s="871">
        <v>0</v>
      </c>
      <c r="J115" s="874">
        <v>0</v>
      </c>
      <c r="K115" s="873"/>
      <c r="L115" s="870">
        <f t="shared" si="15"/>
        <v>0</v>
      </c>
      <c r="M115" s="868">
        <v>0</v>
      </c>
      <c r="N115" s="868">
        <v>0</v>
      </c>
      <c r="O115" s="868">
        <v>0</v>
      </c>
      <c r="P115" s="868">
        <v>0</v>
      </c>
      <c r="Q115" s="872">
        <v>0</v>
      </c>
      <c r="S115" s="875">
        <f>(L115*E115*looptijd)</f>
        <v>0</v>
      </c>
      <c r="U115" s="876">
        <f>(cat_prijs_net_dies_vuilniswagen*H115)</f>
        <v>0</v>
      </c>
      <c r="V115" s="877">
        <f>IF($G115=0,0,U115/($E115*$G115*looptijd))</f>
        <v>0</v>
      </c>
      <c r="W115" s="878">
        <f>IF(BPM_belasting="ja",(BPM_die_vuilniswagen*H115))</f>
        <v>0</v>
      </c>
      <c r="X115" s="877">
        <f>IF($G115=0,0,W115/($E115*looptijd*$G115))</f>
        <v>0</v>
      </c>
      <c r="Y115" s="879">
        <f>BTW*U115</f>
        <v>0</v>
      </c>
      <c r="Z115" s="879">
        <f t="shared" si="16"/>
        <v>0</v>
      </c>
      <c r="AA115" s="879">
        <f>IF(BTW_verrekening="ja",((U115+W115-AW115))/2*Rente_financiering,((U115+W115+Y115-AW115)/2)*Rente_financiering)</f>
        <v>0</v>
      </c>
      <c r="AB115" s="880">
        <f>IF(G115=0,0,AA115*looptijd/($E115*looptijd*$G115))</f>
        <v>0</v>
      </c>
      <c r="AD115" s="876">
        <f>(Netto_cat_die_vuilniswagen*M115)+(Netto_cat_BEV_vuilniswagen*P115)+(Netto_cat_FCEV_vuilniswagen*Q115)</f>
        <v>0</v>
      </c>
      <c r="AE115" s="877">
        <f>IF($L115=0,0,AD115/($E115*$L115*looptijd))</f>
        <v>0</v>
      </c>
      <c r="AF115" s="878">
        <f>IF(BPM_belasting="ja",(BPM_benz_A*N115)+(BPM_CNG_A*O115)+(P115*BPM_BEV)+(Q115*BPM_FCEV),0)</f>
        <v>0</v>
      </c>
      <c r="AG115" s="878">
        <f>IF($L115=0,0,AF115/($E115*looptijd*$L115))</f>
        <v>0</v>
      </c>
      <c r="AH115" s="878">
        <f>BTW*AD115</f>
        <v>0</v>
      </c>
      <c r="AI115" s="878">
        <f>SUM(AD115:AH115)</f>
        <v>0</v>
      </c>
      <c r="AJ115" s="878">
        <f>IF('2. Invoer parameters'!$C$10="ja",MIA_BEV_vuilniswagen*P115,0)</f>
        <v>0</v>
      </c>
      <c r="AK115" s="882">
        <f>IF($L115=0,0,AJ115/($E115*looptijd*$L115))</f>
        <v>0</v>
      </c>
      <c r="AL115" s="881">
        <f>IF(BPM_belasting="nee",(((AD115-AJ115)-BK115)/2)*Rente_financiering,(((AD115-AJ115+AF115)-BL115)/2)*Rente_financiering)</f>
        <v>0</v>
      </c>
      <c r="AM115" s="880">
        <f>IF($L115=0,0,AL115*looptijd/($E115*looptijd*$L115))</f>
        <v>0</v>
      </c>
      <c r="AO115" s="876">
        <f>(H115*verz_die_vuilniswagen)</f>
        <v>0</v>
      </c>
      <c r="AP115" s="877">
        <f>IF($G115=0,0,(AO115*12*looptijd)/($E115*looptijd*$G115))</f>
        <v>0</v>
      </c>
      <c r="AQ115" s="878">
        <f>(input_MRB_die_vuilniswagen*$H115)</f>
        <v>0</v>
      </c>
      <c r="AR115" s="877">
        <f>IF($G115=0,0,AQ115/($E115*looptijd*$G115))</f>
        <v>0</v>
      </c>
      <c r="AS115" s="878">
        <f>($E115*H115*(gem_verbr_die_vuilniswagen/100)*prijs_die)</f>
        <v>0</v>
      </c>
      <c r="AT115" s="877">
        <f>IF($G115=0,0,(AS115*looptijd)/(looptijd*$E115*$G115))</f>
        <v>0</v>
      </c>
      <c r="AU115" s="878">
        <f>($E115*H115*Onderh_die_vuilniswagen_hoog_km)</f>
        <v>0</v>
      </c>
      <c r="AV115" s="877">
        <f t="shared" si="11"/>
        <v>0</v>
      </c>
      <c r="AW115" s="878">
        <f>Rest_perc_huisvuil*SUM(U115:W115)</f>
        <v>0</v>
      </c>
      <c r="AX115" s="881">
        <f>Rest_perc_huisvuil*SUM(U115:Y115)</f>
        <v>0</v>
      </c>
      <c r="AY115" s="878">
        <f>IF(BTW_verrekening="Ja",((U115+W115)-AW115)/(looptijd*12),((U115+W115+Y115)-AX115)/(looptijd*12))</f>
        <v>0</v>
      </c>
      <c r="AZ115" s="877">
        <f>IF($G115=0,0,(AY115*12*looptijd)/(looptijd*$E115*$G115))</f>
        <v>0</v>
      </c>
      <c r="BA115" s="883">
        <f>(_schadekosten_per_km_huisvuilwagen*E115*G115)/12</f>
        <v>0</v>
      </c>
      <c r="BB115" s="884">
        <f>IF($G115=0,0,(BA115*12*looptijd)/($E115*$G115*looptijd))</f>
        <v>0</v>
      </c>
      <c r="BD115" s="876">
        <f>(M115*verz_die_vuilniswagen)+(P115*verz_BEV_vuilniswagen)+(Q115*verz_FCEV_vuilniswagen)</f>
        <v>0</v>
      </c>
      <c r="BE115" s="877">
        <f>IF($L115=0,0,(BD115*12*looptijd)/($E115*looptijd*$L115))</f>
        <v>0</v>
      </c>
      <c r="BF115" s="878">
        <f>(input_MRB_die_vuilniswagen*M115)+(input_MRB_BEV_vuilniswagen*P115)+(input_MRB_FCEV_vuilniswagen*Q115)</f>
        <v>0</v>
      </c>
      <c r="BG115" s="877">
        <f>IF($L115=0,0,BF115/($E115*looptijd*$L115))</f>
        <v>0</v>
      </c>
      <c r="BH115" s="878">
        <f>($E115*M115*(gem_verbr_die_vuilniswagen/100)*prijs_die)+($E115*P115*(gem_verbr_BEV_vuilniswagen/100)*prijs_elek_berekening)+($E115*Q115*(gem_verbr_FCEV_vuilniswagen_Elek/100)*prijs_elek_berekening*(100%-_verh_H2_accu_vuilniswagen))+($E115*Q115*(gem_verbr_FCEV_vuilniswagen_H2/100)*prijs_H2*(_verh_H2_accu_vuilniswagen))</f>
        <v>0</v>
      </c>
      <c r="BI115" s="877">
        <f>IF($L115=0,0,(BH115*looptijd)/(looptijd*$E115*$L115))</f>
        <v>0</v>
      </c>
      <c r="BJ115" s="885"/>
      <c r="BK115" s="878">
        <f>Rest_perc_huisvuil*(AD115+AF115)</f>
        <v>0</v>
      </c>
      <c r="BL115" s="878">
        <f>Rest_perc_huisvuil*(AD115+AF115+AH115)</f>
        <v>0</v>
      </c>
      <c r="BM115" s="885"/>
      <c r="BN115" s="878">
        <f>($E115*M115*Onderh_die_vuilniswagen_hoog_km)+($E115*P115*Onderh_BEV_vuilniswagen_hoog_km)+($E115*Q115*Onderh_FCEV_vuilniswagen_hoog_km)</f>
        <v>0</v>
      </c>
      <c r="BO115" s="877">
        <f>IF($L115=0,0,(BN115*looptijd)/(looptijd*$E115*$L115))</f>
        <v>0</v>
      </c>
      <c r="BP115" s="878"/>
      <c r="BQ115" s="878">
        <f>IF(BTW_verrekening="Ja",((AD115+AF115-AJ115)-BK115)/(looptijd*12),((AD115+AF115+AH115-AJ115)-BL115)/(looptijd*12))</f>
        <v>0</v>
      </c>
      <c r="BR115" s="877">
        <f>IF($G115=0,0,(BQ115*12*looptijd)/(looptijd*$E115*$G115))</f>
        <v>0</v>
      </c>
      <c r="BS115" s="885"/>
      <c r="BT115" s="883">
        <f>(_schadekosten_per_km_huisvuilwagen*E115*L115)/12</f>
        <v>0</v>
      </c>
      <c r="BU115" s="884">
        <f>IF($L115=0,0,(BT115*12*looptijd)/($E115*$L115*looptijd))</f>
        <v>0</v>
      </c>
      <c r="BV115" s="881"/>
      <c r="BW115" s="886">
        <f>(Efac_die_TTW*(gem_verbr_die_vuilniswagen/100)*$E115*H115)</f>
        <v>0</v>
      </c>
      <c r="BX115" s="887">
        <f>(Efac_die_WTW*(gem_verbr_die_vuilniswagen/100)*$E115*H115)</f>
        <v>0</v>
      </c>
      <c r="BY115" s="888">
        <f>IF($G115=0,0,(BX115*looptijd)/($E115*$G115*looptijd))</f>
        <v>0</v>
      </c>
      <c r="BZ115" s="889"/>
      <c r="CA115" s="886">
        <f>(Efac_die_TTW*(gem_verbr_die_vuilniswagen/100)*$E115*M115)+(Efac_elek_berekening_TTW*(gem_verbr_BEV_vuilniswagen/100)*$E115*P115)+(Efac_elek_berekening_TTW*(gem_verbr_FCEV_vuilniswagen_Elek/100)*(100%-_verh_H2_accu_vuilniswagen)*Q115*$E115)+(Efac_H2_berekening_TTW*(gem_verbr_FCEV_vuilniswagen_H2/100)*(_verh_H2_accu_vuilniswagen)*Q115*$E115)</f>
        <v>0</v>
      </c>
      <c r="CB115" s="887">
        <f>(Efac_die_WTW*(gem_verbr_die_vuilniswagen/100)*$E115*M115)+(Efac_elek_berekening_WTW*(gem_verbr_BEV_vuilniswagen/100)*$E115*P115)+(Efac_elek_berekening_WTW*(gem_verbr_FCEV_vuilniswagen_Elek/100)*(100%-_verh_H2_accu_vuilniswagen)*Q115*$E115)+(Efac_H2_berekening_WTW*(gem_verbr_FCEV_vuilniswagen_H2/100)*(_verh_H2_accu_vuilniswagen)*Q115*$E115)</f>
        <v>0</v>
      </c>
      <c r="CC115" s="888">
        <f>IF($L115=0,0,(CB115*looptijd)/($L115*$E115*looptijd))</f>
        <v>0</v>
      </c>
    </row>
    <row r="116" spans="1:81">
      <c r="B116" s="867"/>
      <c r="C116" s="889"/>
      <c r="D116" s="889"/>
      <c r="E116" s="869"/>
      <c r="G116" s="870"/>
      <c r="H116" s="868"/>
      <c r="I116" s="868"/>
      <c r="J116" s="872"/>
      <c r="K116" s="873"/>
      <c r="L116" s="870"/>
      <c r="M116" s="868"/>
      <c r="N116" s="868"/>
      <c r="O116" s="868"/>
      <c r="P116" s="868"/>
      <c r="Q116" s="872"/>
      <c r="S116" s="875"/>
      <c r="U116" s="867"/>
      <c r="V116" s="877"/>
      <c r="W116" s="889"/>
      <c r="X116" s="877"/>
      <c r="Y116" s="879"/>
      <c r="Z116" s="879"/>
      <c r="AA116" s="879"/>
      <c r="AB116" s="880"/>
      <c r="AD116" s="867"/>
      <c r="AE116" s="877"/>
      <c r="AF116" s="878"/>
      <c r="AG116" s="878"/>
      <c r="AH116" s="878"/>
      <c r="AI116" s="878"/>
      <c r="AJ116" s="878"/>
      <c r="AK116" s="882"/>
      <c r="AL116" s="881"/>
      <c r="AM116" s="880"/>
      <c r="AO116" s="867"/>
      <c r="AP116" s="877"/>
      <c r="AQ116" s="878"/>
      <c r="AR116" s="877"/>
      <c r="AS116" s="889"/>
      <c r="AT116" s="877"/>
      <c r="AU116" s="889"/>
      <c r="AV116" s="877">
        <f t="shared" si="11"/>
        <v>0</v>
      </c>
      <c r="AW116" s="878"/>
      <c r="AX116" s="881"/>
      <c r="AY116" s="878"/>
      <c r="AZ116" s="877"/>
      <c r="BA116" s="883"/>
      <c r="BB116" s="884"/>
      <c r="BD116" s="876"/>
      <c r="BE116" s="877"/>
      <c r="BF116" s="889"/>
      <c r="BG116" s="877"/>
      <c r="BH116" s="878"/>
      <c r="BI116" s="877"/>
      <c r="BJ116" s="892"/>
      <c r="BK116" s="878"/>
      <c r="BL116" s="878"/>
      <c r="BM116" s="885"/>
      <c r="BN116" s="889"/>
      <c r="BO116" s="877"/>
      <c r="BP116" s="889"/>
      <c r="BQ116" s="878"/>
      <c r="BR116" s="877"/>
      <c r="BS116" s="885"/>
      <c r="BT116" s="883"/>
      <c r="BU116" s="884"/>
      <c r="BV116" s="881"/>
      <c r="BW116" s="886"/>
      <c r="BX116" s="889"/>
      <c r="BY116" s="888"/>
      <c r="BZ116" s="889"/>
      <c r="CA116" s="886"/>
      <c r="CB116" s="889"/>
      <c r="CC116" s="888"/>
    </row>
    <row r="117" spans="1:81">
      <c r="A117" s="891">
        <v>46</v>
      </c>
      <c r="B117" s="894" t="s">
        <v>1640</v>
      </c>
      <c r="C117" s="868" t="s">
        <v>4251</v>
      </c>
      <c r="D117" s="868">
        <v>500</v>
      </c>
      <c r="E117" s="890">
        <f>D117*_gem_snelheid_veegmachines</f>
        <v>10000</v>
      </c>
      <c r="G117" s="870">
        <f t="shared" ref="G117:G121" si="17">SUM(H117:J117)</f>
        <v>0</v>
      </c>
      <c r="H117" s="868">
        <f t="array" ref="H117:H121">TRANSPOSE('1a. Invoer - BESTAAND'!J27:N27)</f>
        <v>0</v>
      </c>
      <c r="I117" s="871">
        <v>0</v>
      </c>
      <c r="J117" s="874">
        <v>0</v>
      </c>
      <c r="K117" s="873"/>
      <c r="L117" s="870">
        <f t="shared" ref="L117:L121" si="18">SUM(M117:Q117)</f>
        <v>0</v>
      </c>
      <c r="M117" s="868">
        <v>0</v>
      </c>
      <c r="N117" s="868">
        <v>0</v>
      </c>
      <c r="O117" s="868">
        <v>0</v>
      </c>
      <c r="P117" s="868">
        <f t="array" ref="P117:P121">TRANSPOSE('1b. Invoer - NIEUW'!E29:I29)</f>
        <v>0</v>
      </c>
      <c r="Q117" s="872">
        <f t="array" ref="Q117:Q121">TRANSPOSE('1b. Invoer - NIEUW'!J29:N29)</f>
        <v>0</v>
      </c>
      <c r="S117" s="875">
        <f>(L117*E117*looptijd)</f>
        <v>0</v>
      </c>
      <c r="U117" s="898">
        <f>(cat_prijs_net_dies_veegwagen*H117)</f>
        <v>0</v>
      </c>
      <c r="V117" s="877">
        <f>IF($G117=0,0,U117/($E117*$G117*looptijd))</f>
        <v>0</v>
      </c>
      <c r="W117" s="896">
        <f>IF(BPM_belasting="ja",(BPM_die_veegwagen*H117),0)</f>
        <v>0</v>
      </c>
      <c r="X117" s="877">
        <f>IF($G117=0,0,W117/($E117*looptijd*$G117))</f>
        <v>0</v>
      </c>
      <c r="Y117" s="879">
        <f>BTW*U117</f>
        <v>0</v>
      </c>
      <c r="Z117" s="879">
        <f>SUM(U117:Y117)</f>
        <v>0</v>
      </c>
      <c r="AA117" s="879">
        <f>IF(BTW_verrekening="ja",((U117+W117-AW117))/2*Rente_financiering,((U117+W117+Y117-AW117)/2)*Rente_financiering)</f>
        <v>0</v>
      </c>
      <c r="AB117" s="880">
        <f>IF(G117=0,0,AA117*looptijd/($E117*looptijd*$G117))</f>
        <v>0</v>
      </c>
      <c r="AD117" s="898">
        <f>(Netto_cat_die_veegwagen*M117)+(Netto_cat_BEV_veegwagen*P117)+(Netto_cat_FCEV_veegwagen*Q117)</f>
        <v>0</v>
      </c>
      <c r="AE117" s="877">
        <f>IF($L117=0,0,AD117/($E117*$L117*looptijd))</f>
        <v>0</v>
      </c>
      <c r="AF117" s="878">
        <f>IF(BPM_belasting="ja",(BPM_benz_A*N117)+(BPM_CNG_A*O117)+(P117*BPM_BEV)+(Q117*BPM_FCEV),0)</f>
        <v>0</v>
      </c>
      <c r="AG117" s="878">
        <f>IF($L117=0,0,AF117/($E117*looptijd*$L117))</f>
        <v>0</v>
      </c>
      <c r="AH117" s="878">
        <f>BTW*AD117</f>
        <v>0</v>
      </c>
      <c r="AI117" s="878">
        <f>SUM(AD117:AH117)</f>
        <v>0</v>
      </c>
      <c r="AJ117" s="878">
        <f>IF('2. Invoer parameters'!$C$10="ja",MIA_BEV_veegwagen*P117,0)</f>
        <v>0</v>
      </c>
      <c r="AK117" s="882">
        <f>IF($L117=0,0,AJ117/($E117*looptijd*$L117))</f>
        <v>0</v>
      </c>
      <c r="AL117" s="881">
        <f>IF(BPM_belasting="nee",(((AD117-AJ117)-BK117)/2)*Rente_financiering,(((AD117-AJ117+AF117)-BL117)/2)*Rente_financiering)</f>
        <v>0</v>
      </c>
      <c r="AM117" s="880">
        <f>IF($L117=0,0,AL117*looptijd/($E117*looptijd*$L117))</f>
        <v>0</v>
      </c>
      <c r="AO117" s="876">
        <f>(H117*verz_die_veegwagen)</f>
        <v>0</v>
      </c>
      <c r="AP117" s="877">
        <f>IF($G117=0,0,(AO117*12*looptijd)/($E117*looptijd*$G117))</f>
        <v>0</v>
      </c>
      <c r="AQ117" s="896">
        <f>(input_MRB_die_veegwagen*$H117)</f>
        <v>0</v>
      </c>
      <c r="AR117" s="877">
        <f>IF($G117=0,0,AQ117/($E117*looptijd*$G117))</f>
        <v>0</v>
      </c>
      <c r="AS117" s="878">
        <f>($D117*H117*(gem_verbr_die_veegwagen)*prijs_die)</f>
        <v>0</v>
      </c>
      <c r="AT117" s="877">
        <f>IF($G117=0,0,(AS117*looptijd)/(looptijd*$E117*$G117))</f>
        <v>0</v>
      </c>
      <c r="AU117" s="878">
        <f>($D117*H117*Onderh_die_veegwagen)</f>
        <v>0</v>
      </c>
      <c r="AV117" s="877">
        <f t="shared" si="11"/>
        <v>0</v>
      </c>
      <c r="AW117" s="878">
        <f>Rest_perc_veegwagen*SUM(U117:W117)</f>
        <v>0</v>
      </c>
      <c r="AX117" s="881">
        <f>Rest_perc_veegwagen*SUM(U117:Y117)</f>
        <v>0</v>
      </c>
      <c r="AY117" s="878">
        <f>IF(BTW_verrekening="Ja",((U117+W117)-AW117)/(looptijd*12),((U117+W117+Y117)-AX117)/(looptijd*12))</f>
        <v>0</v>
      </c>
      <c r="AZ117" s="877">
        <f>IF($G117=0,0,(AY117*12*looptijd)/(looptijd*$E117*$G117))</f>
        <v>0</v>
      </c>
      <c r="BA117" s="883">
        <f>(_schadekosten_per_bedrijfsuur_veegwagen*D117*G117)/12</f>
        <v>0</v>
      </c>
      <c r="BB117" s="884">
        <f>IF($G117=0,0,(BA117*12*looptijd)/($E117*$G117*looptijd))</f>
        <v>0</v>
      </c>
      <c r="BD117" s="876">
        <f>(M117*verz_die_veegwagen)+(P117*verz_FCEV_veegwagen)+(Q117*verz_BEV_veegwagen)</f>
        <v>0</v>
      </c>
      <c r="BE117" s="877">
        <f>IF($L117=0,0,(BD117*12*looptijd)/($E117*looptijd*$L117))</f>
        <v>0</v>
      </c>
      <c r="BF117" s="878">
        <f>(MRB_die_veegwagen*M117)+(input_MRB_BEV_veegwagen*P117)+(input_MRB_FCEV_veegwagen*Q117)</f>
        <v>0</v>
      </c>
      <c r="BG117" s="877">
        <f>IF($L117=0,0,BF117/($E117*looptijd*$L117))</f>
        <v>0</v>
      </c>
      <c r="BH117" s="878">
        <f>($D117*M117*(gem_verbr_die_veegwagen)*prijs_die)+($D117*P117*(gem_verbr_BEV_veegwagen)*prijs_elek_berekening)+($D117*Q117*(gem_verbr_FCEV_veegwagen_Elek)*prijs_elek_berekening*(100%-_verh_H2_accu_veegwagen))+($D117*Q117*(gem_verbr_FCEV_veegwagen_H2)*prijs_H2*(_verh_H2_accu_veegwagen))</f>
        <v>0</v>
      </c>
      <c r="BI117" s="877">
        <f>IF($L117=0,0,(BH117*looptijd)/(looptijd*$E117*$L117))</f>
        <v>0</v>
      </c>
      <c r="BJ117" s="885"/>
      <c r="BK117" s="878">
        <f>Rest_perc_veegwagen*(AD117+AF117)</f>
        <v>0</v>
      </c>
      <c r="BL117" s="878">
        <f>Rest_perc_ZE*(AD117+AF117+AH117)</f>
        <v>0</v>
      </c>
      <c r="BM117" s="885"/>
      <c r="BN117" s="878">
        <f>($D117*M117*Onderh_die_veegwagen)+($D117*P117*Onderh_BEV_veegwagen)+($D117*Q117*Onderh_FCEV_veegwagen)</f>
        <v>0</v>
      </c>
      <c r="BO117" s="877">
        <f>IF($L117=0,0,(BN117*looptijd)/(looptijd*$E117*$L117))</f>
        <v>0</v>
      </c>
      <c r="BP117" s="878"/>
      <c r="BQ117" s="878">
        <f>IF(BTW_verrekening="Ja",((AD117+AF117-AJ117)-BK117)/(looptijd*12),((AD117+AF117+AH117-AJ117)-BL117)/(looptijd*12))</f>
        <v>0</v>
      </c>
      <c r="BR117" s="877">
        <f>IF($G117=0,0,(BQ117*12*looptijd)/(looptijd*$E117*$G117))</f>
        <v>0</v>
      </c>
      <c r="BS117" s="885"/>
      <c r="BT117" s="883">
        <f>(_schadekosten_per_bedrijfsuur_veegwagen*D117*L117)/12</f>
        <v>0</v>
      </c>
      <c r="BU117" s="884">
        <f>IF($L117=0,0,(BT117*12*looptijd)/($E117*$L117*looptijd))</f>
        <v>0</v>
      </c>
      <c r="BV117" s="881"/>
      <c r="BW117" s="886">
        <f>(Efac_die_TTW*(gem_verbr_die_veegwagen)*$D117*H117)</f>
        <v>0</v>
      </c>
      <c r="BX117" s="887">
        <f>(Efac_die_WTW*(gem_verbr_die_veegwagen)*$D117*H117)</f>
        <v>0</v>
      </c>
      <c r="BY117" s="888">
        <f>IF($G117=0,0,(BX117*looptijd)/($E117*$G117*looptijd))</f>
        <v>0</v>
      </c>
      <c r="BZ117" s="889"/>
      <c r="CA117" s="886">
        <f>(Efac_die_TTW*(gem_verbr_die_veegwagen)*$D117*M117)+(Efac_elek_berekening_TTW*(gem_verbr_BEV_veegwagen)*$D117*P117)+(Efac_elek_berekening_TTW*(gem_verbr_FCEV_veegwagen_Elek)*(100%-_verh_H2_accu_veegwagen)*Q117*$D117)+(Efac_H2_berekening_TTW*(gem_verbr_FCEV_veegwagen_H2)*(_verh_H2_accu_veegwagen)*Q117*$D117)</f>
        <v>0</v>
      </c>
      <c r="CB117" s="887">
        <f>(Efac_die_WTW*(gem_verbr_die_veegwagen)*$E117*M117)+(Efac_elek_berekening_WTW*(gem_verbr_BEV_veegwagen)*$E117*P117)+(Efac_elek_berekening_WTW*(gem_verbr_FCEV_veegwagen_Elek)*(100%-_verh_H2_accu_veegwagen)*Q117*$E117)+(Efac_H2_berekening_WTW*(gem_verbr_FCEV_veegwagen_H2)*(_verh_H2_accu_veegwagen)*Q117*$E117)</f>
        <v>0</v>
      </c>
      <c r="CC117" s="888">
        <f>IF($L117=0,0,(CB117*looptijd)/($L117*$E117*looptijd))</f>
        <v>0</v>
      </c>
    </row>
    <row r="118" spans="1:81">
      <c r="A118" s="891">
        <v>47</v>
      </c>
      <c r="B118" s="894" t="s">
        <v>1640</v>
      </c>
      <c r="C118" s="868" t="s">
        <v>4256</v>
      </c>
      <c r="D118" s="868">
        <v>750</v>
      </c>
      <c r="E118" s="890">
        <f>D118*_gem_snelheid_veegmachines</f>
        <v>15000</v>
      </c>
      <c r="G118" s="870">
        <f t="shared" si="17"/>
        <v>0</v>
      </c>
      <c r="H118" s="868">
        <v>0</v>
      </c>
      <c r="I118" s="871">
        <v>0</v>
      </c>
      <c r="J118" s="874">
        <v>0</v>
      </c>
      <c r="K118" s="873"/>
      <c r="L118" s="870">
        <f t="shared" si="18"/>
        <v>0</v>
      </c>
      <c r="M118" s="868">
        <v>0</v>
      </c>
      <c r="N118" s="868">
        <v>0</v>
      </c>
      <c r="O118" s="868">
        <v>0</v>
      </c>
      <c r="P118" s="868">
        <v>0</v>
      </c>
      <c r="Q118" s="872">
        <v>0</v>
      </c>
      <c r="S118" s="875">
        <f>(L118*E118*looptijd)</f>
        <v>0</v>
      </c>
      <c r="U118" s="898">
        <f>(cat_prijs_net_dies_veegwagen*H118)</f>
        <v>0</v>
      </c>
      <c r="V118" s="877">
        <f>IF($G118=0,0,U118/($E118*$G118*looptijd))</f>
        <v>0</v>
      </c>
      <c r="W118" s="896">
        <f>IF(BPM_belasting="ja",(BPM_die_veegwagen*H118),0)</f>
        <v>0</v>
      </c>
      <c r="X118" s="877">
        <f>IF($G118=0,0,W118/($E118*looptijd*$G118))</f>
        <v>0</v>
      </c>
      <c r="Y118" s="879">
        <f>BTW*U118</f>
        <v>0</v>
      </c>
      <c r="Z118" s="879">
        <f>SUM(U118:Y118)</f>
        <v>0</v>
      </c>
      <c r="AA118" s="879">
        <f>IF(BTW_verrekening="ja",((U118+W118-AW118))/2*Rente_financiering,((U118+W118+Y118-AW118)/2)*Rente_financiering)</f>
        <v>0</v>
      </c>
      <c r="AB118" s="880">
        <f>IF(G118=0,0,AA118*looptijd/($E118*looptijd*$G118))</f>
        <v>0</v>
      </c>
      <c r="AD118" s="898">
        <f>(Netto_cat_die_veegwagen*M118)+(Netto_cat_BEV_veegwagen*P118)+(Netto_cat_FCEV_veegwagen*Q118)</f>
        <v>0</v>
      </c>
      <c r="AE118" s="877">
        <f>IF($L118=0,0,AD118/($E118*$L118*looptijd))</f>
        <v>0</v>
      </c>
      <c r="AF118" s="878">
        <f>IF(BPM_belasting="ja",(BPM_benz_A*N118)+(BPM_CNG_A*O118)+(P118*BPM_BEV)+(Q118*BPM_FCEV),0)</f>
        <v>0</v>
      </c>
      <c r="AG118" s="878">
        <f>IF($L118=0,0,AF118/($E118*looptijd*$L118))</f>
        <v>0</v>
      </c>
      <c r="AH118" s="878">
        <f>BTW*AD118</f>
        <v>0</v>
      </c>
      <c r="AI118" s="878">
        <f>SUM(AD118:AH118)</f>
        <v>0</v>
      </c>
      <c r="AJ118" s="878">
        <f>IF('2. Invoer parameters'!$C$10="ja",MIA_BEV_veegwagen*P118,0)</f>
        <v>0</v>
      </c>
      <c r="AK118" s="882">
        <f>IF($L118=0,0,AJ118/($E118*looptijd*$L118))</f>
        <v>0</v>
      </c>
      <c r="AL118" s="881">
        <f>IF(BPM_belasting="nee",(((AD118-AJ118)-BK118)/2)*Rente_financiering,(((AD118-AJ118+AF118)-BL118)/2)*Rente_financiering)</f>
        <v>0</v>
      </c>
      <c r="AM118" s="880">
        <f>IF($L118=0,0,AL118*looptijd/($E118*looptijd*$L118))</f>
        <v>0</v>
      </c>
      <c r="AO118" s="876">
        <f>(H118*verz_die_veegwagen)</f>
        <v>0</v>
      </c>
      <c r="AP118" s="877">
        <f>IF($G118=0,0,(AO118*12*looptijd)/($E118*looptijd*$G118))</f>
        <v>0</v>
      </c>
      <c r="AQ118" s="896">
        <f>(input_MRB_die_veegwagen*$H118)</f>
        <v>0</v>
      </c>
      <c r="AR118" s="877">
        <f>IF($G118=0,0,AQ118/($E118*looptijd*$G118))</f>
        <v>0</v>
      </c>
      <c r="AS118" s="878">
        <f>($D118*H118*(gem_verbr_die_veegwagen)*prijs_die)</f>
        <v>0</v>
      </c>
      <c r="AT118" s="877">
        <f>IF($G118=0,0,(AS118*looptijd)/(looptijd*$E118*$G118))</f>
        <v>0</v>
      </c>
      <c r="AU118" s="878">
        <f>($D118*H118*Onderh_die_veegwagen)</f>
        <v>0</v>
      </c>
      <c r="AV118" s="877">
        <f t="shared" si="11"/>
        <v>0</v>
      </c>
      <c r="AW118" s="878">
        <f>Rest_perc_veegwagen*SUM(U118:W118)</f>
        <v>0</v>
      </c>
      <c r="AX118" s="881">
        <f>Rest_perc_veegwagen*SUM(U118:Y118)</f>
        <v>0</v>
      </c>
      <c r="AY118" s="878">
        <f>IF(BTW_verrekening="Ja",((U118+W118)-AW118)/(looptijd*12),((U118+W118+Y118)-AX118)/(looptijd*12))</f>
        <v>0</v>
      </c>
      <c r="AZ118" s="877">
        <f>IF($G118=0,0,(AY118*12*looptijd)/(looptijd*$E118*$G118))</f>
        <v>0</v>
      </c>
      <c r="BA118" s="883">
        <f>(_schadekosten_per_bedrijfsuur_veegwagen*D118*G118)/12</f>
        <v>0</v>
      </c>
      <c r="BB118" s="884">
        <f>IF($G118=0,0,(BA118*12*looptijd)/($E118*$G118*looptijd))</f>
        <v>0</v>
      </c>
      <c r="BD118" s="876">
        <f>(M118*verz_die_veegwagen)+(P118*verz_FCEV_veegwagen)+(Q118*verz_BEV_veegwagen)</f>
        <v>0</v>
      </c>
      <c r="BE118" s="877">
        <f>IF($L118=0,0,(BD118*12*looptijd)/($E118*looptijd*$L118))</f>
        <v>0</v>
      </c>
      <c r="BF118" s="878">
        <f>(MRB_die_veegwagen*M118)+(input_MRB_BEV_veegwagen*P118)+(input_MRB_FCEV_veegwagen*Q118)</f>
        <v>0</v>
      </c>
      <c r="BG118" s="877">
        <f>IF($L118=0,0,BF118/($E118*looptijd*$L118))</f>
        <v>0</v>
      </c>
      <c r="BH118" s="878">
        <f>($D118*M118*(gem_verbr_die_veegwagen)*prijs_die)+($D118*P118*(gem_verbr_BEV_veegwagen)*prijs_elek_berekening)+($D118*Q118*(gem_verbr_FCEV_veegwagen_Elek)*prijs_elek_berekening*(100%-_verh_H2_accu_veegwagen))+($D118*Q118*(gem_verbr_FCEV_veegwagen_H2)*prijs_H2*(_verh_H2_accu_veegwagen))</f>
        <v>0</v>
      </c>
      <c r="BI118" s="877">
        <f>IF($L118=0,0,(BH118*looptijd)/(looptijd*$E118*$L118))</f>
        <v>0</v>
      </c>
      <c r="BJ118" s="885"/>
      <c r="BK118" s="878">
        <f>Rest_perc_veegwagen*(AD118+AF118)</f>
        <v>0</v>
      </c>
      <c r="BL118" s="878">
        <f>Rest_perc_ZE*(AD118+AF118+AH118)</f>
        <v>0</v>
      </c>
      <c r="BM118" s="885"/>
      <c r="BN118" s="878">
        <f>($D118*M118*Onderh_die_veegwagen)+($D118*P118*Onderh_BEV_veegwagen)+($D118*Q118*Onderh_FCEV_veegwagen)</f>
        <v>0</v>
      </c>
      <c r="BO118" s="877">
        <f>IF($L118=0,0,(BN118*looptijd)/(looptijd*$E118*$L118))</f>
        <v>0</v>
      </c>
      <c r="BP118" s="878"/>
      <c r="BQ118" s="878">
        <f>IF(BTW_verrekening="Ja",((AD118+AF118-AJ118)-BK118)/(looptijd*12),((AD118+AF118+AH118-AJ118)-BL118)/(looptijd*12))</f>
        <v>0</v>
      </c>
      <c r="BR118" s="877">
        <f>IF($G118=0,0,(BQ118*12*looptijd)/(looptijd*$E118*$G118))</f>
        <v>0</v>
      </c>
      <c r="BS118" s="885"/>
      <c r="BT118" s="883">
        <f>(_schadekosten_per_bedrijfsuur_veegwagen*D118*L118)/12</f>
        <v>0</v>
      </c>
      <c r="BU118" s="884">
        <f>IF($L118=0,0,(BT118*12*looptijd)/($E118*$L118*looptijd))</f>
        <v>0</v>
      </c>
      <c r="BV118" s="881"/>
      <c r="BW118" s="886">
        <f>(Efac_die_TTW*(gem_verbr_die_veegwagen)*$D118*H118)</f>
        <v>0</v>
      </c>
      <c r="BX118" s="887">
        <f>(Efac_die_WTW*(gem_verbr_die_veegwagen)*$D118*H118)</f>
        <v>0</v>
      </c>
      <c r="BY118" s="888">
        <f>IF($G118=0,0,(BX118*looptijd)/($E118*$G118*looptijd))</f>
        <v>0</v>
      </c>
      <c r="BZ118" s="889"/>
      <c r="CA118" s="886">
        <f>(Efac_die_TTW*(gem_verbr_die_veegwagen)*$D118*M118)+(Efac_elek_berekening_TTW*(gem_verbr_BEV_veegwagen)*$D118*P118)+(Efac_elek_berekening_TTW*(gem_verbr_FCEV_veegwagen_Elek)*(100%-_verh_H2_accu_veegwagen)*Q118*$D118)+(Efac_H2_berekening_TTW*(gem_verbr_FCEV_veegwagen_H2)*(_verh_H2_accu_veegwagen)*Q118*$D118)</f>
        <v>0</v>
      </c>
      <c r="CB118" s="887">
        <f>(Efac_die_WTW*(gem_verbr_die_veegwagen)*$E118*M118)+(Efac_elek_berekening_WTW*(gem_verbr_BEV_veegwagen)*$E118*P118)+(Efac_elek_berekening_WTW*(gem_verbr_FCEV_veegwagen_Elek)*(100%-_verh_H2_accu_veegwagen)*Q118*$E118)+(Efac_H2_berekening_WTW*(gem_verbr_FCEV_veegwagen_H2)*(_verh_H2_accu_veegwagen)*Q118*$E118)</f>
        <v>0</v>
      </c>
      <c r="CC118" s="888">
        <f>IF($L118=0,0,(CB118*looptijd)/($L118*$E118*looptijd))</f>
        <v>0</v>
      </c>
    </row>
    <row r="119" spans="1:81">
      <c r="A119" s="891">
        <v>48</v>
      </c>
      <c r="B119" s="894" t="s">
        <v>1640</v>
      </c>
      <c r="C119" s="868" t="s">
        <v>4253</v>
      </c>
      <c r="D119" s="868">
        <v>1250</v>
      </c>
      <c r="E119" s="890">
        <f>D119*_gem_snelheid_veegmachines</f>
        <v>25000</v>
      </c>
      <c r="G119" s="870">
        <f t="shared" si="17"/>
        <v>0</v>
      </c>
      <c r="H119" s="868">
        <v>0</v>
      </c>
      <c r="I119" s="871">
        <v>0</v>
      </c>
      <c r="J119" s="874">
        <v>0</v>
      </c>
      <c r="K119" s="873"/>
      <c r="L119" s="870">
        <f t="shared" si="18"/>
        <v>0</v>
      </c>
      <c r="M119" s="868">
        <v>0</v>
      </c>
      <c r="N119" s="868">
        <v>0</v>
      </c>
      <c r="O119" s="868">
        <v>0</v>
      </c>
      <c r="P119" s="868">
        <v>0</v>
      </c>
      <c r="Q119" s="872">
        <v>0</v>
      </c>
      <c r="S119" s="875">
        <f>(L119*E119*looptijd)</f>
        <v>0</v>
      </c>
      <c r="U119" s="898">
        <f>(cat_prijs_net_dies_veegwagen*H119)</f>
        <v>0</v>
      </c>
      <c r="V119" s="877">
        <f>IF($G119=0,0,U119/($E119*$G119*looptijd))</f>
        <v>0</v>
      </c>
      <c r="W119" s="896">
        <f>IF(BPM_belasting="ja",(BPM_die_veegwagen*H119),0)</f>
        <v>0</v>
      </c>
      <c r="X119" s="877">
        <f>IF($G119=0,0,W119/($E119*looptijd*$G119))</f>
        <v>0</v>
      </c>
      <c r="Y119" s="879">
        <f>BTW*U119</f>
        <v>0</v>
      </c>
      <c r="Z119" s="879">
        <f>SUM(U119:Y119)</f>
        <v>0</v>
      </c>
      <c r="AA119" s="879">
        <f>IF(BTW_verrekening="ja",((U119+W119-AW119))/2*Rente_financiering,((U119+W119+Y119-AW119)/2)*Rente_financiering)</f>
        <v>0</v>
      </c>
      <c r="AB119" s="880">
        <f>IF(G119=0,0,AA119*looptijd/($E119*looptijd*$G119))</f>
        <v>0</v>
      </c>
      <c r="AD119" s="898">
        <f>(Netto_cat_die_veegwagen*M119)+(Netto_cat_BEV_veegwagen*P119)+(Netto_cat_FCEV_veegwagen*Q119)</f>
        <v>0</v>
      </c>
      <c r="AE119" s="877">
        <f>IF($L119=0,0,AD119/($E119*$L119*looptijd))</f>
        <v>0</v>
      </c>
      <c r="AF119" s="878">
        <f>IF(BPM_belasting="ja",(BPM_benz_A*N119)+(BPM_CNG_A*O119)+(P119*BPM_BEV)+(Q119*BPM_FCEV),0)</f>
        <v>0</v>
      </c>
      <c r="AG119" s="878">
        <f>IF($L119=0,0,AF119/($E119*looptijd*$L119))</f>
        <v>0</v>
      </c>
      <c r="AH119" s="878">
        <f>BTW*AD119</f>
        <v>0</v>
      </c>
      <c r="AI119" s="878">
        <f>SUM(AD119:AH119)</f>
        <v>0</v>
      </c>
      <c r="AJ119" s="878">
        <f>IF('2. Invoer parameters'!$C$10="ja",MIA_BEV_veegwagen*P119,0)</f>
        <v>0</v>
      </c>
      <c r="AK119" s="882">
        <f>IF($L119=0,0,AJ119/($E119*looptijd*$L119))</f>
        <v>0</v>
      </c>
      <c r="AL119" s="881">
        <f>IF(BPM_belasting="nee",(((AD119-AJ119)-BK119)/2)*Rente_financiering,(((AD119-AJ119+AF119)-BL119)/2)*Rente_financiering)</f>
        <v>0</v>
      </c>
      <c r="AM119" s="880">
        <f>IF($L119=0,0,AL119*looptijd/($E119*looptijd*$L119))</f>
        <v>0</v>
      </c>
      <c r="AO119" s="876">
        <f>(H119*verz_die_veegwagen)</f>
        <v>0</v>
      </c>
      <c r="AP119" s="877">
        <f>IF($G119=0,0,(AO119*12*looptijd)/($E119*looptijd*$G119))</f>
        <v>0</v>
      </c>
      <c r="AQ119" s="896">
        <f>(input_MRB_die_veegwagen*$H119)</f>
        <v>0</v>
      </c>
      <c r="AR119" s="877">
        <f>IF($G119=0,0,AQ119/($E119*looptijd*$G119))</f>
        <v>0</v>
      </c>
      <c r="AS119" s="878">
        <f>($D119*H119*(gem_verbr_die_veegwagen)*prijs_die)</f>
        <v>0</v>
      </c>
      <c r="AT119" s="877">
        <f>IF($G119=0,0,(AS119*looptijd)/(looptijd*$E119*$G119))</f>
        <v>0</v>
      </c>
      <c r="AU119" s="878">
        <f>($D119*H119*Onderh_die_veegwagen)</f>
        <v>0</v>
      </c>
      <c r="AV119" s="877">
        <f t="shared" si="11"/>
        <v>0</v>
      </c>
      <c r="AW119" s="878">
        <f>Rest_perc_veegwagen*SUM(U119:W119)</f>
        <v>0</v>
      </c>
      <c r="AX119" s="881">
        <f>Rest_perc_veegwagen*SUM(U119:Y119)</f>
        <v>0</v>
      </c>
      <c r="AY119" s="878">
        <f>IF(BTW_verrekening="Ja",((U119+W119)-AW119)/(looptijd*12),((U119+W119+Y119)-AX119)/(looptijd*12))</f>
        <v>0</v>
      </c>
      <c r="AZ119" s="877">
        <f>IF($G119=0,0,(AY119*12*looptijd)/(looptijd*$E119*$G119))</f>
        <v>0</v>
      </c>
      <c r="BA119" s="883">
        <f>(_schadekosten_per_bedrijfsuur_veegwagen*D119*G119)/12</f>
        <v>0</v>
      </c>
      <c r="BB119" s="884">
        <f>IF($G119=0,0,(BA119*12*looptijd)/($E119*$G119*looptijd))</f>
        <v>0</v>
      </c>
      <c r="BD119" s="876">
        <f>(M119*verz_die_veegwagen)+(P119*verz_FCEV_veegwagen)+(Q119*verz_BEV_veegwagen)</f>
        <v>0</v>
      </c>
      <c r="BE119" s="877">
        <f>IF($L119=0,0,(BD119*12*looptijd)/($E119*looptijd*$L119))</f>
        <v>0</v>
      </c>
      <c r="BF119" s="878">
        <f>(MRB_die_veegwagen*M119)+(input_MRB_BEV_veegwagen*P119)+(input_MRB_FCEV_veegwagen*Q119)</f>
        <v>0</v>
      </c>
      <c r="BG119" s="877">
        <f>IF($L119=0,0,BF119/($E119*looptijd*$L119))</f>
        <v>0</v>
      </c>
      <c r="BH119" s="878">
        <f>($D119*M119*(gem_verbr_die_veegwagen)*prijs_die)+($D119*P119*(gem_verbr_BEV_veegwagen)*prijs_elek_berekening)+($D119*Q119*(gem_verbr_FCEV_veegwagen_Elek)*prijs_elek_berekening*(100%-_verh_H2_accu_veegwagen))+($D119*Q119*(gem_verbr_FCEV_veegwagen_H2)*prijs_H2*(_verh_H2_accu_veegwagen))</f>
        <v>0</v>
      </c>
      <c r="BI119" s="877">
        <f>IF($L119=0,0,(BH119*looptijd)/(looptijd*$E119*$L119))</f>
        <v>0</v>
      </c>
      <c r="BJ119" s="885"/>
      <c r="BK119" s="878">
        <f>Rest_perc_veegwagen*(AD119+AF119)</f>
        <v>0</v>
      </c>
      <c r="BL119" s="878">
        <f>Rest_perc_ZE*(AD119+AF119+AH119)</f>
        <v>0</v>
      </c>
      <c r="BM119" s="885"/>
      <c r="BN119" s="878">
        <f>($D119*M119*Onderh_die_veegwagen)+($D119*P119*Onderh_BEV_veegwagen)+($D119*Q119*Onderh_FCEV_veegwagen)</f>
        <v>0</v>
      </c>
      <c r="BO119" s="877">
        <f>IF($L119=0,0,(BN119*looptijd)/(looptijd*$E119*$L119))</f>
        <v>0</v>
      </c>
      <c r="BP119" s="878"/>
      <c r="BQ119" s="878">
        <f>IF(BTW_verrekening="Ja",((AD119+AF119-AJ119)-BK119)/(looptijd*12),((AD119+AF119+AH119-AJ119)-BL119)/(looptijd*12))</f>
        <v>0</v>
      </c>
      <c r="BR119" s="877">
        <f>IF($G119=0,0,(BQ119*12*looptijd)/(looptijd*$E119*$G119))</f>
        <v>0</v>
      </c>
      <c r="BS119" s="885"/>
      <c r="BT119" s="883">
        <f>(_schadekosten_per_bedrijfsuur_veegwagen*D119*L119)/12</f>
        <v>0</v>
      </c>
      <c r="BU119" s="884">
        <f>IF($L119=0,0,(BT119*12*looptijd)/($E119*$L119*looptijd))</f>
        <v>0</v>
      </c>
      <c r="BV119" s="881"/>
      <c r="BW119" s="886">
        <f>(Efac_die_TTW*(gem_verbr_die_veegwagen)*$D119*H119)</f>
        <v>0</v>
      </c>
      <c r="BX119" s="887">
        <f>(Efac_die_WTW*(gem_verbr_die_veegwagen)*$D119*H119)</f>
        <v>0</v>
      </c>
      <c r="BY119" s="888">
        <f>IF($G119=0,0,(BX119*looptijd)/($E119*$G119*looptijd))</f>
        <v>0</v>
      </c>
      <c r="BZ119" s="889"/>
      <c r="CA119" s="886">
        <f>(Efac_die_TTW*(gem_verbr_die_veegwagen)*$D119*M119)+(Efac_elek_berekening_TTW*(gem_verbr_BEV_veegwagen)*$D119*P119)+(Efac_elek_berekening_TTW*(gem_verbr_FCEV_veegwagen_Elek)*(100%-_verh_H2_accu_veegwagen)*Q119*$D119)+(Efac_H2_berekening_TTW*(gem_verbr_FCEV_veegwagen_H2)*(_verh_H2_accu_veegwagen)*Q119*$D119)</f>
        <v>0</v>
      </c>
      <c r="CB119" s="887">
        <f>(Efac_die_WTW*(gem_verbr_die_veegwagen)*$E119*M119)+(Efac_elek_berekening_WTW*(gem_verbr_BEV_veegwagen)*$E119*P119)+(Efac_elek_berekening_WTW*(gem_verbr_FCEV_veegwagen_Elek)*(100%-_verh_H2_accu_veegwagen)*Q119*$E119)+(Efac_H2_berekening_WTW*(gem_verbr_FCEV_veegwagen_H2)*(_verh_H2_accu_veegwagen)*Q119*$E119)</f>
        <v>0</v>
      </c>
      <c r="CC119" s="888">
        <f>IF($L119=0,0,(CB119*looptijd)/($L119*$E119*looptijd))</f>
        <v>0</v>
      </c>
    </row>
    <row r="120" spans="1:81">
      <c r="A120" s="891">
        <v>49</v>
      </c>
      <c r="B120" s="894" t="s">
        <v>1640</v>
      </c>
      <c r="C120" s="868" t="s">
        <v>4254</v>
      </c>
      <c r="D120" s="868">
        <v>1750</v>
      </c>
      <c r="E120" s="890">
        <f>D120*_gem_snelheid_veegmachines</f>
        <v>35000</v>
      </c>
      <c r="F120" s="873"/>
      <c r="G120" s="870">
        <f t="shared" si="17"/>
        <v>0</v>
      </c>
      <c r="H120" s="868">
        <v>0</v>
      </c>
      <c r="I120" s="871">
        <v>0</v>
      </c>
      <c r="J120" s="874">
        <v>0</v>
      </c>
      <c r="K120" s="873"/>
      <c r="L120" s="870">
        <f t="shared" si="18"/>
        <v>0</v>
      </c>
      <c r="M120" s="868">
        <v>0</v>
      </c>
      <c r="N120" s="868">
        <v>0</v>
      </c>
      <c r="O120" s="868">
        <v>0</v>
      </c>
      <c r="P120" s="868">
        <v>0</v>
      </c>
      <c r="Q120" s="872">
        <v>0</v>
      </c>
      <c r="S120" s="875">
        <f>(L120*E120*looptijd)</f>
        <v>0</v>
      </c>
      <c r="U120" s="898">
        <f>(cat_prijs_net_dies_veegwagen*H120)</f>
        <v>0</v>
      </c>
      <c r="V120" s="877">
        <f>IF($G120=0,0,U120/($E120*$G120*looptijd))</f>
        <v>0</v>
      </c>
      <c r="W120" s="896">
        <f>IF(BPM_belasting="ja",(BPM_die_veegwagen*H120),0)</f>
        <v>0</v>
      </c>
      <c r="X120" s="877">
        <f>IF($G120=0,0,W120/($E120*looptijd*$G120))</f>
        <v>0</v>
      </c>
      <c r="Y120" s="879">
        <f>BTW*U120</f>
        <v>0</v>
      </c>
      <c r="Z120" s="879">
        <f>SUM(U120:Y120)</f>
        <v>0</v>
      </c>
      <c r="AA120" s="879">
        <f>IF(BTW_verrekening="ja",((U120+W120-AW120))/2*Rente_financiering,((U120+W120+Y120-AW120)/2)*Rente_financiering)</f>
        <v>0</v>
      </c>
      <c r="AB120" s="880">
        <f>IF(G120=0,0,AA120*looptijd/($E120*looptijd*$G120))</f>
        <v>0</v>
      </c>
      <c r="AD120" s="898">
        <f>(Netto_cat_die_veegwagen*M120)+(Netto_cat_BEV_veegwagen*P120)+(Netto_cat_FCEV_veegwagen*Q120)</f>
        <v>0</v>
      </c>
      <c r="AE120" s="877">
        <f>IF($L120=0,0,AD120/($E120*$L120*looptijd))</f>
        <v>0</v>
      </c>
      <c r="AF120" s="878">
        <f>IF(BPM_belasting="ja",(BPM_benz_A*N120)+(BPM_CNG_A*O120)+(P120*BPM_BEV)+(Q120*BPM_FCEV),0)</f>
        <v>0</v>
      </c>
      <c r="AG120" s="878">
        <f>IF($L120=0,0,AF120/($E120*looptijd*$L120))</f>
        <v>0</v>
      </c>
      <c r="AH120" s="878">
        <f>BTW*AD120</f>
        <v>0</v>
      </c>
      <c r="AI120" s="878">
        <f>SUM(AD120:AH120)</f>
        <v>0</v>
      </c>
      <c r="AJ120" s="878">
        <f>IF('2. Invoer parameters'!$C$10="ja",MIA_BEV_veegwagen*P120,0)</f>
        <v>0</v>
      </c>
      <c r="AK120" s="882">
        <f>IF($L120=0,0,AJ120/($E120*looptijd*$L120))</f>
        <v>0</v>
      </c>
      <c r="AL120" s="881">
        <f>IF(BPM_belasting="nee",(((AD120-AJ120)-BK120)/2)*Rente_financiering,(((AD120-AJ120+AF120)-BL120)/2)*Rente_financiering)</f>
        <v>0</v>
      </c>
      <c r="AM120" s="880">
        <f>IF($L120=0,0,AL120*looptijd/($E120*looptijd*$L120))</f>
        <v>0</v>
      </c>
      <c r="AO120" s="876">
        <f>(H120*verz_die_veegwagen)</f>
        <v>0</v>
      </c>
      <c r="AP120" s="877">
        <f>IF($G120=0,0,(AO120*12*looptijd)/($E120*looptijd*$G120))</f>
        <v>0</v>
      </c>
      <c r="AQ120" s="896">
        <f>(input_MRB_die_veegwagen*$H120)</f>
        <v>0</v>
      </c>
      <c r="AR120" s="877">
        <f>IF($G120=0,0,AQ120/($E120*looptijd*$G120))</f>
        <v>0</v>
      </c>
      <c r="AS120" s="878">
        <f>($D120*H120*(gem_verbr_die_veegwagen)*prijs_die)</f>
        <v>0</v>
      </c>
      <c r="AT120" s="877">
        <f>IF($G120=0,0,(AS120*looptijd)/(looptijd*$E120*$G120))</f>
        <v>0</v>
      </c>
      <c r="AU120" s="878">
        <f>($D120*H120*Onderh_die_veegwagen_hoog_km)</f>
        <v>0</v>
      </c>
      <c r="AV120" s="877">
        <f t="shared" si="11"/>
        <v>0</v>
      </c>
      <c r="AW120" s="878">
        <f>Rest_perc_veegwagen*SUM(U120:W120)</f>
        <v>0</v>
      </c>
      <c r="AX120" s="881">
        <f>Rest_perc_veegwagen*SUM(U120:Y120)</f>
        <v>0</v>
      </c>
      <c r="AY120" s="878">
        <f>IF(BTW_verrekening="Ja",((U120+W120)-AW120)/(looptijd*12),((U120+W120+Y120)-AX120)/(looptijd*12))</f>
        <v>0</v>
      </c>
      <c r="AZ120" s="877">
        <f>IF($G120=0,0,(AY120*12*looptijd)/(looptijd*$E120*$G120))</f>
        <v>0</v>
      </c>
      <c r="BA120" s="883">
        <f>(_schadekosten_per_bedrijfsuur_veegwagen*D120*G120)/12</f>
        <v>0</v>
      </c>
      <c r="BB120" s="884">
        <f>IF($G120=0,0,(BA120*12*looptijd)/($E120*$G120*looptijd))</f>
        <v>0</v>
      </c>
      <c r="BD120" s="876">
        <f>(M120*verz_die_veegwagen)+(P120*verz_FCEV_veegwagen)+(Q120*verz_BEV_veegwagen)</f>
        <v>0</v>
      </c>
      <c r="BE120" s="877">
        <f>IF($L120=0,0,(BD120*12*looptijd)/($E120*looptijd*$L120))</f>
        <v>0</v>
      </c>
      <c r="BF120" s="878">
        <f>(MRB_die_veegwagen*M120)+(input_MRB_BEV_veegwagen*P120)+(input_MRB_FCEV_veegwagen*Q120)</f>
        <v>0</v>
      </c>
      <c r="BG120" s="877">
        <f>IF($L120=0,0,BF120/($E120*looptijd*$L120))</f>
        <v>0</v>
      </c>
      <c r="BH120" s="878">
        <f>($D120*M120*(gem_verbr_die_veegwagen)*prijs_die)+($D120*P120*(gem_verbr_BEV_veegwagen)*prijs_elek_berekening)+($D120*Q120*(gem_verbr_FCEV_veegwagen_Elek)*prijs_elek_berekening*(100%-_verh_H2_accu_veegwagen))+($D120*Q120*(gem_verbr_FCEV_veegwagen_H2)*prijs_H2*(_verh_H2_accu_veegwagen))</f>
        <v>0</v>
      </c>
      <c r="BI120" s="877">
        <f>IF($L120=0,0,(BH120*looptijd)/(looptijd*$E120*$L120))</f>
        <v>0</v>
      </c>
      <c r="BJ120" s="885"/>
      <c r="BK120" s="878">
        <f>Rest_perc_veegwagen*(AD120+AF120)</f>
        <v>0</v>
      </c>
      <c r="BL120" s="878">
        <f>Rest_perc_ZE*(AD120+AF120+AH120)</f>
        <v>0</v>
      </c>
      <c r="BM120" s="885"/>
      <c r="BN120" s="878">
        <f>($D120*M120*Onderh_die_veegwagen_hoog_km)+($D120*P120*Onderh_BEV_veegwagen_hoog_km)+($D120*Q120*Onderh_FCEV_veegwagen_hoog_km)</f>
        <v>0</v>
      </c>
      <c r="BO120" s="877">
        <f>IF($L120=0,0,(BN120*looptijd)/(looptijd*$E120*$L120))</f>
        <v>0</v>
      </c>
      <c r="BP120" s="878"/>
      <c r="BQ120" s="878">
        <f>IF(BTW_verrekening="Ja",((AD120+AF120-AJ120)-BK120)/(looptijd*12),((AD120+AF120+AH120-AJ120)-BL120)/(looptijd*12))</f>
        <v>0</v>
      </c>
      <c r="BR120" s="877">
        <f>IF($G120=0,0,(BQ120*12*looptijd)/(looptijd*$E120*$G120))</f>
        <v>0</v>
      </c>
      <c r="BS120" s="885"/>
      <c r="BT120" s="883">
        <f>(_schadekosten_per_bedrijfsuur_veegwagen*D120*L120)/12</f>
        <v>0</v>
      </c>
      <c r="BU120" s="884">
        <f>IF($L120=0,0,(BT120*12*looptijd)/($E120*$L120*looptijd))</f>
        <v>0</v>
      </c>
      <c r="BV120" s="881"/>
      <c r="BW120" s="886">
        <f>(Efac_die_TTW*(gem_verbr_die_veegwagen)*$D120*H120)</f>
        <v>0</v>
      </c>
      <c r="BX120" s="887">
        <f>(Efac_die_WTW*(gem_verbr_die_veegwagen)*$D120*H120)</f>
        <v>0</v>
      </c>
      <c r="BY120" s="888">
        <f>IF($G120=0,0,(BX120*looptijd)/($E120*$G120*looptijd))</f>
        <v>0</v>
      </c>
      <c r="BZ120" s="889"/>
      <c r="CA120" s="886">
        <f>(Efac_die_TTW*(gem_verbr_die_veegwagen)*$D120*M120)+(Efac_elek_berekening_TTW*(gem_verbr_BEV_veegwagen)*$D120*P120)+(Efac_elek_berekening_TTW*(gem_verbr_FCEV_veegwagen_Elek)*(100%-_verh_H2_accu_veegwagen)*Q120*$D120)+(Efac_H2_berekening_TTW*(gem_verbr_FCEV_veegwagen_H2)*(_verh_H2_accu_veegwagen)*Q120*$D120)</f>
        <v>0</v>
      </c>
      <c r="CB120" s="887">
        <f>(Efac_die_WTW*(gem_verbr_die_veegwagen)*$E120*M120)+(Efac_elek_berekening_WTW*(gem_verbr_BEV_veegwagen)*$E120*P120)+(Efac_elek_berekening_WTW*(gem_verbr_FCEV_veegwagen_Elek)*(100%-_verh_H2_accu_veegwagen)*Q120*$E120)+(Efac_H2_berekening_WTW*(gem_verbr_FCEV_veegwagen_H2)*(_verh_H2_accu_veegwagen)*Q120*$E120)</f>
        <v>0</v>
      </c>
      <c r="CC120" s="888">
        <f>IF($L120=0,0,(CB120*looptijd)/($L120*$E120*looptijd))</f>
        <v>0</v>
      </c>
    </row>
    <row r="121" spans="1:81" ht="16" thickBot="1">
      <c r="A121" s="891">
        <v>50</v>
      </c>
      <c r="B121" s="900" t="s">
        <v>1640</v>
      </c>
      <c r="C121" s="901" t="s">
        <v>4257</v>
      </c>
      <c r="D121" s="901">
        <v>2500</v>
      </c>
      <c r="E121" s="902">
        <f>D121*_gem_snelheid_veegmachines</f>
        <v>50000</v>
      </c>
      <c r="F121" s="873"/>
      <c r="G121" s="903">
        <f t="shared" si="17"/>
        <v>0</v>
      </c>
      <c r="H121" s="901">
        <v>0</v>
      </c>
      <c r="I121" s="904">
        <v>0</v>
      </c>
      <c r="J121" s="905">
        <v>0</v>
      </c>
      <c r="K121" s="873"/>
      <c r="L121" s="903">
        <f t="shared" si="18"/>
        <v>0</v>
      </c>
      <c r="M121" s="901">
        <v>0</v>
      </c>
      <c r="N121" s="901">
        <v>0</v>
      </c>
      <c r="O121" s="901">
        <v>0</v>
      </c>
      <c r="P121" s="901">
        <v>0</v>
      </c>
      <c r="Q121" s="906">
        <v>0</v>
      </c>
      <c r="S121" s="907">
        <f>(L121*E121*looptijd)</f>
        <v>0</v>
      </c>
      <c r="U121" s="908">
        <f>(cat_prijs_net_dies_veegwagen*H121)</f>
        <v>0</v>
      </c>
      <c r="V121" s="909">
        <f>IF($G121=0,0,U121/($E121*$G121*looptijd))</f>
        <v>0</v>
      </c>
      <c r="W121" s="910">
        <f>IF(BPM_belasting="ja",(BPM_die_veegwagen*H121),0)</f>
        <v>0</v>
      </c>
      <c r="X121" s="909">
        <f>IF($G121=0,0,W121/($E121*looptijd*$G121))</f>
        <v>0</v>
      </c>
      <c r="Y121" s="911">
        <f>BTW*U121</f>
        <v>0</v>
      </c>
      <c r="Z121" s="911">
        <f>SUM(U121:Y121)</f>
        <v>0</v>
      </c>
      <c r="AA121" s="911">
        <f>IF(BTW_verrekening="ja",((U121+W121-AW121))/2*Rente_financiering,((U121+W121+Y121-AW121)/2)*Rente_financiering)</f>
        <v>0</v>
      </c>
      <c r="AB121" s="912">
        <f>IF(G121=0,0,AA121*looptijd/($E121*looptijd*$G121))</f>
        <v>0</v>
      </c>
      <c r="AD121" s="908">
        <f>(Netto_cat_die_veegwagen*M121)+(Netto_cat_BEV_veegwagen*P121)+(Netto_cat_FCEV_veegwagen*Q121)</f>
        <v>0</v>
      </c>
      <c r="AE121" s="909">
        <f>IF($L121=0,0,AD121/($E121*$L121*looptijd))</f>
        <v>0</v>
      </c>
      <c r="AF121" s="913">
        <f>IF(BPM_belasting="ja",(BPM_benz_A*N121)+(BPM_CNG_A*O121)+(P121*BPM_BEV)+(Q121*BPM_FCEV),0)</f>
        <v>0</v>
      </c>
      <c r="AG121" s="913">
        <f>IF($L121=0,0,AF121/($E121*looptijd*$L121))</f>
        <v>0</v>
      </c>
      <c r="AH121" s="913">
        <f>BTW*AD121</f>
        <v>0</v>
      </c>
      <c r="AI121" s="913">
        <f>SUM(AD121:AH121)</f>
        <v>0</v>
      </c>
      <c r="AJ121" s="913">
        <f>IF('2. Invoer parameters'!$C$10="ja",MIA_BEV_veegwagen*P121,0)</f>
        <v>0</v>
      </c>
      <c r="AK121" s="914">
        <f>IF($L121=0,0,AJ121/($E121*looptijd*$L121))</f>
        <v>0</v>
      </c>
      <c r="AL121" s="915">
        <f>IF(BPM_belasting="nee",(((AD121-AJ121)-BK121)/2)*Rente_financiering,(((AD121-AJ121+AF121)-BL121)/2)*Rente_financiering)</f>
        <v>0</v>
      </c>
      <c r="AM121" s="912">
        <f>IF($L121=0,0,AL121*looptijd/($E121*looptijd*$L121))</f>
        <v>0</v>
      </c>
      <c r="AO121" s="916">
        <f>(H121*verz_die_veegwagen)</f>
        <v>0</v>
      </c>
      <c r="AP121" s="909">
        <f>IF($G121=0,0,(AO121*12*looptijd)/($E121*looptijd*$G121))</f>
        <v>0</v>
      </c>
      <c r="AQ121" s="910">
        <f>(input_MRB_die_veegwagen*$H121)</f>
        <v>0</v>
      </c>
      <c r="AR121" s="909">
        <f>IF($G121=0,0,AQ121/($E121*looptijd*$G121))</f>
        <v>0</v>
      </c>
      <c r="AS121" s="913">
        <f>($D121*H121*(gem_verbr_die_veegwagen)*prijs_die)</f>
        <v>0</v>
      </c>
      <c r="AT121" s="909">
        <f>IF($G121=0,0,(AS121*looptijd)/(looptijd*$E121*$G121))</f>
        <v>0</v>
      </c>
      <c r="AU121" s="913">
        <f>($D121*H121*Onderh_die_veegwagen_hoog_km)</f>
        <v>0</v>
      </c>
      <c r="AV121" s="909">
        <f t="shared" si="11"/>
        <v>0</v>
      </c>
      <c r="AW121" s="913">
        <f>Rest_perc_veegwagen*SUM(U121:W121)</f>
        <v>0</v>
      </c>
      <c r="AX121" s="915">
        <f>Rest_perc_veegwagen*SUM(U121:Y121)</f>
        <v>0</v>
      </c>
      <c r="AY121" s="913">
        <f>IF(BTW_verrekening="Ja",((U121+W121)-AW121)/(looptijd*12),((U121+W121+Y121)-AX121)/(looptijd*12))</f>
        <v>0</v>
      </c>
      <c r="AZ121" s="909">
        <f>IF($G121=0,0,(AY121*12*looptijd)/(looptijd*$E121*$G121))</f>
        <v>0</v>
      </c>
      <c r="BA121" s="917">
        <f>(_schadekosten_per_bedrijfsuur_veegwagen*D121*G121)/12</f>
        <v>0</v>
      </c>
      <c r="BB121" s="918">
        <f>IF($G121=0,0,(BA121*12*looptijd)/($E121*$G121*looptijd))</f>
        <v>0</v>
      </c>
      <c r="BD121" s="916">
        <f>(M121*verz_die_veegwagen)+(P121*verz_FCEV_veegwagen)+(Q121*verz_BEV_veegwagen)</f>
        <v>0</v>
      </c>
      <c r="BE121" s="909">
        <f>IF($L121=0,0,(BD121*12*looptijd)/($E121*looptijd*$L121))</f>
        <v>0</v>
      </c>
      <c r="BF121" s="913">
        <f>(MRB_die_veegwagen*M121)+(input_MRB_BEV_veegwagen*P121)+(input_MRB_FCEV_veegwagen*Q121)</f>
        <v>0</v>
      </c>
      <c r="BG121" s="909">
        <f>IF($L121=0,0,BF121/($E121*looptijd*$L121))</f>
        <v>0</v>
      </c>
      <c r="BH121" s="913">
        <f>($D121*M121*(gem_verbr_die_veegwagen)*prijs_die)+($D121*P121*(gem_verbr_BEV_veegwagen)*prijs_elek_berekening)+($D121*Q121*(gem_verbr_FCEV_veegwagen_Elek)*prijs_elek_berekening*(100%-_verh_H2_accu_veegwagen))+($D121*Q121*(gem_verbr_FCEV_veegwagen_H2)*prijs_H2*(_verh_H2_accu_veegwagen))</f>
        <v>0</v>
      </c>
      <c r="BI121" s="909">
        <f>IF($L121=0,0,(BH121*looptijd)/(looptijd*$E121*$L121))</f>
        <v>0</v>
      </c>
      <c r="BJ121" s="919"/>
      <c r="BK121" s="913">
        <f>Rest_perc_veegwagen*(AD121+AF121)</f>
        <v>0</v>
      </c>
      <c r="BL121" s="913">
        <f>Rest_perc_ZE*(AD121+AF121+AH121)</f>
        <v>0</v>
      </c>
      <c r="BM121" s="919"/>
      <c r="BN121" s="913">
        <f>($D121*M121*Onderh_die_veegwagen_hoog_km)+($D121*P121*Onderh_BEV_veegwagen_hoog_km)+($D121*Q121*Onderh_FCEV_veegwagen_hoog_km)</f>
        <v>0</v>
      </c>
      <c r="BO121" s="909">
        <f>IF($L121=0,0,(BN121*looptijd)/(looptijd*$E121*$L121))</f>
        <v>0</v>
      </c>
      <c r="BP121" s="913"/>
      <c r="BQ121" s="913">
        <f>IF(BTW_verrekening="Ja",((AD121+AF121-AJ121)-BK121)/(looptijd*12),((AD121+AF121+AH121-AJ121)-BL121)/(looptijd*12))</f>
        <v>0</v>
      </c>
      <c r="BR121" s="909">
        <f>IF($G121=0,0,(BQ121*12*looptijd)/(looptijd*$E121*$G121))</f>
        <v>0</v>
      </c>
      <c r="BS121" s="919"/>
      <c r="BT121" s="917">
        <f>(_schadekosten_per_bedrijfsuur_veegwagen*D121*L121)/12</f>
        <v>0</v>
      </c>
      <c r="BU121" s="918">
        <f>IF($L121=0,0,(BT121*12*looptijd)/($E121*$L121*looptijd))</f>
        <v>0</v>
      </c>
      <c r="BV121" s="881"/>
      <c r="BW121" s="920">
        <f>(Efac_die_TTW*(gem_verbr_die_veegwagen)*$D121*H121)</f>
        <v>0</v>
      </c>
      <c r="BX121" s="921">
        <f>(Efac_die_WTW*(gem_verbr_die_veegwagen)*$D121*H121)</f>
        <v>0</v>
      </c>
      <c r="BY121" s="922">
        <f>IF($G121=0,0,(BX121*looptijd)/($E121*$G121*looptijd))</f>
        <v>0</v>
      </c>
      <c r="BZ121" s="889"/>
      <c r="CA121" s="920">
        <f>(Efac_die_TTW*(gem_verbr_die_veegwagen)*$D121*M121)+(Efac_elek_berekening_TTW*(gem_verbr_BEV_veegwagen)*$D121*P121)+(Efac_elek_berekening_TTW*(gem_verbr_FCEV_veegwagen_Elek)*(100%-_verh_H2_accu_veegwagen)*Q121*$D121)+(Efac_H2_berekening_TTW*(gem_verbr_FCEV_veegwagen_H2)*(_verh_H2_accu_veegwagen)*Q121*$D121)</f>
        <v>0</v>
      </c>
      <c r="CB121" s="921">
        <f>(Efac_die_WTW*(gem_verbr_die_veegwagen)*$E121*M121)+(Efac_elek_berekening_WTW*(gem_verbr_BEV_veegwagen)*$E121*P121)+(Efac_elek_berekening_WTW*(gem_verbr_FCEV_veegwagen_Elek)*(100%-_verh_H2_accu_veegwagen)*Q121*$E121)+(Efac_H2_berekening_WTW*(gem_verbr_FCEV_veegwagen_H2)*(_verh_H2_accu_veegwagen)*Q121*$E121)</f>
        <v>0</v>
      </c>
      <c r="CC121" s="922">
        <f>IF($L121=0,0,(CB121*looptijd)/($L121*$E121*looptijd))</f>
        <v>0</v>
      </c>
    </row>
    <row r="122" spans="1:81" ht="16" thickBot="1">
      <c r="BQ122" s="923"/>
    </row>
    <row r="123" spans="1:81" ht="16" thickBot="1">
      <c r="G123" s="924">
        <f>SUM(G3:G121)</f>
        <v>0</v>
      </c>
      <c r="H123" s="925">
        <f>SUM(H3:H121)</f>
        <v>0</v>
      </c>
      <c r="I123" s="925">
        <f>SUM(I3:I121)</f>
        <v>0</v>
      </c>
      <c r="J123" s="926">
        <f>SUM(J3:J121)</f>
        <v>0</v>
      </c>
      <c r="L123" s="924">
        <f t="shared" ref="L123:Q123" si="19">SUM(L3:L121)</f>
        <v>0</v>
      </c>
      <c r="M123" s="925">
        <f t="shared" si="19"/>
        <v>0</v>
      </c>
      <c r="N123" s="925">
        <f t="shared" si="19"/>
        <v>0</v>
      </c>
      <c r="O123" s="925">
        <f t="shared" si="19"/>
        <v>0</v>
      </c>
      <c r="P123" s="925">
        <f t="shared" si="19"/>
        <v>0</v>
      </c>
      <c r="Q123" s="926">
        <f t="shared" si="19"/>
        <v>0</v>
      </c>
      <c r="S123" s="927">
        <f>SUM(S3:S121)</f>
        <v>0</v>
      </c>
      <c r="U123" s="928">
        <f>SUM(U3:U121)</f>
        <v>0</v>
      </c>
      <c r="V123" s="929" t="e">
        <f>SUMPRODUCT($G3:$G121,V3:V121)/SUM($G$3:$G121)</f>
        <v>#DIV/0!</v>
      </c>
      <c r="W123" s="930">
        <f>SUM(W3:W121)</f>
        <v>0</v>
      </c>
      <c r="X123" s="929" t="e">
        <f>SUMPRODUCT($G3:$G121,X3:X121)/SUM($G$3:$G121)</f>
        <v>#DIV/0!</v>
      </c>
      <c r="Y123" s="930">
        <f>SUM(Y3:Y121)</f>
        <v>0</v>
      </c>
      <c r="Z123" s="930">
        <f>SUM(Z3:Z121)</f>
        <v>0</v>
      </c>
      <c r="AA123" s="930">
        <f>SUM(AA3:AA121)</f>
        <v>0</v>
      </c>
      <c r="AB123" s="931" t="e">
        <f>SUMPRODUCT($G3:$G121,AB3:AB121)/SUM($G$3:$G121)</f>
        <v>#DIV/0!</v>
      </c>
      <c r="AD123" s="932">
        <f>SUM(AD3:AD121)</f>
        <v>0</v>
      </c>
      <c r="AE123" s="929" t="e">
        <f>SUMPRODUCT($L3:$L121,AE3:AE121)/SUM($L$3:$L121)</f>
        <v>#DIV/0!</v>
      </c>
      <c r="AF123" s="933">
        <f>SUM(AF3:AF121)</f>
        <v>0</v>
      </c>
      <c r="AG123" s="934" t="e">
        <f>SUMPRODUCT($L3:$L121,AG3:AG121)/SUM($L$3:$L121)</f>
        <v>#DIV/0!</v>
      </c>
      <c r="AH123" s="933">
        <f>SUM(AH3:AH121)</f>
        <v>0</v>
      </c>
      <c r="AI123" s="933">
        <f>SUM(AI3:AI121)</f>
        <v>0</v>
      </c>
      <c r="AJ123" s="933">
        <f>SUM(AJ3:AJ121)</f>
        <v>0</v>
      </c>
      <c r="AK123" s="929" t="e">
        <f>SUMPRODUCT($L3:$L121,AK3:AK121)/SUM($L$3:$L121)</f>
        <v>#DIV/0!</v>
      </c>
      <c r="AL123" s="933">
        <f>SUM(AL3:AL121)</f>
        <v>0</v>
      </c>
      <c r="AM123" s="931" t="e">
        <f>SUMPRODUCT($L3:$L121,AM3:AM121)/SUM($L3:$L121)</f>
        <v>#DIV/0!</v>
      </c>
      <c r="AO123" s="932">
        <f>SUM(AO3:AO121)</f>
        <v>0</v>
      </c>
      <c r="AP123" s="929" t="e">
        <f>SUMPRODUCT($G3:$G121,AP3:AP121)/SUM($G3:$G121)</f>
        <v>#DIV/0!</v>
      </c>
      <c r="AQ123" s="933">
        <f>SUM(AQ3:AQ121)</f>
        <v>0</v>
      </c>
      <c r="AR123" s="929" t="e">
        <f>SUMPRODUCT($G3:$G121,AR3:AR121)/SUM($G3:$G121)</f>
        <v>#DIV/0!</v>
      </c>
      <c r="AS123" s="933">
        <f>SUM(AS3:AS121)</f>
        <v>0</v>
      </c>
      <c r="AT123" s="929" t="e">
        <f>SUMPRODUCT($G3:$G121,AT3:AT121)/SUM($G3:$G121)</f>
        <v>#DIV/0!</v>
      </c>
      <c r="AU123" s="933">
        <f>SUM(AU3:AU121)</f>
        <v>0</v>
      </c>
      <c r="AV123" s="929" t="e">
        <f>SUMPRODUCT($G3:$G121,AV3:AV121)/SUM($G3:$G121)</f>
        <v>#DIV/0!</v>
      </c>
      <c r="AW123" s="933">
        <f>SUM(AW3:AW121)</f>
        <v>0</v>
      </c>
      <c r="AX123" s="933">
        <f>SUM(AX3:AX121)</f>
        <v>0</v>
      </c>
      <c r="AY123" s="933">
        <f>SUM(AY3:AY121)</f>
        <v>0</v>
      </c>
      <c r="AZ123" s="929" t="e">
        <f>SUMPRODUCT($G3:$G121,AZ3:AZ121)/SUM($G3:$G121)</f>
        <v>#DIV/0!</v>
      </c>
      <c r="BA123" s="933">
        <f>SUM(BA3:BA121)</f>
        <v>0</v>
      </c>
      <c r="BB123" s="931" t="e">
        <f>SUMPRODUCT($G3:$G121,BB3:BB121)/SUM($G3:$G121)</f>
        <v>#DIV/0!</v>
      </c>
      <c r="BD123" s="932">
        <f>SUM(BD3:BD121)</f>
        <v>0</v>
      </c>
      <c r="BE123" s="929" t="e">
        <f>SUMPRODUCT($L3:$L121,BE3:BE121)/SUM($L3:$L121)</f>
        <v>#DIV/0!</v>
      </c>
      <c r="BF123" s="933">
        <f>SUM(BF3:BF121)</f>
        <v>0</v>
      </c>
      <c r="BG123" s="929" t="e">
        <f>SUMPRODUCT($L3:$L121,BG3:BG121)/SUM($L3:$L121)</f>
        <v>#DIV/0!</v>
      </c>
      <c r="BH123" s="933">
        <f>SUM(BH3:BH121)</f>
        <v>0</v>
      </c>
      <c r="BI123" s="929" t="e">
        <f>SUMPRODUCT($L3:$L121,BI3:BI121)/SUM($L3:$L121)</f>
        <v>#DIV/0!</v>
      </c>
      <c r="BJ123" s="933"/>
      <c r="BK123" s="933">
        <f>SUM(BK3:BK121)</f>
        <v>0</v>
      </c>
      <c r="BL123" s="933">
        <f>SUM(BL3:BL121)</f>
        <v>0</v>
      </c>
      <c r="BM123" s="933"/>
      <c r="BN123" s="933">
        <f>SUM(BN3:BN121)</f>
        <v>0</v>
      </c>
      <c r="BO123" s="929" t="e">
        <f>SUMPRODUCT($L3:$L121,BO3:BO121)/SUM($L3:$L121)</f>
        <v>#DIV/0!</v>
      </c>
      <c r="BP123" s="933"/>
      <c r="BQ123" s="933">
        <f>SUM(BQ3:BQ121)</f>
        <v>0</v>
      </c>
      <c r="BR123" s="929" t="e">
        <f>SUMPRODUCT($L3:$L121,BR3:BR121)/SUM($L3:$L121)</f>
        <v>#DIV/0!</v>
      </c>
      <c r="BS123" s="933">
        <f>SUM(BS3:BS121)</f>
        <v>0</v>
      </c>
      <c r="BT123" s="933">
        <f>SUM(BT3:BT121)</f>
        <v>0</v>
      </c>
      <c r="BU123" s="931" t="e">
        <f>SUMPRODUCT($L3:$L121,BU3:BU121)/SUM($L3:$L121)</f>
        <v>#DIV/0!</v>
      </c>
      <c r="BW123" s="935">
        <f>SUM(BW3:BW121)</f>
        <v>0</v>
      </c>
      <c r="BX123" s="936">
        <f>SUM(BX3:BX121)</f>
        <v>0</v>
      </c>
      <c r="BY123" s="937" t="e">
        <f>SUMPRODUCT($G3:$G121,BY3:BY121)/SUM($G3:$G121)</f>
        <v>#DIV/0!</v>
      </c>
      <c r="BZ123" s="936"/>
      <c r="CA123" s="935">
        <f>SUM(CA3:CA121)</f>
        <v>0</v>
      </c>
      <c r="CB123" s="936">
        <f>SUM(CB3:CB121)</f>
        <v>0</v>
      </c>
      <c r="CC123" s="937" t="e">
        <f>SUMPRODUCT($G3:$G121,CC3:CC121)/SUM($G3:$G121)</f>
        <v>#DIV/0!</v>
      </c>
    </row>
    <row r="124" spans="1:81" ht="16" thickBot="1">
      <c r="AP124" s="938"/>
      <c r="BW124" s="844"/>
    </row>
    <row r="125" spans="1:81" ht="16" thickBot="1">
      <c r="B125" s="939" t="s">
        <v>4259</v>
      </c>
      <c r="C125" s="843"/>
      <c r="D125" s="843"/>
      <c r="E125" s="940">
        <v>20</v>
      </c>
      <c r="G125" s="176" t="s">
        <v>4260</v>
      </c>
      <c r="O125" s="215" t="s">
        <v>1629</v>
      </c>
      <c r="P125" s="216"/>
      <c r="Q125" s="217"/>
      <c r="V125" s="941"/>
    </row>
    <row r="126" spans="1:81">
      <c r="O126" s="942" t="s">
        <v>165</v>
      </c>
      <c r="P126" s="854"/>
      <c r="Q126" s="943">
        <f>P123</f>
        <v>0</v>
      </c>
      <c r="V126" s="176" t="s">
        <v>4258</v>
      </c>
      <c r="AL126" s="839"/>
      <c r="AM126" s="840"/>
      <c r="AN126" s="840"/>
      <c r="AO126" s="840" t="s">
        <v>114</v>
      </c>
      <c r="AP126" s="840"/>
      <c r="AQ126" s="841" t="s">
        <v>830</v>
      </c>
      <c r="AR126" s="889"/>
    </row>
    <row r="127" spans="1:81">
      <c r="B127" s="944"/>
      <c r="C127" s="176" t="s">
        <v>1373</v>
      </c>
      <c r="O127" s="845" t="s">
        <v>1628</v>
      </c>
      <c r="P127" s="846"/>
      <c r="Q127" s="850">
        <f>SUM(Q63:Q121)</f>
        <v>0</v>
      </c>
      <c r="AL127" s="867"/>
      <c r="AM127" s="889"/>
      <c r="AN127" s="889"/>
      <c r="AO127" s="889"/>
      <c r="AP127" s="889"/>
      <c r="AQ127" s="869"/>
      <c r="AR127" s="889"/>
    </row>
    <row r="128" spans="1:81" ht="16" thickBot="1">
      <c r="O128" s="945" t="s">
        <v>1627</v>
      </c>
      <c r="P128" s="946"/>
      <c r="Q128" s="947">
        <f>SUM(Q3:Q61)</f>
        <v>0</v>
      </c>
      <c r="AL128" s="867" t="s">
        <v>106</v>
      </c>
      <c r="AM128" s="889"/>
      <c r="AN128" s="889"/>
      <c r="AO128" s="883">
        <f>AO123</f>
        <v>0</v>
      </c>
      <c r="AP128" s="883"/>
      <c r="AQ128" s="948">
        <f>BD123</f>
        <v>0</v>
      </c>
      <c r="AR128" s="883"/>
    </row>
    <row r="129" spans="2:44">
      <c r="B129" s="176" t="s">
        <v>1709</v>
      </c>
      <c r="AL129" s="867" t="s">
        <v>831</v>
      </c>
      <c r="AM129" s="889"/>
      <c r="AN129" s="889"/>
      <c r="AO129" s="949">
        <f>U123</f>
        <v>0</v>
      </c>
      <c r="AP129" s="949"/>
      <c r="AQ129" s="948">
        <f>AD123</f>
        <v>0</v>
      </c>
      <c r="AR129" s="883"/>
    </row>
    <row r="130" spans="2:44" ht="16" thickBot="1">
      <c r="AL130" s="950"/>
      <c r="AM130" s="951"/>
      <c r="AN130" s="951"/>
      <c r="AO130" s="951"/>
      <c r="AP130" s="951"/>
      <c r="AQ130" s="952"/>
      <c r="AR130" s="889"/>
    </row>
    <row r="131" spans="2:44" ht="16" thickBot="1">
      <c r="B131" s="953" t="s">
        <v>316</v>
      </c>
      <c r="C131" s="925" t="s">
        <v>112</v>
      </c>
      <c r="D131" s="925"/>
      <c r="E131" s="926" t="s">
        <v>1710</v>
      </c>
    </row>
    <row r="132" spans="2:44">
      <c r="B132" s="954" t="s">
        <v>163</v>
      </c>
      <c r="C132" s="889" t="s">
        <v>1330</v>
      </c>
      <c r="D132" s="889"/>
      <c r="E132" s="869">
        <f>SUM('1a. Invoer - BESTAAND'!E4:I13)</f>
        <v>0</v>
      </c>
    </row>
    <row r="133" spans="2:44">
      <c r="B133" s="954"/>
      <c r="C133" s="889" t="s">
        <v>1332</v>
      </c>
      <c r="D133" s="889"/>
      <c r="E133" s="869">
        <f>SUM('1a. Invoer - BESTAAND'!E15:I15)</f>
        <v>0</v>
      </c>
    </row>
    <row r="134" spans="2:44">
      <c r="B134" s="954"/>
      <c r="C134" s="889" t="s">
        <v>1331</v>
      </c>
      <c r="D134" s="889"/>
      <c r="E134" s="869">
        <f>SUM('1a. Invoer - BESTAAND'!E19:I19)</f>
        <v>0</v>
      </c>
    </row>
    <row r="135" spans="2:44">
      <c r="B135" s="954"/>
      <c r="C135" s="889" t="s">
        <v>2045</v>
      </c>
      <c r="D135" s="889"/>
      <c r="E135" s="869">
        <f>SUM('1a. Invoer - BESTAAND'!E24:I27)</f>
        <v>0</v>
      </c>
    </row>
    <row r="136" spans="2:44">
      <c r="B136" s="954" t="s">
        <v>790</v>
      </c>
      <c r="C136" s="889" t="s">
        <v>1330</v>
      </c>
      <c r="D136" s="889"/>
      <c r="E136" s="869">
        <f>SUM('1a. Invoer - BESTAAND'!E33:I42)</f>
        <v>0</v>
      </c>
    </row>
    <row r="137" spans="2:44">
      <c r="B137" s="954"/>
      <c r="C137" s="889" t="s">
        <v>1332</v>
      </c>
      <c r="D137" s="889"/>
      <c r="E137" s="869">
        <f>SUM('1a. Invoer - BESTAAND'!E44:I44,'1a. Invoer - BESTAAND'!E46:I46)</f>
        <v>0</v>
      </c>
    </row>
    <row r="138" spans="2:44">
      <c r="B138" s="954"/>
      <c r="C138" s="889" t="s">
        <v>1331</v>
      </c>
      <c r="D138" s="889"/>
      <c r="E138" s="869">
        <f>SUM('1a. Invoer - BESTAAND'!E48:I48,'1a. Invoer - BESTAAND'!E50:I51)</f>
        <v>0</v>
      </c>
    </row>
    <row r="139" spans="2:44">
      <c r="B139" s="954"/>
      <c r="C139" s="889" t="s">
        <v>2045</v>
      </c>
      <c r="D139" s="889"/>
      <c r="E139" s="869">
        <f>SUM('1a. Invoer - BESTAAND'!E53:I56)</f>
        <v>0</v>
      </c>
    </row>
    <row r="140" spans="2:44">
      <c r="B140" s="954" t="s">
        <v>134</v>
      </c>
      <c r="C140" s="889" t="s">
        <v>1330</v>
      </c>
      <c r="D140" s="889"/>
      <c r="E140" s="869">
        <f>SUM('1a. Invoer - BESTAAND'!J5:N13)</f>
        <v>0</v>
      </c>
    </row>
    <row r="141" spans="2:44">
      <c r="B141" s="954"/>
      <c r="C141" s="889" t="s">
        <v>1332</v>
      </c>
      <c r="D141" s="889"/>
      <c r="E141" s="869">
        <f>SUM('1a. Invoer - BESTAAND'!J15:N17)</f>
        <v>0</v>
      </c>
    </row>
    <row r="142" spans="2:44">
      <c r="B142" s="954"/>
      <c r="C142" s="889" t="s">
        <v>1331</v>
      </c>
      <c r="D142" s="889"/>
      <c r="E142" s="869">
        <f>SUM('1a. Invoer - BESTAAND'!J19:N22)</f>
        <v>0</v>
      </c>
    </row>
    <row r="143" spans="2:44" ht="16" thickBot="1">
      <c r="B143" s="955"/>
      <c r="C143" s="951" t="s">
        <v>2045</v>
      </c>
      <c r="D143" s="951"/>
      <c r="E143" s="952">
        <f>SUM('1a. Invoer - BESTAAND'!J24:N27)</f>
        <v>0</v>
      </c>
    </row>
    <row r="144" spans="2:44" ht="16" thickBot="1"/>
    <row r="145" spans="2:5" ht="16" thickBot="1">
      <c r="B145" s="956" t="s">
        <v>1711</v>
      </c>
      <c r="C145" s="854" t="s">
        <v>1715</v>
      </c>
      <c r="D145" s="854"/>
      <c r="E145" s="841"/>
    </row>
    <row r="146" spans="2:5">
      <c r="B146" s="839" t="s">
        <v>1714</v>
      </c>
      <c r="C146" s="957">
        <f>'2. Invoer parameters'!C17</f>
        <v>0.4</v>
      </c>
      <c r="D146" s="958"/>
      <c r="E146" s="841"/>
    </row>
    <row r="147" spans="2:5">
      <c r="B147" s="867" t="s">
        <v>1713</v>
      </c>
      <c r="C147" s="959">
        <f>'2. Invoer parameters'!C18</f>
        <v>0.05</v>
      </c>
      <c r="D147" s="960"/>
      <c r="E147" s="869"/>
    </row>
    <row r="148" spans="2:5">
      <c r="B148" s="867" t="s">
        <v>1712</v>
      </c>
      <c r="C148" s="959">
        <f>'2. Invoer parameters'!C19</f>
        <v>0.25</v>
      </c>
      <c r="D148" s="960"/>
      <c r="E148" s="869"/>
    </row>
    <row r="149" spans="2:5" ht="16" thickBot="1">
      <c r="B149" s="950" t="s">
        <v>1739</v>
      </c>
      <c r="C149" s="961">
        <f>'2. Invoer parameters'!C20</f>
        <v>0.3</v>
      </c>
      <c r="D149" s="962"/>
      <c r="E149" s="952"/>
    </row>
  </sheetData>
  <sheetProtection algorithmName="SHA-512" hashValue="Idj4nGvBL9TVP3hUIWli2YFvd4KnNVmKPkx0wIc4hL+yGNWaBS7EJliLL9GXrsaeCxheVZrfmfmtRCOwFlhmkg==" saltValue="BxpcpHeq3pG8ihFnZoUztw==" spinCount="100000" sheet="1" objects="1" scenarios="1"/>
  <mergeCells count="8">
    <mergeCell ref="BW1:BY1"/>
    <mergeCell ref="CA1:CC1"/>
    <mergeCell ref="G1:J1"/>
    <mergeCell ref="U1:AB1"/>
    <mergeCell ref="AD1:AM1"/>
    <mergeCell ref="BD1:BU1"/>
    <mergeCell ref="AO1:BB1"/>
    <mergeCell ref="L1:Q1"/>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74BA5-A552-4143-91A7-A2B09ACCB946}">
  <sheetPr codeName="Sheet22" filterMode="1">
    <tabColor theme="4"/>
  </sheetPr>
  <dimension ref="A1:B1188"/>
  <sheetViews>
    <sheetView topLeftCell="A82" workbookViewId="0">
      <selection activeCell="A82" sqref="A1:XFD1048576"/>
    </sheetView>
  </sheetViews>
  <sheetFormatPr baseColWidth="10" defaultRowHeight="16"/>
  <cols>
    <col min="1" max="1" width="48.33203125" style="171" customWidth="1"/>
    <col min="2" max="2" width="68.6640625" style="171" customWidth="1"/>
    <col min="3" max="16384" width="10.83203125" style="171"/>
  </cols>
  <sheetData>
    <row r="1" spans="1:2">
      <c r="A1" s="652" t="s">
        <v>2047</v>
      </c>
      <c r="B1" s="652" t="s">
        <v>2048</v>
      </c>
    </row>
    <row r="2" spans="1:2" customFormat="1" hidden="1">
      <c r="A2" t="s">
        <v>2049</v>
      </c>
      <c r="B2" t="s">
        <v>2050</v>
      </c>
    </row>
    <row r="3" spans="1:2" customFormat="1" hidden="1">
      <c r="A3" t="s">
        <v>2051</v>
      </c>
      <c r="B3" t="s">
        <v>2052</v>
      </c>
    </row>
    <row r="4" spans="1:2" customFormat="1" hidden="1">
      <c r="A4" t="s">
        <v>2053</v>
      </c>
      <c r="B4" t="s">
        <v>2054</v>
      </c>
    </row>
    <row r="5" spans="1:2" customFormat="1" hidden="1">
      <c r="A5" t="s">
        <v>2055</v>
      </c>
      <c r="B5" t="s">
        <v>2050</v>
      </c>
    </row>
    <row r="6" spans="1:2" customFormat="1" hidden="1">
      <c r="A6" t="s">
        <v>2056</v>
      </c>
      <c r="B6" t="s">
        <v>2057</v>
      </c>
    </row>
    <row r="7" spans="1:2" customFormat="1" hidden="1">
      <c r="A7" t="s">
        <v>2058</v>
      </c>
      <c r="B7" t="s">
        <v>2059</v>
      </c>
    </row>
    <row r="8" spans="1:2" customFormat="1" hidden="1">
      <c r="A8" t="s">
        <v>2060</v>
      </c>
      <c r="B8" t="s">
        <v>2061</v>
      </c>
    </row>
    <row r="9" spans="1:2" customFormat="1" hidden="1">
      <c r="A9" t="s">
        <v>2062</v>
      </c>
      <c r="B9" t="s">
        <v>2063</v>
      </c>
    </row>
    <row r="10" spans="1:2" customFormat="1" hidden="1">
      <c r="A10" t="s">
        <v>2064</v>
      </c>
      <c r="B10" t="s">
        <v>2065</v>
      </c>
    </row>
    <row r="11" spans="1:2" customFormat="1" hidden="1">
      <c r="A11" t="s">
        <v>2066</v>
      </c>
      <c r="B11" t="s">
        <v>2067</v>
      </c>
    </row>
    <row r="12" spans="1:2" customFormat="1" hidden="1">
      <c r="A12" t="s">
        <v>2068</v>
      </c>
      <c r="B12" t="s">
        <v>2069</v>
      </c>
    </row>
    <row r="13" spans="1:2" customFormat="1" hidden="1">
      <c r="A13" t="s">
        <v>2070</v>
      </c>
      <c r="B13" t="s">
        <v>2071</v>
      </c>
    </row>
    <row r="14" spans="1:2" customFormat="1" hidden="1">
      <c r="A14" t="s">
        <v>2072</v>
      </c>
      <c r="B14" t="s">
        <v>2073</v>
      </c>
    </row>
    <row r="15" spans="1:2" customFormat="1" hidden="1">
      <c r="A15" t="s">
        <v>2074</v>
      </c>
      <c r="B15" t="s">
        <v>2075</v>
      </c>
    </row>
    <row r="16" spans="1:2" customFormat="1" hidden="1">
      <c r="A16" t="s">
        <v>2076</v>
      </c>
      <c r="B16" t="s">
        <v>2077</v>
      </c>
    </row>
    <row r="17" spans="1:2" customFormat="1" hidden="1">
      <c r="A17" t="s">
        <v>2078</v>
      </c>
      <c r="B17" t="s">
        <v>2079</v>
      </c>
    </row>
    <row r="18" spans="1:2" customFormat="1" hidden="1">
      <c r="A18" t="s">
        <v>2080</v>
      </c>
      <c r="B18" t="s">
        <v>2081</v>
      </c>
    </row>
    <row r="19" spans="1:2" customFormat="1" hidden="1">
      <c r="A19" t="s">
        <v>2082</v>
      </c>
      <c r="B19" t="s">
        <v>2083</v>
      </c>
    </row>
    <row r="20" spans="1:2" customFormat="1" hidden="1">
      <c r="A20" t="s">
        <v>2084</v>
      </c>
      <c r="B20" t="s">
        <v>2085</v>
      </c>
    </row>
    <row r="21" spans="1:2" customFormat="1" hidden="1">
      <c r="A21" t="s">
        <v>2086</v>
      </c>
      <c r="B21" t="s">
        <v>2087</v>
      </c>
    </row>
    <row r="22" spans="1:2" customFormat="1" hidden="1">
      <c r="A22" t="s">
        <v>2088</v>
      </c>
      <c r="B22" t="s">
        <v>2089</v>
      </c>
    </row>
    <row r="23" spans="1:2" customFormat="1" hidden="1">
      <c r="A23" t="s">
        <v>2090</v>
      </c>
      <c r="B23" t="s">
        <v>2091</v>
      </c>
    </row>
    <row r="24" spans="1:2" customFormat="1" hidden="1">
      <c r="A24" t="s">
        <v>2092</v>
      </c>
      <c r="B24" t="s">
        <v>2093</v>
      </c>
    </row>
    <row r="25" spans="1:2" customFormat="1" hidden="1">
      <c r="A25" t="s">
        <v>2094</v>
      </c>
      <c r="B25" t="s">
        <v>2095</v>
      </c>
    </row>
    <row r="26" spans="1:2" customFormat="1" hidden="1">
      <c r="A26" t="s">
        <v>2096</v>
      </c>
      <c r="B26" t="s">
        <v>2097</v>
      </c>
    </row>
    <row r="27" spans="1:2" customFormat="1" hidden="1">
      <c r="A27" t="s">
        <v>2098</v>
      </c>
      <c r="B27" t="s">
        <v>2099</v>
      </c>
    </row>
    <row r="28" spans="1:2" customFormat="1" hidden="1">
      <c r="A28" t="s">
        <v>2100</v>
      </c>
      <c r="B28" t="s">
        <v>2101</v>
      </c>
    </row>
    <row r="29" spans="1:2" customFormat="1" hidden="1">
      <c r="A29" t="s">
        <v>2102</v>
      </c>
      <c r="B29" t="s">
        <v>2103</v>
      </c>
    </row>
    <row r="30" spans="1:2" customFormat="1" hidden="1">
      <c r="A30" t="s">
        <v>2104</v>
      </c>
      <c r="B30" t="s">
        <v>2105</v>
      </c>
    </row>
    <row r="31" spans="1:2" customFormat="1" hidden="1">
      <c r="A31" t="s">
        <v>2106</v>
      </c>
      <c r="B31" t="s">
        <v>2107</v>
      </c>
    </row>
    <row r="32" spans="1:2" customFormat="1" hidden="1">
      <c r="A32" t="s">
        <v>2108</v>
      </c>
      <c r="B32" t="s">
        <v>2109</v>
      </c>
    </row>
    <row r="33" spans="1:2" customFormat="1" hidden="1">
      <c r="A33" t="s">
        <v>2110</v>
      </c>
      <c r="B33" t="s">
        <v>2111</v>
      </c>
    </row>
    <row r="34" spans="1:2" customFormat="1" hidden="1">
      <c r="A34" t="s">
        <v>2112</v>
      </c>
      <c r="B34" t="s">
        <v>2113</v>
      </c>
    </row>
    <row r="35" spans="1:2" customFormat="1" hidden="1">
      <c r="A35" t="s">
        <v>2114</v>
      </c>
      <c r="B35" t="s">
        <v>2115</v>
      </c>
    </row>
    <row r="36" spans="1:2" customFormat="1" hidden="1">
      <c r="A36" t="s">
        <v>2116</v>
      </c>
      <c r="B36" t="s">
        <v>2117</v>
      </c>
    </row>
    <row r="37" spans="1:2" customFormat="1" hidden="1">
      <c r="A37" t="s">
        <v>2118</v>
      </c>
      <c r="B37" t="s">
        <v>2119</v>
      </c>
    </row>
    <row r="38" spans="1:2" customFormat="1" hidden="1">
      <c r="A38" t="s">
        <v>2120</v>
      </c>
      <c r="B38" t="s">
        <v>2121</v>
      </c>
    </row>
    <row r="39" spans="1:2" customFormat="1" hidden="1">
      <c r="A39" t="s">
        <v>2122</v>
      </c>
      <c r="B39" t="s">
        <v>2123</v>
      </c>
    </row>
    <row r="40" spans="1:2" customFormat="1" hidden="1">
      <c r="A40" t="s">
        <v>2124</v>
      </c>
      <c r="B40" t="s">
        <v>2125</v>
      </c>
    </row>
    <row r="41" spans="1:2" customFormat="1" hidden="1">
      <c r="A41" t="s">
        <v>2126</v>
      </c>
      <c r="B41" t="s">
        <v>2127</v>
      </c>
    </row>
    <row r="42" spans="1:2" customFormat="1" hidden="1">
      <c r="A42" t="s">
        <v>2128</v>
      </c>
      <c r="B42" t="s">
        <v>2129</v>
      </c>
    </row>
    <row r="43" spans="1:2">
      <c r="A43" s="171" t="s">
        <v>2130</v>
      </c>
      <c r="B43" s="171" t="s">
        <v>2131</v>
      </c>
    </row>
    <row r="44" spans="1:2">
      <c r="A44" s="171" t="s">
        <v>2132</v>
      </c>
      <c r="B44" s="171" t="s">
        <v>2133</v>
      </c>
    </row>
    <row r="45" spans="1:2">
      <c r="A45" s="171" t="s">
        <v>2134</v>
      </c>
      <c r="B45" s="171" t="s">
        <v>2135</v>
      </c>
    </row>
    <row r="46" spans="1:2">
      <c r="A46" s="171" t="s">
        <v>2136</v>
      </c>
      <c r="B46" s="171" t="s">
        <v>2137</v>
      </c>
    </row>
    <row r="47" spans="1:2" customFormat="1" hidden="1">
      <c r="A47" t="s">
        <v>2138</v>
      </c>
      <c r="B47" t="s">
        <v>2139</v>
      </c>
    </row>
    <row r="48" spans="1:2" customFormat="1" hidden="1">
      <c r="A48" t="s">
        <v>2140</v>
      </c>
      <c r="B48" t="s">
        <v>2141</v>
      </c>
    </row>
    <row r="49" spans="1:2" customFormat="1" hidden="1">
      <c r="A49" t="s">
        <v>2142</v>
      </c>
      <c r="B49" t="s">
        <v>2143</v>
      </c>
    </row>
    <row r="50" spans="1:2" customFormat="1" hidden="1">
      <c r="A50" t="s">
        <v>2144</v>
      </c>
      <c r="B50" t="s">
        <v>2145</v>
      </c>
    </row>
    <row r="51" spans="1:2" customFormat="1" hidden="1">
      <c r="A51" t="s">
        <v>2146</v>
      </c>
      <c r="B51" t="s">
        <v>2147</v>
      </c>
    </row>
    <row r="52" spans="1:2" customFormat="1" hidden="1">
      <c r="A52" t="s">
        <v>2148</v>
      </c>
      <c r="B52" t="s">
        <v>2149</v>
      </c>
    </row>
    <row r="53" spans="1:2" customFormat="1" hidden="1">
      <c r="A53" t="s">
        <v>2150</v>
      </c>
      <c r="B53" t="s">
        <v>2151</v>
      </c>
    </row>
    <row r="54" spans="1:2" customFormat="1" hidden="1">
      <c r="A54" t="s">
        <v>2152</v>
      </c>
      <c r="B54" t="s">
        <v>2153</v>
      </c>
    </row>
    <row r="55" spans="1:2" customFormat="1" hidden="1">
      <c r="A55" t="s">
        <v>2154</v>
      </c>
      <c r="B55" t="s">
        <v>2155</v>
      </c>
    </row>
    <row r="56" spans="1:2" customFormat="1" hidden="1">
      <c r="A56" t="s">
        <v>2156</v>
      </c>
      <c r="B56" t="s">
        <v>2157</v>
      </c>
    </row>
    <row r="57" spans="1:2" customFormat="1" hidden="1">
      <c r="A57" t="s">
        <v>2158</v>
      </c>
      <c r="B57" t="s">
        <v>2159</v>
      </c>
    </row>
    <row r="58" spans="1:2" customFormat="1" hidden="1">
      <c r="A58" t="s">
        <v>2160</v>
      </c>
      <c r="B58" t="s">
        <v>2161</v>
      </c>
    </row>
    <row r="59" spans="1:2" customFormat="1" hidden="1">
      <c r="A59" t="s">
        <v>2162</v>
      </c>
      <c r="B59" t="s">
        <v>2163</v>
      </c>
    </row>
    <row r="60" spans="1:2" customFormat="1" hidden="1">
      <c r="A60" t="s">
        <v>2164</v>
      </c>
      <c r="B60" t="s">
        <v>2165</v>
      </c>
    </row>
    <row r="61" spans="1:2" customFormat="1" hidden="1">
      <c r="A61" t="s">
        <v>2166</v>
      </c>
      <c r="B61" t="s">
        <v>2167</v>
      </c>
    </row>
    <row r="62" spans="1:2">
      <c r="A62" s="171" t="s">
        <v>2168</v>
      </c>
      <c r="B62" s="171" t="s">
        <v>2169</v>
      </c>
    </row>
    <row r="63" spans="1:2">
      <c r="A63" s="171" t="s">
        <v>2170</v>
      </c>
      <c r="B63" s="171" t="s">
        <v>2171</v>
      </c>
    </row>
    <row r="64" spans="1:2">
      <c r="A64" s="171" t="s">
        <v>2172</v>
      </c>
      <c r="B64" s="171" t="s">
        <v>2173</v>
      </c>
    </row>
    <row r="65" spans="1:2" customFormat="1" hidden="1">
      <c r="A65" t="s">
        <v>2174</v>
      </c>
      <c r="B65" t="s">
        <v>2175</v>
      </c>
    </row>
    <row r="66" spans="1:2" customFormat="1" hidden="1">
      <c r="A66" t="s">
        <v>2176</v>
      </c>
      <c r="B66" t="s">
        <v>2177</v>
      </c>
    </row>
    <row r="67" spans="1:2" customFormat="1" hidden="1">
      <c r="A67" t="s">
        <v>2178</v>
      </c>
      <c r="B67" t="s">
        <v>2179</v>
      </c>
    </row>
    <row r="68" spans="1:2" customFormat="1" hidden="1">
      <c r="A68" t="s">
        <v>2180</v>
      </c>
      <c r="B68" t="s">
        <v>2181</v>
      </c>
    </row>
    <row r="69" spans="1:2" customFormat="1" hidden="1">
      <c r="A69" t="s">
        <v>2182</v>
      </c>
      <c r="B69" t="s">
        <v>2183</v>
      </c>
    </row>
    <row r="70" spans="1:2" customFormat="1" hidden="1">
      <c r="A70" t="s">
        <v>2184</v>
      </c>
      <c r="B70" t="s">
        <v>2185</v>
      </c>
    </row>
    <row r="71" spans="1:2" customFormat="1" hidden="1">
      <c r="A71" t="s">
        <v>2186</v>
      </c>
      <c r="B71" t="s">
        <v>2187</v>
      </c>
    </row>
    <row r="72" spans="1:2" customFormat="1" hidden="1">
      <c r="A72" t="s">
        <v>2188</v>
      </c>
      <c r="B72" t="s">
        <v>2189</v>
      </c>
    </row>
    <row r="73" spans="1:2" customFormat="1" hidden="1">
      <c r="A73" t="s">
        <v>2190</v>
      </c>
      <c r="B73" t="s">
        <v>2191</v>
      </c>
    </row>
    <row r="74" spans="1:2" customFormat="1" hidden="1">
      <c r="A74" t="s">
        <v>2192</v>
      </c>
      <c r="B74" t="s">
        <v>2193</v>
      </c>
    </row>
    <row r="75" spans="1:2" customFormat="1" hidden="1">
      <c r="A75" t="s">
        <v>2194</v>
      </c>
      <c r="B75" t="s">
        <v>2195</v>
      </c>
    </row>
    <row r="76" spans="1:2" customFormat="1" hidden="1">
      <c r="A76" t="s">
        <v>2196</v>
      </c>
      <c r="B76" t="s">
        <v>2197</v>
      </c>
    </row>
    <row r="77" spans="1:2" customFormat="1" hidden="1">
      <c r="A77" t="s">
        <v>2198</v>
      </c>
      <c r="B77" t="s">
        <v>2199</v>
      </c>
    </row>
    <row r="78" spans="1:2" customFormat="1" hidden="1">
      <c r="A78" t="s">
        <v>2200</v>
      </c>
      <c r="B78" t="s">
        <v>2201</v>
      </c>
    </row>
    <row r="79" spans="1:2">
      <c r="A79" s="171" t="s">
        <v>2202</v>
      </c>
      <c r="B79" s="171" t="s">
        <v>2203</v>
      </c>
    </row>
    <row r="80" spans="1:2">
      <c r="A80" s="171" t="s">
        <v>2204</v>
      </c>
      <c r="B80" s="171" t="s">
        <v>2093</v>
      </c>
    </row>
    <row r="81" spans="1:2">
      <c r="A81" s="171" t="s">
        <v>2205</v>
      </c>
      <c r="B81" s="171" t="s">
        <v>2206</v>
      </c>
    </row>
    <row r="82" spans="1:2">
      <c r="A82" s="171" t="s">
        <v>2207</v>
      </c>
      <c r="B82" s="171" t="s">
        <v>2208</v>
      </c>
    </row>
    <row r="83" spans="1:2">
      <c r="A83" s="171" t="s">
        <v>2209</v>
      </c>
      <c r="B83" s="171" t="s">
        <v>2210</v>
      </c>
    </row>
    <row r="84" spans="1:2">
      <c r="A84" s="171" t="s">
        <v>2211</v>
      </c>
      <c r="B84" s="171" t="s">
        <v>2093</v>
      </c>
    </row>
    <row r="85" spans="1:2" customFormat="1" hidden="1">
      <c r="A85" t="s">
        <v>2212</v>
      </c>
      <c r="B85" t="s">
        <v>2213</v>
      </c>
    </row>
    <row r="86" spans="1:2" customFormat="1" hidden="1">
      <c r="A86" t="s">
        <v>2214</v>
      </c>
      <c r="B86" t="s">
        <v>2215</v>
      </c>
    </row>
    <row r="87" spans="1:2" customFormat="1" hidden="1">
      <c r="A87" t="s">
        <v>2216</v>
      </c>
      <c r="B87" t="s">
        <v>2217</v>
      </c>
    </row>
    <row r="88" spans="1:2" customFormat="1" hidden="1">
      <c r="A88" t="s">
        <v>2218</v>
      </c>
      <c r="B88" t="s">
        <v>2219</v>
      </c>
    </row>
    <row r="89" spans="1:2" customFormat="1" hidden="1">
      <c r="A89" t="s">
        <v>2220</v>
      </c>
      <c r="B89" t="s">
        <v>2221</v>
      </c>
    </row>
    <row r="90" spans="1:2" customFormat="1" hidden="1">
      <c r="A90" t="s">
        <v>2222</v>
      </c>
      <c r="B90" t="s">
        <v>2223</v>
      </c>
    </row>
    <row r="91" spans="1:2" customFormat="1" hidden="1">
      <c r="A91" t="s">
        <v>2224</v>
      </c>
      <c r="B91" t="s">
        <v>2225</v>
      </c>
    </row>
    <row r="92" spans="1:2" customFormat="1" hidden="1">
      <c r="A92" t="s">
        <v>2226</v>
      </c>
      <c r="B92" t="s">
        <v>2227</v>
      </c>
    </row>
    <row r="93" spans="1:2" customFormat="1" hidden="1">
      <c r="A93" t="s">
        <v>2228</v>
      </c>
      <c r="B93" t="s">
        <v>2229</v>
      </c>
    </row>
    <row r="94" spans="1:2" customFormat="1" hidden="1">
      <c r="A94" t="s">
        <v>2230</v>
      </c>
      <c r="B94" t="s">
        <v>2231</v>
      </c>
    </row>
    <row r="95" spans="1:2" customFormat="1" hidden="1">
      <c r="A95" t="s">
        <v>2232</v>
      </c>
      <c r="B95" t="s">
        <v>2233</v>
      </c>
    </row>
    <row r="96" spans="1:2" customFormat="1" hidden="1">
      <c r="A96" t="s">
        <v>2234</v>
      </c>
      <c r="B96" t="s">
        <v>2235</v>
      </c>
    </row>
    <row r="97" spans="1:2" customFormat="1" hidden="1">
      <c r="A97" t="s">
        <v>2236</v>
      </c>
      <c r="B97" t="s">
        <v>2237</v>
      </c>
    </row>
    <row r="98" spans="1:2" customFormat="1" hidden="1">
      <c r="A98" t="s">
        <v>2238</v>
      </c>
      <c r="B98" t="s">
        <v>2239</v>
      </c>
    </row>
    <row r="99" spans="1:2">
      <c r="A99" s="171" t="s">
        <v>2240</v>
      </c>
      <c r="B99" s="171" t="s">
        <v>2241</v>
      </c>
    </row>
    <row r="100" spans="1:2">
      <c r="A100" s="171" t="s">
        <v>2242</v>
      </c>
      <c r="B100" s="171" t="s">
        <v>2243</v>
      </c>
    </row>
    <row r="101" spans="1:2">
      <c r="A101" s="171" t="s">
        <v>2244</v>
      </c>
      <c r="B101" s="171" t="s">
        <v>2245</v>
      </c>
    </row>
    <row r="102" spans="1:2" customFormat="1" hidden="1">
      <c r="A102" t="s">
        <v>2246</v>
      </c>
      <c r="B102" t="s">
        <v>2247</v>
      </c>
    </row>
    <row r="103" spans="1:2" customFormat="1" hidden="1">
      <c r="A103" t="s">
        <v>2248</v>
      </c>
      <c r="B103" t="s">
        <v>2249</v>
      </c>
    </row>
    <row r="104" spans="1:2" customFormat="1" hidden="1">
      <c r="A104" t="s">
        <v>2250</v>
      </c>
      <c r="B104" t="s">
        <v>2251</v>
      </c>
    </row>
    <row r="105" spans="1:2" customFormat="1" hidden="1">
      <c r="A105" t="s">
        <v>2252</v>
      </c>
      <c r="B105" t="s">
        <v>2253</v>
      </c>
    </row>
    <row r="106" spans="1:2" customFormat="1" hidden="1">
      <c r="A106" t="s">
        <v>2254</v>
      </c>
      <c r="B106" t="s">
        <v>2255</v>
      </c>
    </row>
    <row r="107" spans="1:2" customFormat="1" hidden="1">
      <c r="A107" t="s">
        <v>2256</v>
      </c>
      <c r="B107" t="s">
        <v>2257</v>
      </c>
    </row>
    <row r="108" spans="1:2" customFormat="1" hidden="1">
      <c r="A108" t="s">
        <v>2258</v>
      </c>
      <c r="B108" t="s">
        <v>2259</v>
      </c>
    </row>
    <row r="109" spans="1:2" customFormat="1" hidden="1">
      <c r="A109" t="s">
        <v>2260</v>
      </c>
      <c r="B109" t="s">
        <v>2261</v>
      </c>
    </row>
    <row r="110" spans="1:2" customFormat="1" hidden="1">
      <c r="A110" t="s">
        <v>2262</v>
      </c>
      <c r="B110" t="s">
        <v>2263</v>
      </c>
    </row>
    <row r="111" spans="1:2" customFormat="1" hidden="1">
      <c r="A111" t="s">
        <v>2264</v>
      </c>
      <c r="B111" t="s">
        <v>2093</v>
      </c>
    </row>
    <row r="112" spans="1:2" customFormat="1" hidden="1">
      <c r="A112" t="s">
        <v>2265</v>
      </c>
      <c r="B112" t="s">
        <v>2093</v>
      </c>
    </row>
    <row r="113" spans="1:2" customFormat="1" hidden="1">
      <c r="A113" t="s">
        <v>2266</v>
      </c>
      <c r="B113" t="s">
        <v>2093</v>
      </c>
    </row>
    <row r="114" spans="1:2" customFormat="1" hidden="1">
      <c r="A114" t="s">
        <v>2267</v>
      </c>
      <c r="B114" t="s">
        <v>2268</v>
      </c>
    </row>
    <row r="115" spans="1:2" customFormat="1" hidden="1">
      <c r="A115" t="s">
        <v>2269</v>
      </c>
      <c r="B115" t="s">
        <v>2270</v>
      </c>
    </row>
    <row r="116" spans="1:2" customFormat="1" hidden="1">
      <c r="A116" t="s">
        <v>2271</v>
      </c>
      <c r="B116" t="s">
        <v>2272</v>
      </c>
    </row>
    <row r="117" spans="1:2" customFormat="1" hidden="1">
      <c r="A117" t="s">
        <v>2273</v>
      </c>
      <c r="B117" t="s">
        <v>2274</v>
      </c>
    </row>
    <row r="118" spans="1:2" customFormat="1" hidden="1">
      <c r="A118" t="s">
        <v>2275</v>
      </c>
      <c r="B118" t="s">
        <v>2276</v>
      </c>
    </row>
    <row r="119" spans="1:2" customFormat="1" hidden="1">
      <c r="A119" t="s">
        <v>2277</v>
      </c>
      <c r="B119" t="s">
        <v>2278</v>
      </c>
    </row>
    <row r="120" spans="1:2" customFormat="1" hidden="1">
      <c r="A120" t="s">
        <v>2279</v>
      </c>
      <c r="B120" t="s">
        <v>2278</v>
      </c>
    </row>
    <row r="121" spans="1:2" customFormat="1" hidden="1">
      <c r="A121" t="s">
        <v>2280</v>
      </c>
      <c r="B121" t="s">
        <v>2278</v>
      </c>
    </row>
    <row r="122" spans="1:2">
      <c r="A122" s="171" t="s">
        <v>2281</v>
      </c>
      <c r="B122" s="171" t="s">
        <v>2282</v>
      </c>
    </row>
    <row r="123" spans="1:2">
      <c r="A123" s="171" t="s">
        <v>2283</v>
      </c>
      <c r="B123" s="171" t="s">
        <v>2284</v>
      </c>
    </row>
    <row r="124" spans="1:2">
      <c r="A124" s="171" t="s">
        <v>2285</v>
      </c>
      <c r="B124" s="171" t="s">
        <v>2286</v>
      </c>
    </row>
    <row r="125" spans="1:2" customFormat="1" hidden="1">
      <c r="A125" t="s">
        <v>2287</v>
      </c>
      <c r="B125" t="s">
        <v>2288</v>
      </c>
    </row>
    <row r="126" spans="1:2" customFormat="1" hidden="1">
      <c r="A126" t="s">
        <v>2289</v>
      </c>
      <c r="B126" t="s">
        <v>2290</v>
      </c>
    </row>
    <row r="127" spans="1:2" customFormat="1" hidden="1">
      <c r="A127" t="s">
        <v>2291</v>
      </c>
      <c r="B127" t="s">
        <v>2292</v>
      </c>
    </row>
    <row r="128" spans="1:2" customFormat="1" hidden="1">
      <c r="A128" t="s">
        <v>2293</v>
      </c>
      <c r="B128" t="s">
        <v>2294</v>
      </c>
    </row>
    <row r="129" spans="1:2" customFormat="1" hidden="1">
      <c r="A129" t="s">
        <v>2295</v>
      </c>
      <c r="B129" t="s">
        <v>2296</v>
      </c>
    </row>
    <row r="130" spans="1:2" customFormat="1" hidden="1">
      <c r="A130" t="s">
        <v>2297</v>
      </c>
      <c r="B130" t="s">
        <v>2298</v>
      </c>
    </row>
    <row r="131" spans="1:2" customFormat="1" hidden="1">
      <c r="A131" t="s">
        <v>2299</v>
      </c>
      <c r="B131" t="s">
        <v>2300</v>
      </c>
    </row>
    <row r="132" spans="1:2" customFormat="1" hidden="1">
      <c r="A132" t="s">
        <v>2301</v>
      </c>
      <c r="B132" t="s">
        <v>2302</v>
      </c>
    </row>
    <row r="133" spans="1:2" customFormat="1" hidden="1">
      <c r="A133" t="s">
        <v>2303</v>
      </c>
      <c r="B133" t="s">
        <v>2304</v>
      </c>
    </row>
    <row r="134" spans="1:2" customFormat="1" hidden="1">
      <c r="A134" t="s">
        <v>2305</v>
      </c>
      <c r="B134" t="s">
        <v>2306</v>
      </c>
    </row>
    <row r="135" spans="1:2" customFormat="1" hidden="1">
      <c r="A135" t="s">
        <v>2307</v>
      </c>
      <c r="B135" t="s">
        <v>2308</v>
      </c>
    </row>
    <row r="136" spans="1:2" customFormat="1" hidden="1">
      <c r="A136" t="s">
        <v>2309</v>
      </c>
      <c r="B136" t="s">
        <v>2310</v>
      </c>
    </row>
    <row r="137" spans="1:2" customFormat="1" hidden="1">
      <c r="A137" t="s">
        <v>2311</v>
      </c>
      <c r="B137" t="s">
        <v>2312</v>
      </c>
    </row>
    <row r="138" spans="1:2" customFormat="1" hidden="1">
      <c r="A138" t="s">
        <v>2313</v>
      </c>
      <c r="B138" t="s">
        <v>2314</v>
      </c>
    </row>
    <row r="139" spans="1:2" customFormat="1" hidden="1">
      <c r="A139" t="s">
        <v>2315</v>
      </c>
      <c r="B139" t="s">
        <v>2316</v>
      </c>
    </row>
    <row r="140" spans="1:2" customFormat="1" hidden="1">
      <c r="A140" t="s">
        <v>2317</v>
      </c>
      <c r="B140" t="s">
        <v>2278</v>
      </c>
    </row>
    <row r="141" spans="1:2" customFormat="1" hidden="1">
      <c r="A141" t="s">
        <v>2318</v>
      </c>
      <c r="B141" t="s">
        <v>2278</v>
      </c>
    </row>
    <row r="142" spans="1:2">
      <c r="A142" s="171" t="s">
        <v>2319</v>
      </c>
      <c r="B142" s="171" t="s">
        <v>2320</v>
      </c>
    </row>
    <row r="143" spans="1:2">
      <c r="A143" s="171" t="s">
        <v>2321</v>
      </c>
      <c r="B143" s="171" t="s">
        <v>2322</v>
      </c>
    </row>
    <row r="144" spans="1:2">
      <c r="A144" s="171" t="s">
        <v>2323</v>
      </c>
      <c r="B144" s="171" t="s">
        <v>2324</v>
      </c>
    </row>
    <row r="145" spans="1:2" customFormat="1" hidden="1">
      <c r="A145" t="s">
        <v>2325</v>
      </c>
      <c r="B145" t="s">
        <v>2326</v>
      </c>
    </row>
    <row r="146" spans="1:2" customFormat="1" hidden="1">
      <c r="A146" t="s">
        <v>2327</v>
      </c>
      <c r="B146" t="s">
        <v>2328</v>
      </c>
    </row>
    <row r="147" spans="1:2" customFormat="1" hidden="1">
      <c r="A147" t="s">
        <v>2329</v>
      </c>
      <c r="B147" t="s">
        <v>2330</v>
      </c>
    </row>
    <row r="148" spans="1:2" customFormat="1" hidden="1">
      <c r="A148" t="s">
        <v>2331</v>
      </c>
      <c r="B148" t="s">
        <v>2332</v>
      </c>
    </row>
    <row r="149" spans="1:2" customFormat="1" hidden="1">
      <c r="A149" t="s">
        <v>2333</v>
      </c>
      <c r="B149" t="s">
        <v>2334</v>
      </c>
    </row>
    <row r="150" spans="1:2" customFormat="1" hidden="1">
      <c r="A150" t="s">
        <v>2335</v>
      </c>
      <c r="B150" t="s">
        <v>2336</v>
      </c>
    </row>
    <row r="151" spans="1:2" customFormat="1" hidden="1">
      <c r="A151" t="s">
        <v>2337</v>
      </c>
      <c r="B151" t="s">
        <v>2338</v>
      </c>
    </row>
    <row r="152" spans="1:2" customFormat="1" hidden="1">
      <c r="A152" t="s">
        <v>2339</v>
      </c>
      <c r="B152" t="s">
        <v>2340</v>
      </c>
    </row>
    <row r="153" spans="1:2" customFormat="1" hidden="1">
      <c r="A153" t="s">
        <v>2341</v>
      </c>
      <c r="B153" t="s">
        <v>2342</v>
      </c>
    </row>
    <row r="154" spans="1:2" customFormat="1" hidden="1">
      <c r="A154" t="s">
        <v>2343</v>
      </c>
      <c r="B154" t="s">
        <v>2344</v>
      </c>
    </row>
    <row r="155" spans="1:2" customFormat="1" hidden="1">
      <c r="A155" t="s">
        <v>2345</v>
      </c>
      <c r="B155" t="s">
        <v>2346</v>
      </c>
    </row>
    <row r="156" spans="1:2" customFormat="1" hidden="1">
      <c r="A156" t="s">
        <v>2347</v>
      </c>
      <c r="B156" t="s">
        <v>2348</v>
      </c>
    </row>
    <row r="157" spans="1:2" customFormat="1" hidden="1">
      <c r="A157" t="s">
        <v>77</v>
      </c>
      <c r="B157" t="s">
        <v>2349</v>
      </c>
    </row>
    <row r="158" spans="1:2" customFormat="1" hidden="1">
      <c r="A158" t="s">
        <v>2350</v>
      </c>
      <c r="B158" t="s">
        <v>2351</v>
      </c>
    </row>
    <row r="159" spans="1:2" customFormat="1" hidden="1">
      <c r="A159" t="s">
        <v>2352</v>
      </c>
      <c r="B159" t="s">
        <v>2353</v>
      </c>
    </row>
    <row r="160" spans="1:2" customFormat="1" hidden="1">
      <c r="A160" t="s">
        <v>2354</v>
      </c>
      <c r="B160" t="s">
        <v>2355</v>
      </c>
    </row>
    <row r="161" spans="1:2" customFormat="1" hidden="1">
      <c r="A161" t="s">
        <v>2356</v>
      </c>
      <c r="B161" t="s">
        <v>2357</v>
      </c>
    </row>
    <row r="162" spans="1:2" customFormat="1" hidden="1">
      <c r="A162" t="s">
        <v>2358</v>
      </c>
      <c r="B162" t="s">
        <v>2359</v>
      </c>
    </row>
    <row r="163" spans="1:2" customFormat="1" hidden="1">
      <c r="A163" t="s">
        <v>2360</v>
      </c>
      <c r="B163" t="s">
        <v>2361</v>
      </c>
    </row>
    <row r="164" spans="1:2" customFormat="1" hidden="1">
      <c r="A164" t="s">
        <v>2362</v>
      </c>
      <c r="B164" t="s">
        <v>2363</v>
      </c>
    </row>
    <row r="165" spans="1:2" customFormat="1" hidden="1">
      <c r="A165" t="s">
        <v>2364</v>
      </c>
      <c r="B165" t="s">
        <v>2365</v>
      </c>
    </row>
    <row r="166" spans="1:2" customFormat="1" hidden="1">
      <c r="A166" t="s">
        <v>2366</v>
      </c>
      <c r="B166" t="s">
        <v>2367</v>
      </c>
    </row>
    <row r="167" spans="1:2" customFormat="1" hidden="1">
      <c r="A167" t="s">
        <v>2368</v>
      </c>
      <c r="B167" t="s">
        <v>2369</v>
      </c>
    </row>
    <row r="168" spans="1:2">
      <c r="A168" s="171" t="s">
        <v>2370</v>
      </c>
      <c r="B168" s="171" t="s">
        <v>2371</v>
      </c>
    </row>
    <row r="169" spans="1:2" customFormat="1" hidden="1">
      <c r="A169" t="s">
        <v>2372</v>
      </c>
      <c r="B169" t="s">
        <v>2373</v>
      </c>
    </row>
    <row r="170" spans="1:2">
      <c r="A170" s="171" t="s">
        <v>2374</v>
      </c>
      <c r="B170" s="171" t="s">
        <v>2375</v>
      </c>
    </row>
    <row r="171" spans="1:2" customFormat="1" hidden="1">
      <c r="A171" t="s">
        <v>2376</v>
      </c>
      <c r="B171" t="s">
        <v>2377</v>
      </c>
    </row>
    <row r="172" spans="1:2" customFormat="1" hidden="1">
      <c r="A172" t="s">
        <v>2378</v>
      </c>
      <c r="B172" t="s">
        <v>2379</v>
      </c>
    </row>
    <row r="173" spans="1:2">
      <c r="A173" s="171" t="s">
        <v>2380</v>
      </c>
      <c r="B173" s="171" t="s">
        <v>2381</v>
      </c>
    </row>
    <row r="174" spans="1:2" customFormat="1" hidden="1">
      <c r="A174" t="s">
        <v>2382</v>
      </c>
      <c r="B174" t="s">
        <v>2383</v>
      </c>
    </row>
    <row r="175" spans="1:2" customFormat="1" hidden="1">
      <c r="A175" t="s">
        <v>2384</v>
      </c>
      <c r="B175" t="s">
        <v>2385</v>
      </c>
    </row>
    <row r="176" spans="1:2" customFormat="1" hidden="1">
      <c r="A176" t="s">
        <v>2386</v>
      </c>
      <c r="B176" t="s">
        <v>2387</v>
      </c>
    </row>
    <row r="177" spans="1:2">
      <c r="A177" s="171" t="s">
        <v>2388</v>
      </c>
      <c r="B177" s="171" t="s">
        <v>2389</v>
      </c>
    </row>
    <row r="178" spans="1:2" customFormat="1" hidden="1">
      <c r="A178" t="s">
        <v>2390</v>
      </c>
      <c r="B178" t="s">
        <v>2391</v>
      </c>
    </row>
    <row r="179" spans="1:2" customFormat="1" hidden="1">
      <c r="A179" t="s">
        <v>2392</v>
      </c>
      <c r="B179" t="s">
        <v>2393</v>
      </c>
    </row>
    <row r="180" spans="1:2" customFormat="1" hidden="1">
      <c r="A180" t="s">
        <v>2394</v>
      </c>
      <c r="B180" t="s">
        <v>2395</v>
      </c>
    </row>
    <row r="181" spans="1:2">
      <c r="A181" s="171" t="s">
        <v>2396</v>
      </c>
      <c r="B181" s="171" t="s">
        <v>2397</v>
      </c>
    </row>
    <row r="182" spans="1:2">
      <c r="A182" s="171" t="s">
        <v>2398</v>
      </c>
      <c r="B182" s="171" t="s">
        <v>2399</v>
      </c>
    </row>
    <row r="183" spans="1:2" customFormat="1" hidden="1">
      <c r="A183" t="s">
        <v>2400</v>
      </c>
      <c r="B183" t="s">
        <v>2401</v>
      </c>
    </row>
    <row r="184" spans="1:2" customFormat="1" hidden="1">
      <c r="A184" t="s">
        <v>2402</v>
      </c>
      <c r="B184" t="s">
        <v>2403</v>
      </c>
    </row>
    <row r="185" spans="1:2" customFormat="1" hidden="1">
      <c r="A185" t="s">
        <v>2404</v>
      </c>
      <c r="B185" t="s">
        <v>2405</v>
      </c>
    </row>
    <row r="186" spans="1:2" customFormat="1" hidden="1">
      <c r="A186" t="s">
        <v>2406</v>
      </c>
      <c r="B186" t="s">
        <v>2407</v>
      </c>
    </row>
    <row r="187" spans="1:2" customFormat="1" hidden="1">
      <c r="A187" t="s">
        <v>2408</v>
      </c>
      <c r="B187" t="s">
        <v>2409</v>
      </c>
    </row>
    <row r="188" spans="1:2" customFormat="1" hidden="1">
      <c r="A188" t="s">
        <v>2410</v>
      </c>
      <c r="B188" t="s">
        <v>2411</v>
      </c>
    </row>
    <row r="189" spans="1:2" customFormat="1" hidden="1">
      <c r="A189" t="s">
        <v>2412</v>
      </c>
      <c r="B189" t="s">
        <v>2413</v>
      </c>
    </row>
    <row r="190" spans="1:2">
      <c r="A190" s="171" t="s">
        <v>2414</v>
      </c>
      <c r="B190" s="171" t="s">
        <v>2415</v>
      </c>
    </row>
    <row r="191" spans="1:2" customFormat="1" hidden="1">
      <c r="A191" t="s">
        <v>2416</v>
      </c>
      <c r="B191" t="s">
        <v>2417</v>
      </c>
    </row>
    <row r="192" spans="1:2" customFormat="1" hidden="1">
      <c r="A192" t="s">
        <v>2418</v>
      </c>
      <c r="B192" t="s">
        <v>2419</v>
      </c>
    </row>
    <row r="193" spans="1:2" customFormat="1" hidden="1">
      <c r="A193" t="s">
        <v>2420</v>
      </c>
      <c r="B193" t="s">
        <v>2421</v>
      </c>
    </row>
    <row r="194" spans="1:2" customFormat="1" hidden="1">
      <c r="A194" t="s">
        <v>2422</v>
      </c>
      <c r="B194" t="s">
        <v>2423</v>
      </c>
    </row>
    <row r="195" spans="1:2" customFormat="1" hidden="1">
      <c r="A195" t="s">
        <v>2424</v>
      </c>
      <c r="B195" t="s">
        <v>2425</v>
      </c>
    </row>
    <row r="196" spans="1:2" customFormat="1" hidden="1">
      <c r="A196" t="s">
        <v>2426</v>
      </c>
      <c r="B196" t="s">
        <v>2427</v>
      </c>
    </row>
    <row r="197" spans="1:2" customFormat="1" hidden="1">
      <c r="A197" t="s">
        <v>2428</v>
      </c>
      <c r="B197" t="s">
        <v>2429</v>
      </c>
    </row>
    <row r="198" spans="1:2" customFormat="1" hidden="1">
      <c r="A198" t="s">
        <v>2430</v>
      </c>
      <c r="B198" t="s">
        <v>2431</v>
      </c>
    </row>
    <row r="199" spans="1:2" customFormat="1" hidden="1">
      <c r="A199" t="s">
        <v>2432</v>
      </c>
      <c r="B199" t="s">
        <v>2433</v>
      </c>
    </row>
    <row r="200" spans="1:2" customFormat="1" hidden="1">
      <c r="A200" t="s">
        <v>2434</v>
      </c>
      <c r="B200" t="s">
        <v>2435</v>
      </c>
    </row>
    <row r="201" spans="1:2" customFormat="1" hidden="1">
      <c r="A201" t="s">
        <v>2436</v>
      </c>
      <c r="B201" t="s">
        <v>2437</v>
      </c>
    </row>
    <row r="202" spans="1:2" customFormat="1" hidden="1">
      <c r="A202" t="s">
        <v>2438</v>
      </c>
      <c r="B202" t="s">
        <v>2439</v>
      </c>
    </row>
    <row r="203" spans="1:2" customFormat="1" hidden="1">
      <c r="A203" t="s">
        <v>2440</v>
      </c>
      <c r="B203" t="s">
        <v>2441</v>
      </c>
    </row>
    <row r="204" spans="1:2" customFormat="1" hidden="1">
      <c r="A204" t="s">
        <v>2442</v>
      </c>
      <c r="B204" t="s">
        <v>2443</v>
      </c>
    </row>
    <row r="205" spans="1:2" customFormat="1" hidden="1">
      <c r="A205" t="s">
        <v>2444</v>
      </c>
      <c r="B205" t="s">
        <v>2445</v>
      </c>
    </row>
    <row r="206" spans="1:2" customFormat="1" hidden="1">
      <c r="A206" t="s">
        <v>2446</v>
      </c>
      <c r="B206" t="s">
        <v>2447</v>
      </c>
    </row>
    <row r="207" spans="1:2" customFormat="1" hidden="1">
      <c r="A207" t="s">
        <v>2448</v>
      </c>
      <c r="B207" t="s">
        <v>2449</v>
      </c>
    </row>
    <row r="208" spans="1:2" customFormat="1" hidden="1">
      <c r="A208" t="s">
        <v>2450</v>
      </c>
      <c r="B208" t="s">
        <v>2451</v>
      </c>
    </row>
    <row r="209" spans="1:2" customFormat="1" hidden="1">
      <c r="A209" t="s">
        <v>2452</v>
      </c>
      <c r="B209" t="s">
        <v>2453</v>
      </c>
    </row>
    <row r="210" spans="1:2" customFormat="1" hidden="1">
      <c r="A210" t="s">
        <v>2454</v>
      </c>
      <c r="B210" t="s">
        <v>2455</v>
      </c>
    </row>
    <row r="211" spans="1:2" customFormat="1" hidden="1">
      <c r="A211" t="s">
        <v>2456</v>
      </c>
      <c r="B211" t="s">
        <v>2457</v>
      </c>
    </row>
    <row r="212" spans="1:2" customFormat="1" hidden="1">
      <c r="A212" t="s">
        <v>2458</v>
      </c>
      <c r="B212" t="s">
        <v>2459</v>
      </c>
    </row>
    <row r="213" spans="1:2" customFormat="1" hidden="1">
      <c r="A213" t="s">
        <v>2460</v>
      </c>
      <c r="B213" t="s">
        <v>2461</v>
      </c>
    </row>
    <row r="214" spans="1:2" customFormat="1" hidden="1">
      <c r="A214" t="s">
        <v>2462</v>
      </c>
      <c r="B214" t="s">
        <v>2463</v>
      </c>
    </row>
    <row r="215" spans="1:2" customFormat="1" hidden="1">
      <c r="A215" t="s">
        <v>2464</v>
      </c>
      <c r="B215" t="s">
        <v>2465</v>
      </c>
    </row>
    <row r="216" spans="1:2" customFormat="1" hidden="1">
      <c r="A216" t="s">
        <v>2466</v>
      </c>
      <c r="B216" t="s">
        <v>2467</v>
      </c>
    </row>
    <row r="217" spans="1:2" customFormat="1" hidden="1">
      <c r="A217" t="s">
        <v>2468</v>
      </c>
      <c r="B217" t="s">
        <v>2469</v>
      </c>
    </row>
    <row r="218" spans="1:2" customFormat="1" hidden="1">
      <c r="A218" t="s">
        <v>2470</v>
      </c>
      <c r="B218" t="s">
        <v>2471</v>
      </c>
    </row>
    <row r="219" spans="1:2" customFormat="1" hidden="1">
      <c r="A219" t="s">
        <v>2472</v>
      </c>
      <c r="B219" t="s">
        <v>2473</v>
      </c>
    </row>
    <row r="220" spans="1:2" customFormat="1" hidden="1">
      <c r="A220" t="s">
        <v>2474</v>
      </c>
      <c r="B220" t="s">
        <v>2475</v>
      </c>
    </row>
    <row r="221" spans="1:2" customFormat="1" hidden="1">
      <c r="A221" t="s">
        <v>2476</v>
      </c>
      <c r="B221" t="s">
        <v>2477</v>
      </c>
    </row>
    <row r="222" spans="1:2" customFormat="1" hidden="1">
      <c r="A222" t="s">
        <v>2478</v>
      </c>
      <c r="B222" t="s">
        <v>2479</v>
      </c>
    </row>
    <row r="223" spans="1:2" customFormat="1" hidden="1">
      <c r="A223" t="s">
        <v>2480</v>
      </c>
      <c r="B223" t="s">
        <v>2481</v>
      </c>
    </row>
    <row r="224" spans="1:2" customFormat="1" hidden="1">
      <c r="A224" t="s">
        <v>2482</v>
      </c>
      <c r="B224" t="s">
        <v>2483</v>
      </c>
    </row>
    <row r="225" spans="1:2" customFormat="1" hidden="1">
      <c r="A225" t="s">
        <v>2484</v>
      </c>
      <c r="B225" t="s">
        <v>2485</v>
      </c>
    </row>
    <row r="226" spans="1:2" customFormat="1" hidden="1">
      <c r="A226" t="s">
        <v>2486</v>
      </c>
      <c r="B226" t="s">
        <v>2487</v>
      </c>
    </row>
    <row r="227" spans="1:2" customFormat="1" hidden="1">
      <c r="A227" t="s">
        <v>2488</v>
      </c>
      <c r="B227" t="s">
        <v>2489</v>
      </c>
    </row>
    <row r="228" spans="1:2" customFormat="1" hidden="1">
      <c r="A228" t="s">
        <v>2490</v>
      </c>
      <c r="B228" t="s">
        <v>2491</v>
      </c>
    </row>
    <row r="229" spans="1:2" customFormat="1" hidden="1">
      <c r="A229" t="s">
        <v>2492</v>
      </c>
      <c r="B229" t="s">
        <v>2493</v>
      </c>
    </row>
    <row r="230" spans="1:2" customFormat="1" hidden="1">
      <c r="A230" t="s">
        <v>2494</v>
      </c>
      <c r="B230" t="s">
        <v>2495</v>
      </c>
    </row>
    <row r="231" spans="1:2" customFormat="1" hidden="1">
      <c r="A231" t="s">
        <v>2496</v>
      </c>
      <c r="B231" t="s">
        <v>2497</v>
      </c>
    </row>
    <row r="232" spans="1:2" customFormat="1" hidden="1">
      <c r="A232" t="s">
        <v>2498</v>
      </c>
      <c r="B232" t="s">
        <v>2499</v>
      </c>
    </row>
    <row r="233" spans="1:2" customFormat="1" hidden="1">
      <c r="A233" t="s">
        <v>2500</v>
      </c>
      <c r="B233" t="s">
        <v>2501</v>
      </c>
    </row>
    <row r="234" spans="1:2" customFormat="1" hidden="1">
      <c r="A234" t="s">
        <v>2502</v>
      </c>
      <c r="B234" t="s">
        <v>2503</v>
      </c>
    </row>
    <row r="235" spans="1:2" customFormat="1" hidden="1">
      <c r="A235" t="s">
        <v>2504</v>
      </c>
      <c r="B235" t="s">
        <v>2505</v>
      </c>
    </row>
    <row r="236" spans="1:2">
      <c r="A236" s="171" t="s">
        <v>2506</v>
      </c>
      <c r="B236" s="171" t="s">
        <v>2507</v>
      </c>
    </row>
    <row r="237" spans="1:2" customFormat="1" hidden="1">
      <c r="A237" t="s">
        <v>2508</v>
      </c>
      <c r="B237" t="s">
        <v>2509</v>
      </c>
    </row>
    <row r="238" spans="1:2">
      <c r="A238" s="171" t="s">
        <v>2510</v>
      </c>
      <c r="B238" s="171" t="s">
        <v>2511</v>
      </c>
    </row>
    <row r="239" spans="1:2" customFormat="1" hidden="1">
      <c r="A239" t="s">
        <v>2512</v>
      </c>
      <c r="B239" t="s">
        <v>2513</v>
      </c>
    </row>
    <row r="240" spans="1:2" customFormat="1" hidden="1">
      <c r="A240" t="s">
        <v>2514</v>
      </c>
      <c r="B240" t="s">
        <v>2515</v>
      </c>
    </row>
    <row r="241" spans="1:2">
      <c r="A241" s="171" t="s">
        <v>2516</v>
      </c>
      <c r="B241" s="171" t="s">
        <v>2517</v>
      </c>
    </row>
    <row r="242" spans="1:2" customFormat="1" hidden="1">
      <c r="A242" t="s">
        <v>2518</v>
      </c>
      <c r="B242" t="s">
        <v>2519</v>
      </c>
    </row>
    <row r="243" spans="1:2" customFormat="1" hidden="1">
      <c r="A243" t="s">
        <v>2520</v>
      </c>
      <c r="B243" t="s">
        <v>2521</v>
      </c>
    </row>
    <row r="244" spans="1:2" customFormat="1" hidden="1">
      <c r="A244" t="s">
        <v>2522</v>
      </c>
      <c r="B244" t="s">
        <v>2523</v>
      </c>
    </row>
    <row r="245" spans="1:2" customFormat="1" hidden="1">
      <c r="A245" t="s">
        <v>2524</v>
      </c>
      <c r="B245" t="s">
        <v>2525</v>
      </c>
    </row>
    <row r="246" spans="1:2" customFormat="1" hidden="1">
      <c r="A246" t="s">
        <v>2526</v>
      </c>
      <c r="B246" t="s">
        <v>2527</v>
      </c>
    </row>
    <row r="247" spans="1:2" customFormat="1" hidden="1">
      <c r="A247" t="s">
        <v>2528</v>
      </c>
      <c r="B247" t="s">
        <v>2529</v>
      </c>
    </row>
    <row r="248" spans="1:2" customFormat="1" hidden="1">
      <c r="A248" t="s">
        <v>2530</v>
      </c>
      <c r="B248" t="s">
        <v>2531</v>
      </c>
    </row>
    <row r="249" spans="1:2" customFormat="1" hidden="1">
      <c r="A249" t="s">
        <v>2532</v>
      </c>
      <c r="B249" t="s">
        <v>2533</v>
      </c>
    </row>
    <row r="250" spans="1:2" customFormat="1" hidden="1">
      <c r="A250" t="s">
        <v>2534</v>
      </c>
      <c r="B250" t="s">
        <v>2535</v>
      </c>
    </row>
    <row r="251" spans="1:2" customFormat="1" hidden="1">
      <c r="A251" t="s">
        <v>2536</v>
      </c>
      <c r="B251" t="s">
        <v>2537</v>
      </c>
    </row>
    <row r="252" spans="1:2" customFormat="1" hidden="1">
      <c r="A252" t="s">
        <v>2538</v>
      </c>
      <c r="B252" t="s">
        <v>2539</v>
      </c>
    </row>
    <row r="253" spans="1:2" customFormat="1" hidden="1">
      <c r="A253" t="s">
        <v>2540</v>
      </c>
      <c r="B253" t="s">
        <v>2541</v>
      </c>
    </row>
    <row r="254" spans="1:2" customFormat="1" hidden="1">
      <c r="A254" t="s">
        <v>2542</v>
      </c>
      <c r="B254" t="s">
        <v>2543</v>
      </c>
    </row>
    <row r="255" spans="1:2">
      <c r="A255" s="171" t="s">
        <v>2544</v>
      </c>
      <c r="B255" s="171" t="s">
        <v>2545</v>
      </c>
    </row>
    <row r="256" spans="1:2" customFormat="1" hidden="1">
      <c r="A256" t="s">
        <v>2546</v>
      </c>
      <c r="B256" t="s">
        <v>2547</v>
      </c>
    </row>
    <row r="257" spans="1:2">
      <c r="A257" s="171" t="s">
        <v>2548</v>
      </c>
      <c r="B257" s="171" t="s">
        <v>2549</v>
      </c>
    </row>
    <row r="258" spans="1:2" customFormat="1" hidden="1">
      <c r="A258" t="s">
        <v>2550</v>
      </c>
      <c r="B258" t="s">
        <v>2551</v>
      </c>
    </row>
    <row r="259" spans="1:2" customFormat="1" hidden="1">
      <c r="A259" t="s">
        <v>2552</v>
      </c>
      <c r="B259" t="s">
        <v>2553</v>
      </c>
    </row>
    <row r="260" spans="1:2">
      <c r="A260" s="171" t="s">
        <v>2554</v>
      </c>
      <c r="B260" s="171" t="s">
        <v>2555</v>
      </c>
    </row>
    <row r="261" spans="1:2" customFormat="1" hidden="1">
      <c r="A261" t="s">
        <v>2556</v>
      </c>
      <c r="B261" t="s">
        <v>2557</v>
      </c>
    </row>
    <row r="262" spans="1:2" customFormat="1" hidden="1">
      <c r="A262" t="s">
        <v>2558</v>
      </c>
      <c r="B262" t="s">
        <v>2559</v>
      </c>
    </row>
    <row r="263" spans="1:2" customFormat="1" hidden="1">
      <c r="A263" t="s">
        <v>2560</v>
      </c>
      <c r="B263" t="s">
        <v>2561</v>
      </c>
    </row>
    <row r="264" spans="1:2" customFormat="1" hidden="1">
      <c r="A264" t="s">
        <v>2562</v>
      </c>
      <c r="B264" t="s">
        <v>2563</v>
      </c>
    </row>
    <row r="265" spans="1:2" customFormat="1" hidden="1">
      <c r="A265" t="s">
        <v>2564</v>
      </c>
      <c r="B265" t="s">
        <v>2565</v>
      </c>
    </row>
    <row r="266" spans="1:2" customFormat="1" hidden="1">
      <c r="A266" t="s">
        <v>2566</v>
      </c>
      <c r="B266" t="s">
        <v>2567</v>
      </c>
    </row>
    <row r="267" spans="1:2" customFormat="1" hidden="1">
      <c r="A267" t="s">
        <v>2568</v>
      </c>
      <c r="B267" t="s">
        <v>2569</v>
      </c>
    </row>
    <row r="268" spans="1:2" customFormat="1" hidden="1">
      <c r="A268" t="s">
        <v>2570</v>
      </c>
      <c r="B268" t="s">
        <v>2571</v>
      </c>
    </row>
    <row r="269" spans="1:2" customFormat="1" hidden="1">
      <c r="A269" t="s">
        <v>2572</v>
      </c>
      <c r="B269" t="s">
        <v>2573</v>
      </c>
    </row>
    <row r="270" spans="1:2" customFormat="1" hidden="1">
      <c r="A270" t="s">
        <v>2574</v>
      </c>
      <c r="B270" t="s">
        <v>2575</v>
      </c>
    </row>
    <row r="271" spans="1:2" customFormat="1" hidden="1">
      <c r="A271" t="s">
        <v>2576</v>
      </c>
      <c r="B271" t="s">
        <v>2577</v>
      </c>
    </row>
    <row r="272" spans="1:2" customFormat="1" hidden="1">
      <c r="A272" t="s">
        <v>2578</v>
      </c>
      <c r="B272" t="s">
        <v>2579</v>
      </c>
    </row>
    <row r="273" spans="1:2" customFormat="1" hidden="1">
      <c r="A273" t="s">
        <v>2580</v>
      </c>
      <c r="B273" t="s">
        <v>2581</v>
      </c>
    </row>
    <row r="274" spans="1:2" customFormat="1" hidden="1">
      <c r="A274" t="s">
        <v>2582</v>
      </c>
      <c r="B274" t="s">
        <v>2583</v>
      </c>
    </row>
    <row r="275" spans="1:2">
      <c r="A275" s="171" t="s">
        <v>2584</v>
      </c>
      <c r="B275" s="171" t="s">
        <v>2585</v>
      </c>
    </row>
    <row r="276" spans="1:2">
      <c r="A276" s="171" t="s">
        <v>2586</v>
      </c>
      <c r="B276" s="171" t="s">
        <v>2587</v>
      </c>
    </row>
    <row r="277" spans="1:2">
      <c r="A277" s="171" t="s">
        <v>2588</v>
      </c>
      <c r="B277" s="171" t="s">
        <v>2589</v>
      </c>
    </row>
    <row r="278" spans="1:2">
      <c r="A278" s="171" t="s">
        <v>2590</v>
      </c>
      <c r="B278" s="171" t="s">
        <v>2591</v>
      </c>
    </row>
    <row r="279" spans="1:2" customFormat="1" hidden="1">
      <c r="A279" t="s">
        <v>2592</v>
      </c>
      <c r="B279" t="s">
        <v>2593</v>
      </c>
    </row>
    <row r="280" spans="1:2" customFormat="1" hidden="1">
      <c r="A280" t="s">
        <v>2594</v>
      </c>
      <c r="B280" t="s">
        <v>2595</v>
      </c>
    </row>
    <row r="281" spans="1:2" customFormat="1" hidden="1">
      <c r="A281" t="s">
        <v>2596</v>
      </c>
      <c r="B281" t="s">
        <v>2597</v>
      </c>
    </row>
    <row r="282" spans="1:2" customFormat="1" hidden="1">
      <c r="A282" t="s">
        <v>2598</v>
      </c>
      <c r="B282" t="s">
        <v>2599</v>
      </c>
    </row>
    <row r="283" spans="1:2" customFormat="1" hidden="1">
      <c r="A283" t="s">
        <v>2600</v>
      </c>
      <c r="B283" t="s">
        <v>2601</v>
      </c>
    </row>
    <row r="284" spans="1:2" customFormat="1" hidden="1">
      <c r="A284" t="s">
        <v>2602</v>
      </c>
      <c r="B284" t="s">
        <v>2603</v>
      </c>
    </row>
    <row r="285" spans="1:2" customFormat="1" hidden="1">
      <c r="A285" t="s">
        <v>2604</v>
      </c>
      <c r="B285" t="s">
        <v>2605</v>
      </c>
    </row>
    <row r="286" spans="1:2" customFormat="1" hidden="1">
      <c r="A286" t="s">
        <v>2606</v>
      </c>
      <c r="B286" t="s">
        <v>2607</v>
      </c>
    </row>
    <row r="287" spans="1:2" customFormat="1" hidden="1">
      <c r="A287" t="s">
        <v>2608</v>
      </c>
      <c r="B287" t="s">
        <v>2609</v>
      </c>
    </row>
    <row r="288" spans="1:2" customFormat="1" hidden="1">
      <c r="A288" t="s">
        <v>2610</v>
      </c>
      <c r="B288" t="s">
        <v>2611</v>
      </c>
    </row>
    <row r="289" spans="1:2" customFormat="1" hidden="1">
      <c r="A289" t="s">
        <v>2612</v>
      </c>
      <c r="B289" t="s">
        <v>2613</v>
      </c>
    </row>
    <row r="290" spans="1:2" customFormat="1" hidden="1">
      <c r="A290" t="s">
        <v>2614</v>
      </c>
      <c r="B290" t="s">
        <v>2615</v>
      </c>
    </row>
    <row r="291" spans="1:2" customFormat="1" hidden="1">
      <c r="A291" t="s">
        <v>2616</v>
      </c>
      <c r="B291" t="s">
        <v>2617</v>
      </c>
    </row>
    <row r="292" spans="1:2" customFormat="1" hidden="1">
      <c r="A292" t="s">
        <v>2618</v>
      </c>
      <c r="B292" t="s">
        <v>2619</v>
      </c>
    </row>
    <row r="293" spans="1:2">
      <c r="A293" s="171" t="s">
        <v>2620</v>
      </c>
      <c r="B293" s="171" t="s">
        <v>2621</v>
      </c>
    </row>
    <row r="294" spans="1:2">
      <c r="A294" s="171" t="s">
        <v>2622</v>
      </c>
      <c r="B294" s="171" t="s">
        <v>2623</v>
      </c>
    </row>
    <row r="295" spans="1:2">
      <c r="A295" s="171" t="s">
        <v>2624</v>
      </c>
      <c r="B295" s="171" t="s">
        <v>2625</v>
      </c>
    </row>
    <row r="296" spans="1:2" customFormat="1" hidden="1">
      <c r="A296" t="s">
        <v>2626</v>
      </c>
      <c r="B296" t="s">
        <v>2627</v>
      </c>
    </row>
    <row r="297" spans="1:2" customFormat="1" hidden="1">
      <c r="A297" t="s">
        <v>2628</v>
      </c>
      <c r="B297" t="s">
        <v>2629</v>
      </c>
    </row>
    <row r="298" spans="1:2" customFormat="1" hidden="1">
      <c r="A298" t="s">
        <v>2630</v>
      </c>
      <c r="B298" t="s">
        <v>2631</v>
      </c>
    </row>
    <row r="299" spans="1:2" customFormat="1" hidden="1">
      <c r="A299" t="s">
        <v>2632</v>
      </c>
      <c r="B299" t="s">
        <v>2633</v>
      </c>
    </row>
    <row r="300" spans="1:2" customFormat="1" hidden="1">
      <c r="A300" t="s">
        <v>2634</v>
      </c>
      <c r="B300" t="s">
        <v>2635</v>
      </c>
    </row>
    <row r="301" spans="1:2" customFormat="1" hidden="1">
      <c r="A301" t="s">
        <v>2636</v>
      </c>
      <c r="B301" t="s">
        <v>2637</v>
      </c>
    </row>
    <row r="302" spans="1:2" customFormat="1" hidden="1">
      <c r="A302" t="s">
        <v>2638</v>
      </c>
      <c r="B302" t="s">
        <v>2639</v>
      </c>
    </row>
    <row r="303" spans="1:2" customFormat="1" hidden="1">
      <c r="A303" t="s">
        <v>2640</v>
      </c>
      <c r="B303" t="s">
        <v>2641</v>
      </c>
    </row>
    <row r="304" spans="1:2" customFormat="1" hidden="1">
      <c r="A304" t="s">
        <v>2642</v>
      </c>
      <c r="B304" t="s">
        <v>2643</v>
      </c>
    </row>
    <row r="305" spans="1:2" customFormat="1" hidden="1">
      <c r="A305" t="s">
        <v>2644</v>
      </c>
      <c r="B305" t="s">
        <v>2645</v>
      </c>
    </row>
    <row r="306" spans="1:2" customFormat="1" hidden="1">
      <c r="A306" t="s">
        <v>2646</v>
      </c>
      <c r="B306" t="s">
        <v>2647</v>
      </c>
    </row>
    <row r="307" spans="1:2" customFormat="1" hidden="1">
      <c r="A307" t="s">
        <v>2648</v>
      </c>
      <c r="B307" t="s">
        <v>2649</v>
      </c>
    </row>
    <row r="308" spans="1:2" customFormat="1" hidden="1">
      <c r="A308" t="s">
        <v>2650</v>
      </c>
      <c r="B308" t="s">
        <v>2651</v>
      </c>
    </row>
    <row r="309" spans="1:2">
      <c r="A309" s="171" t="s">
        <v>2652</v>
      </c>
      <c r="B309" s="171" t="s">
        <v>2653</v>
      </c>
    </row>
    <row r="310" spans="1:2">
      <c r="A310" s="171" t="s">
        <v>2654</v>
      </c>
      <c r="B310" s="171" t="s">
        <v>2655</v>
      </c>
    </row>
    <row r="311" spans="1:2">
      <c r="A311" s="171" t="s">
        <v>2656</v>
      </c>
      <c r="B311" s="171" t="s">
        <v>2657</v>
      </c>
    </row>
    <row r="312" spans="1:2">
      <c r="A312" s="171" t="s">
        <v>2658</v>
      </c>
      <c r="B312" s="171" t="s">
        <v>2659</v>
      </c>
    </row>
    <row r="313" spans="1:2" customFormat="1" hidden="1">
      <c r="A313" t="s">
        <v>2660</v>
      </c>
      <c r="B313" t="s">
        <v>2661</v>
      </c>
    </row>
    <row r="314" spans="1:2" customFormat="1" hidden="1">
      <c r="A314" t="s">
        <v>2662</v>
      </c>
      <c r="B314" t="s">
        <v>2663</v>
      </c>
    </row>
    <row r="315" spans="1:2" customFormat="1" hidden="1">
      <c r="A315" t="s">
        <v>2664</v>
      </c>
      <c r="B315" t="s">
        <v>2665</v>
      </c>
    </row>
    <row r="316" spans="1:2" customFormat="1" hidden="1">
      <c r="A316" t="s">
        <v>2666</v>
      </c>
      <c r="B316" t="s">
        <v>2667</v>
      </c>
    </row>
    <row r="317" spans="1:2" customFormat="1" hidden="1">
      <c r="A317" t="s">
        <v>2668</v>
      </c>
      <c r="B317" t="s">
        <v>2669</v>
      </c>
    </row>
    <row r="318" spans="1:2" customFormat="1" hidden="1">
      <c r="A318" t="s">
        <v>2670</v>
      </c>
      <c r="B318" t="s">
        <v>2671</v>
      </c>
    </row>
    <row r="319" spans="1:2" customFormat="1" hidden="1">
      <c r="A319" t="s">
        <v>2672</v>
      </c>
      <c r="B319" t="s">
        <v>2673</v>
      </c>
    </row>
    <row r="320" spans="1:2" customFormat="1" hidden="1">
      <c r="A320" t="s">
        <v>2674</v>
      </c>
      <c r="B320" t="s">
        <v>2675</v>
      </c>
    </row>
    <row r="321" spans="1:2" customFormat="1" hidden="1">
      <c r="A321" t="s">
        <v>2676</v>
      </c>
      <c r="B321" t="s">
        <v>2677</v>
      </c>
    </row>
    <row r="322" spans="1:2" customFormat="1" hidden="1">
      <c r="A322" t="s">
        <v>2678</v>
      </c>
      <c r="B322" t="s">
        <v>2093</v>
      </c>
    </row>
    <row r="323" spans="1:2" customFormat="1" hidden="1">
      <c r="A323" t="s">
        <v>2679</v>
      </c>
      <c r="B323" t="s">
        <v>2093</v>
      </c>
    </row>
    <row r="324" spans="1:2" customFormat="1" hidden="1">
      <c r="A324" t="s">
        <v>2680</v>
      </c>
      <c r="B324" t="s">
        <v>2093</v>
      </c>
    </row>
    <row r="325" spans="1:2" customFormat="1" hidden="1">
      <c r="A325" t="s">
        <v>2681</v>
      </c>
      <c r="B325" t="s">
        <v>2682</v>
      </c>
    </row>
    <row r="326" spans="1:2" customFormat="1" hidden="1">
      <c r="A326" t="s">
        <v>2683</v>
      </c>
      <c r="B326" t="s">
        <v>2684</v>
      </c>
    </row>
    <row r="327" spans="1:2" customFormat="1" hidden="1">
      <c r="A327" t="s">
        <v>2685</v>
      </c>
      <c r="B327" t="s">
        <v>2686</v>
      </c>
    </row>
    <row r="328" spans="1:2" customFormat="1" hidden="1">
      <c r="A328" t="s">
        <v>2687</v>
      </c>
      <c r="B328" t="s">
        <v>2688</v>
      </c>
    </row>
    <row r="329" spans="1:2">
      <c r="A329" s="171" t="s">
        <v>2689</v>
      </c>
      <c r="B329" s="171" t="s">
        <v>2690</v>
      </c>
    </row>
    <row r="330" spans="1:2">
      <c r="A330" s="171" t="s">
        <v>2691</v>
      </c>
      <c r="B330" s="171" t="s">
        <v>2692</v>
      </c>
    </row>
    <row r="331" spans="1:2">
      <c r="A331" s="171" t="s">
        <v>2693</v>
      </c>
      <c r="B331" s="171" t="s">
        <v>2694</v>
      </c>
    </row>
    <row r="332" spans="1:2">
      <c r="A332" s="171" t="s">
        <v>2695</v>
      </c>
      <c r="B332" s="171" t="s">
        <v>2696</v>
      </c>
    </row>
    <row r="333" spans="1:2" customFormat="1" hidden="1">
      <c r="A333" t="s">
        <v>2697</v>
      </c>
      <c r="B333" t="s">
        <v>2278</v>
      </c>
    </row>
    <row r="334" spans="1:2" customFormat="1" hidden="1">
      <c r="A334" t="s">
        <v>2698</v>
      </c>
      <c r="B334" t="s">
        <v>2278</v>
      </c>
    </row>
    <row r="335" spans="1:2" customFormat="1" hidden="1">
      <c r="A335" t="s">
        <v>2699</v>
      </c>
      <c r="B335" t="s">
        <v>2278</v>
      </c>
    </row>
    <row r="336" spans="1:2" customFormat="1" hidden="1">
      <c r="A336" t="s">
        <v>2700</v>
      </c>
      <c r="B336" t="s">
        <v>2701</v>
      </c>
    </row>
    <row r="337" spans="1:2" customFormat="1" hidden="1">
      <c r="A337" t="s">
        <v>2702</v>
      </c>
      <c r="B337" t="s">
        <v>2703</v>
      </c>
    </row>
    <row r="338" spans="1:2" customFormat="1" hidden="1">
      <c r="A338" t="s">
        <v>2704</v>
      </c>
      <c r="B338" t="s">
        <v>2705</v>
      </c>
    </row>
    <row r="339" spans="1:2" customFormat="1" hidden="1">
      <c r="A339" t="s">
        <v>2706</v>
      </c>
      <c r="B339" t="s">
        <v>2707</v>
      </c>
    </row>
    <row r="340" spans="1:2" customFormat="1" hidden="1">
      <c r="A340" t="s">
        <v>2708</v>
      </c>
      <c r="B340" t="s">
        <v>2709</v>
      </c>
    </row>
    <row r="341" spans="1:2" customFormat="1" hidden="1">
      <c r="A341" t="s">
        <v>2710</v>
      </c>
      <c r="B341" t="s">
        <v>2711</v>
      </c>
    </row>
    <row r="342" spans="1:2" customFormat="1" hidden="1">
      <c r="A342" t="s">
        <v>2712</v>
      </c>
      <c r="B342" t="s">
        <v>2713</v>
      </c>
    </row>
    <row r="343" spans="1:2" customFormat="1" hidden="1">
      <c r="A343" t="s">
        <v>2714</v>
      </c>
      <c r="B343" t="s">
        <v>2715</v>
      </c>
    </row>
    <row r="344" spans="1:2" customFormat="1" hidden="1">
      <c r="A344" t="s">
        <v>2716</v>
      </c>
      <c r="B344" t="s">
        <v>2717</v>
      </c>
    </row>
    <row r="345" spans="1:2" customFormat="1" hidden="1">
      <c r="A345" t="s">
        <v>2718</v>
      </c>
      <c r="B345" t="s">
        <v>2719</v>
      </c>
    </row>
    <row r="346" spans="1:2" customFormat="1" hidden="1">
      <c r="A346" t="s">
        <v>2720</v>
      </c>
      <c r="B346" t="s">
        <v>2721</v>
      </c>
    </row>
    <row r="347" spans="1:2" customFormat="1" hidden="1">
      <c r="A347" t="s">
        <v>2722</v>
      </c>
      <c r="B347" t="s">
        <v>2723</v>
      </c>
    </row>
    <row r="348" spans="1:2" customFormat="1" hidden="1">
      <c r="A348" t="s">
        <v>2724</v>
      </c>
      <c r="B348" t="s">
        <v>2725</v>
      </c>
    </row>
    <row r="349" spans="1:2" customFormat="1" hidden="1">
      <c r="A349" t="s">
        <v>2726</v>
      </c>
      <c r="B349" t="s">
        <v>2727</v>
      </c>
    </row>
    <row r="350" spans="1:2" customFormat="1" hidden="1">
      <c r="A350" t="s">
        <v>2728</v>
      </c>
      <c r="B350" t="s">
        <v>2729</v>
      </c>
    </row>
    <row r="351" spans="1:2" customFormat="1" hidden="1">
      <c r="A351" t="s">
        <v>2730</v>
      </c>
      <c r="B351" t="s">
        <v>2731</v>
      </c>
    </row>
    <row r="352" spans="1:2" customFormat="1" hidden="1">
      <c r="A352" t="s">
        <v>2732</v>
      </c>
      <c r="B352" t="s">
        <v>2733</v>
      </c>
    </row>
    <row r="353" spans="1:2" customFormat="1" hidden="1">
      <c r="A353" t="s">
        <v>2734</v>
      </c>
      <c r="B353" t="s">
        <v>2735</v>
      </c>
    </row>
    <row r="354" spans="1:2" customFormat="1" hidden="1">
      <c r="A354" t="s">
        <v>2736</v>
      </c>
      <c r="B354" t="s">
        <v>2737</v>
      </c>
    </row>
    <row r="355" spans="1:2" customFormat="1" hidden="1">
      <c r="A355" t="s">
        <v>2738</v>
      </c>
      <c r="B355" t="s">
        <v>2739</v>
      </c>
    </row>
    <row r="356" spans="1:2" customFormat="1" hidden="1">
      <c r="A356" t="s">
        <v>2740</v>
      </c>
      <c r="B356" t="s">
        <v>2741</v>
      </c>
    </row>
    <row r="357" spans="1:2" customFormat="1" hidden="1">
      <c r="A357" t="s">
        <v>2742</v>
      </c>
      <c r="B357" t="s">
        <v>2743</v>
      </c>
    </row>
    <row r="358" spans="1:2" customFormat="1" hidden="1">
      <c r="A358" t="s">
        <v>2744</v>
      </c>
      <c r="B358" t="s">
        <v>2745</v>
      </c>
    </row>
    <row r="359" spans="1:2" customFormat="1" hidden="1">
      <c r="A359" t="s">
        <v>2746</v>
      </c>
      <c r="B359" t="s">
        <v>2747</v>
      </c>
    </row>
    <row r="360" spans="1:2" customFormat="1" hidden="1">
      <c r="A360" t="s">
        <v>2748</v>
      </c>
      <c r="B360" t="s">
        <v>2749</v>
      </c>
    </row>
    <row r="361" spans="1:2" customFormat="1" hidden="1">
      <c r="A361" t="s">
        <v>2750</v>
      </c>
      <c r="B361" t="s">
        <v>2751</v>
      </c>
    </row>
    <row r="362" spans="1:2" customFormat="1" hidden="1">
      <c r="A362" t="s">
        <v>2752</v>
      </c>
      <c r="B362" t="s">
        <v>2753</v>
      </c>
    </row>
    <row r="363" spans="1:2" customFormat="1" hidden="1">
      <c r="A363" t="s">
        <v>2754</v>
      </c>
      <c r="B363" t="s">
        <v>2755</v>
      </c>
    </row>
    <row r="364" spans="1:2">
      <c r="A364" s="171" t="s">
        <v>2756</v>
      </c>
      <c r="B364" s="171" t="s">
        <v>2757</v>
      </c>
    </row>
    <row r="365" spans="1:2">
      <c r="A365" s="171" t="s">
        <v>2758</v>
      </c>
      <c r="B365" s="171" t="s">
        <v>2759</v>
      </c>
    </row>
    <row r="366" spans="1:2">
      <c r="A366" s="171" t="s">
        <v>2760</v>
      </c>
      <c r="B366" s="171" t="s">
        <v>2761</v>
      </c>
    </row>
    <row r="367" spans="1:2">
      <c r="A367" s="171" t="s">
        <v>2762</v>
      </c>
      <c r="B367" s="171" t="s">
        <v>2763</v>
      </c>
    </row>
    <row r="368" spans="1:2">
      <c r="A368" s="171" t="s">
        <v>2764</v>
      </c>
      <c r="B368" s="171" t="s">
        <v>2765</v>
      </c>
    </row>
    <row r="369" spans="1:2">
      <c r="A369" s="171" t="s">
        <v>2766</v>
      </c>
      <c r="B369" s="171" t="s">
        <v>2767</v>
      </c>
    </row>
    <row r="370" spans="1:2" customFormat="1" hidden="1">
      <c r="A370" t="s">
        <v>2768</v>
      </c>
      <c r="B370" t="s">
        <v>2769</v>
      </c>
    </row>
    <row r="371" spans="1:2" customFormat="1" hidden="1">
      <c r="A371" t="s">
        <v>2770</v>
      </c>
      <c r="B371" t="s">
        <v>2771</v>
      </c>
    </row>
    <row r="372" spans="1:2" customFormat="1" hidden="1">
      <c r="A372" t="s">
        <v>2772</v>
      </c>
      <c r="B372" t="s">
        <v>2773</v>
      </c>
    </row>
    <row r="373" spans="1:2" customFormat="1" hidden="1">
      <c r="A373" t="s">
        <v>2774</v>
      </c>
      <c r="B373" t="s">
        <v>2775</v>
      </c>
    </row>
    <row r="374" spans="1:2" customFormat="1" hidden="1">
      <c r="A374" t="s">
        <v>2776</v>
      </c>
      <c r="B374" t="s">
        <v>2777</v>
      </c>
    </row>
    <row r="375" spans="1:2" customFormat="1" hidden="1">
      <c r="A375" t="s">
        <v>2778</v>
      </c>
      <c r="B375" t="s">
        <v>2779</v>
      </c>
    </row>
    <row r="376" spans="1:2" customFormat="1" hidden="1">
      <c r="A376" t="s">
        <v>2780</v>
      </c>
      <c r="B376" t="s">
        <v>2781</v>
      </c>
    </row>
    <row r="377" spans="1:2" customFormat="1" hidden="1">
      <c r="A377" t="s">
        <v>2782</v>
      </c>
      <c r="B377" t="s">
        <v>2783</v>
      </c>
    </row>
    <row r="378" spans="1:2" customFormat="1" hidden="1">
      <c r="A378" t="s">
        <v>2784</v>
      </c>
      <c r="B378" t="s">
        <v>2785</v>
      </c>
    </row>
    <row r="379" spans="1:2" customFormat="1" hidden="1">
      <c r="A379" t="s">
        <v>2786</v>
      </c>
      <c r="B379" t="s">
        <v>2787</v>
      </c>
    </row>
    <row r="380" spans="1:2" customFormat="1" hidden="1">
      <c r="A380" t="s">
        <v>2788</v>
      </c>
      <c r="B380" t="s">
        <v>2789</v>
      </c>
    </row>
    <row r="381" spans="1:2" customFormat="1" hidden="1">
      <c r="A381" t="s">
        <v>2790</v>
      </c>
      <c r="B381" t="s">
        <v>2791</v>
      </c>
    </row>
    <row r="382" spans="1:2" customFormat="1" hidden="1">
      <c r="A382" t="s">
        <v>2792</v>
      </c>
      <c r="B382" t="s">
        <v>2793</v>
      </c>
    </row>
    <row r="383" spans="1:2" customFormat="1" hidden="1">
      <c r="A383" t="s">
        <v>2794</v>
      </c>
      <c r="B383" t="s">
        <v>2795</v>
      </c>
    </row>
    <row r="384" spans="1:2" customFormat="1" hidden="1">
      <c r="A384" t="s">
        <v>2796</v>
      </c>
      <c r="B384" t="s">
        <v>2797</v>
      </c>
    </row>
    <row r="385" spans="1:2" customFormat="1" hidden="1">
      <c r="A385" t="s">
        <v>2798</v>
      </c>
      <c r="B385" t="s">
        <v>2799</v>
      </c>
    </row>
    <row r="386" spans="1:2" customFormat="1" hidden="1">
      <c r="A386" t="s">
        <v>2800</v>
      </c>
      <c r="B386" t="s">
        <v>2801</v>
      </c>
    </row>
    <row r="387" spans="1:2">
      <c r="A387" s="171" t="s">
        <v>2802</v>
      </c>
      <c r="B387" s="171" t="s">
        <v>2803</v>
      </c>
    </row>
    <row r="388" spans="1:2">
      <c r="A388" s="171" t="s">
        <v>2804</v>
      </c>
      <c r="B388" s="171" t="s">
        <v>2805</v>
      </c>
    </row>
    <row r="389" spans="1:2">
      <c r="A389" s="171" t="s">
        <v>2806</v>
      </c>
      <c r="B389" s="171" t="s">
        <v>2807</v>
      </c>
    </row>
    <row r="390" spans="1:2">
      <c r="A390" s="171" t="s">
        <v>2808</v>
      </c>
      <c r="B390" s="171" t="s">
        <v>2809</v>
      </c>
    </row>
    <row r="391" spans="1:2" customFormat="1" hidden="1">
      <c r="A391" t="s">
        <v>2810</v>
      </c>
      <c r="B391" t="s">
        <v>2811</v>
      </c>
    </row>
    <row r="392" spans="1:2" customFormat="1" hidden="1">
      <c r="A392" t="s">
        <v>2812</v>
      </c>
      <c r="B392" t="s">
        <v>2813</v>
      </c>
    </row>
    <row r="393" spans="1:2" customFormat="1" hidden="1">
      <c r="A393" t="s">
        <v>2814</v>
      </c>
      <c r="B393" t="s">
        <v>2815</v>
      </c>
    </row>
    <row r="394" spans="1:2" customFormat="1" hidden="1">
      <c r="A394" t="s">
        <v>2816</v>
      </c>
      <c r="B394" t="s">
        <v>2817</v>
      </c>
    </row>
    <row r="395" spans="1:2" customFormat="1" hidden="1">
      <c r="A395" t="s">
        <v>2818</v>
      </c>
      <c r="B395" t="s">
        <v>2819</v>
      </c>
    </row>
    <row r="396" spans="1:2" customFormat="1" hidden="1">
      <c r="A396" t="s">
        <v>2820</v>
      </c>
      <c r="B396" t="s">
        <v>2821</v>
      </c>
    </row>
    <row r="397" spans="1:2" customFormat="1" hidden="1">
      <c r="A397" t="s">
        <v>2822</v>
      </c>
      <c r="B397" t="s">
        <v>2823</v>
      </c>
    </row>
    <row r="398" spans="1:2" customFormat="1" hidden="1">
      <c r="A398" t="s">
        <v>2824</v>
      </c>
      <c r="B398" t="s">
        <v>2825</v>
      </c>
    </row>
    <row r="399" spans="1:2" customFormat="1" hidden="1">
      <c r="A399" t="s">
        <v>2826</v>
      </c>
      <c r="B399" t="s">
        <v>2827</v>
      </c>
    </row>
    <row r="400" spans="1:2" customFormat="1" hidden="1">
      <c r="A400" t="s">
        <v>2828</v>
      </c>
      <c r="B400" t="s">
        <v>2829</v>
      </c>
    </row>
    <row r="401" spans="1:2" customFormat="1" hidden="1">
      <c r="A401" t="s">
        <v>2830</v>
      </c>
      <c r="B401" t="s">
        <v>2831</v>
      </c>
    </row>
    <row r="402" spans="1:2" customFormat="1" hidden="1">
      <c r="A402" t="s">
        <v>2832</v>
      </c>
      <c r="B402" t="s">
        <v>2833</v>
      </c>
    </row>
    <row r="403" spans="1:2" customFormat="1" hidden="1">
      <c r="A403" t="s">
        <v>2834</v>
      </c>
      <c r="B403" t="s">
        <v>2835</v>
      </c>
    </row>
    <row r="404" spans="1:2">
      <c r="A404" s="171" t="s">
        <v>2836</v>
      </c>
      <c r="B404" s="171" t="s">
        <v>2837</v>
      </c>
    </row>
    <row r="405" spans="1:2">
      <c r="A405" s="171" t="s">
        <v>2838</v>
      </c>
      <c r="B405" s="171" t="s">
        <v>2837</v>
      </c>
    </row>
    <row r="406" spans="1:2">
      <c r="A406" s="171" t="s">
        <v>2839</v>
      </c>
      <c r="B406" s="171" t="s">
        <v>2093</v>
      </c>
    </row>
    <row r="407" spans="1:2">
      <c r="A407" s="171" t="s">
        <v>2840</v>
      </c>
      <c r="B407" s="171" t="s">
        <v>2841</v>
      </c>
    </row>
    <row r="408" spans="1:2">
      <c r="A408" s="171" t="s">
        <v>2842</v>
      </c>
      <c r="B408" s="171" t="s">
        <v>2843</v>
      </c>
    </row>
    <row r="409" spans="1:2">
      <c r="A409" s="171" t="s">
        <v>2844</v>
      </c>
      <c r="B409" s="171" t="s">
        <v>2093</v>
      </c>
    </row>
    <row r="410" spans="1:2">
      <c r="A410" s="171" t="s">
        <v>2845</v>
      </c>
      <c r="B410" s="171" t="s">
        <v>2846</v>
      </c>
    </row>
    <row r="411" spans="1:2">
      <c r="A411" s="171" t="s">
        <v>2847</v>
      </c>
      <c r="B411" s="171" t="s">
        <v>2093</v>
      </c>
    </row>
    <row r="412" spans="1:2" customFormat="1" hidden="1">
      <c r="A412" t="s">
        <v>2848</v>
      </c>
      <c r="B412" t="s">
        <v>2849</v>
      </c>
    </row>
    <row r="413" spans="1:2" customFormat="1" hidden="1">
      <c r="A413" t="s">
        <v>2850</v>
      </c>
      <c r="B413" t="s">
        <v>2851</v>
      </c>
    </row>
    <row r="414" spans="1:2" customFormat="1" hidden="1">
      <c r="A414" t="s">
        <v>2852</v>
      </c>
      <c r="B414" t="s">
        <v>2853</v>
      </c>
    </row>
    <row r="415" spans="1:2" customFormat="1" hidden="1">
      <c r="A415" t="s">
        <v>2854</v>
      </c>
      <c r="B415" t="s">
        <v>2855</v>
      </c>
    </row>
    <row r="416" spans="1:2" customFormat="1" hidden="1">
      <c r="A416" t="s">
        <v>2856</v>
      </c>
      <c r="B416" t="s">
        <v>2857</v>
      </c>
    </row>
    <row r="417" spans="1:2" customFormat="1" hidden="1">
      <c r="A417" t="s">
        <v>2858</v>
      </c>
      <c r="B417" t="s">
        <v>2859</v>
      </c>
    </row>
    <row r="418" spans="1:2" customFormat="1" hidden="1">
      <c r="A418" t="s">
        <v>2860</v>
      </c>
      <c r="B418" t="s">
        <v>2861</v>
      </c>
    </row>
    <row r="419" spans="1:2" customFormat="1" hidden="1">
      <c r="A419" t="s">
        <v>2862</v>
      </c>
      <c r="B419" t="s">
        <v>2863</v>
      </c>
    </row>
    <row r="420" spans="1:2" customFormat="1" hidden="1">
      <c r="A420" t="s">
        <v>2864</v>
      </c>
      <c r="B420" t="s">
        <v>2865</v>
      </c>
    </row>
    <row r="421" spans="1:2" customFormat="1" hidden="1">
      <c r="A421" t="s">
        <v>2866</v>
      </c>
      <c r="B421" t="s">
        <v>2867</v>
      </c>
    </row>
    <row r="422" spans="1:2" customFormat="1" hidden="1">
      <c r="A422" t="s">
        <v>2868</v>
      </c>
      <c r="B422" t="s">
        <v>2869</v>
      </c>
    </row>
    <row r="423" spans="1:2" customFormat="1" hidden="1">
      <c r="A423" t="s">
        <v>2870</v>
      </c>
      <c r="B423" t="s">
        <v>2871</v>
      </c>
    </row>
    <row r="424" spans="1:2" customFormat="1" hidden="1">
      <c r="A424" t="s">
        <v>2872</v>
      </c>
      <c r="B424" t="s">
        <v>2873</v>
      </c>
    </row>
    <row r="425" spans="1:2" customFormat="1" hidden="1">
      <c r="A425" t="s">
        <v>2874</v>
      </c>
      <c r="B425" t="s">
        <v>2875</v>
      </c>
    </row>
    <row r="426" spans="1:2" customFormat="1" hidden="1">
      <c r="A426" t="s">
        <v>2876</v>
      </c>
      <c r="B426" t="s">
        <v>2877</v>
      </c>
    </row>
    <row r="427" spans="1:2" customFormat="1" hidden="1">
      <c r="A427" t="s">
        <v>2878</v>
      </c>
      <c r="B427" t="s">
        <v>2879</v>
      </c>
    </row>
    <row r="428" spans="1:2" customFormat="1" hidden="1">
      <c r="A428" t="s">
        <v>2880</v>
      </c>
      <c r="B428" t="s">
        <v>2881</v>
      </c>
    </row>
    <row r="429" spans="1:2">
      <c r="A429" s="171" t="s">
        <v>2882</v>
      </c>
      <c r="B429" s="171" t="s">
        <v>2883</v>
      </c>
    </row>
    <row r="430" spans="1:2">
      <c r="A430" s="171" t="s">
        <v>2884</v>
      </c>
      <c r="B430" s="171" t="s">
        <v>2885</v>
      </c>
    </row>
    <row r="431" spans="1:2">
      <c r="A431" s="171" t="s">
        <v>2886</v>
      </c>
      <c r="B431" s="171" t="s">
        <v>2887</v>
      </c>
    </row>
    <row r="432" spans="1:2" customFormat="1" hidden="1">
      <c r="A432" t="s">
        <v>2888</v>
      </c>
      <c r="B432" t="s">
        <v>2889</v>
      </c>
    </row>
    <row r="433" spans="1:2" customFormat="1" hidden="1">
      <c r="A433" t="s">
        <v>2890</v>
      </c>
      <c r="B433" t="s">
        <v>2891</v>
      </c>
    </row>
    <row r="434" spans="1:2" customFormat="1" hidden="1">
      <c r="A434" t="s">
        <v>2892</v>
      </c>
      <c r="B434" t="s">
        <v>2893</v>
      </c>
    </row>
    <row r="435" spans="1:2" customFormat="1" hidden="1">
      <c r="A435" t="s">
        <v>2894</v>
      </c>
      <c r="B435" t="s">
        <v>2895</v>
      </c>
    </row>
    <row r="436" spans="1:2" customFormat="1" hidden="1">
      <c r="A436" t="s">
        <v>2896</v>
      </c>
      <c r="B436" t="s">
        <v>2897</v>
      </c>
    </row>
    <row r="437" spans="1:2" customFormat="1" hidden="1">
      <c r="A437" t="s">
        <v>2898</v>
      </c>
      <c r="B437" t="s">
        <v>2899</v>
      </c>
    </row>
    <row r="438" spans="1:2" customFormat="1" hidden="1">
      <c r="A438" t="s">
        <v>2900</v>
      </c>
      <c r="B438" t="s">
        <v>2901</v>
      </c>
    </row>
    <row r="439" spans="1:2" customFormat="1" hidden="1">
      <c r="A439" t="s">
        <v>2902</v>
      </c>
      <c r="B439" t="s">
        <v>2903</v>
      </c>
    </row>
    <row r="440" spans="1:2" customFormat="1" hidden="1">
      <c r="A440" t="s">
        <v>2904</v>
      </c>
      <c r="B440" t="s">
        <v>2905</v>
      </c>
    </row>
    <row r="441" spans="1:2" customFormat="1" hidden="1">
      <c r="A441" t="s">
        <v>2906</v>
      </c>
      <c r="B441" t="s">
        <v>2907</v>
      </c>
    </row>
    <row r="442" spans="1:2" customFormat="1" hidden="1">
      <c r="A442" t="s">
        <v>2908</v>
      </c>
      <c r="B442" t="s">
        <v>2909</v>
      </c>
    </row>
    <row r="443" spans="1:2" customFormat="1" hidden="1">
      <c r="A443" t="s">
        <v>2910</v>
      </c>
      <c r="B443" t="s">
        <v>2911</v>
      </c>
    </row>
    <row r="444" spans="1:2" customFormat="1" hidden="1">
      <c r="A444" t="s">
        <v>2912</v>
      </c>
      <c r="B444" t="s">
        <v>2093</v>
      </c>
    </row>
    <row r="445" spans="1:2" customFormat="1" hidden="1">
      <c r="A445" t="s">
        <v>2913</v>
      </c>
      <c r="B445" t="s">
        <v>2093</v>
      </c>
    </row>
    <row r="446" spans="1:2" customFormat="1" hidden="1">
      <c r="A446" t="s">
        <v>2914</v>
      </c>
      <c r="B446" t="s">
        <v>2093</v>
      </c>
    </row>
    <row r="447" spans="1:2" customFormat="1" hidden="1">
      <c r="A447" t="s">
        <v>2915</v>
      </c>
      <c r="B447" t="s">
        <v>2916</v>
      </c>
    </row>
    <row r="448" spans="1:2" customFormat="1" hidden="1">
      <c r="A448" t="s">
        <v>2917</v>
      </c>
      <c r="B448" t="s">
        <v>2918</v>
      </c>
    </row>
    <row r="449" spans="1:2" customFormat="1" hidden="1">
      <c r="A449" t="s">
        <v>2919</v>
      </c>
      <c r="B449" t="s">
        <v>2920</v>
      </c>
    </row>
    <row r="450" spans="1:2" customFormat="1" hidden="1">
      <c r="A450" t="s">
        <v>2921</v>
      </c>
      <c r="B450" t="s">
        <v>2922</v>
      </c>
    </row>
    <row r="451" spans="1:2" customFormat="1" hidden="1">
      <c r="A451" t="s">
        <v>2923</v>
      </c>
      <c r="B451" t="s">
        <v>2924</v>
      </c>
    </row>
    <row r="452" spans="1:2">
      <c r="A452" s="171" t="s">
        <v>2925</v>
      </c>
      <c r="B452" s="171" t="s">
        <v>2926</v>
      </c>
    </row>
    <row r="453" spans="1:2">
      <c r="A453" s="171" t="s">
        <v>2927</v>
      </c>
      <c r="B453" s="171" t="s">
        <v>2928</v>
      </c>
    </row>
    <row r="454" spans="1:2">
      <c r="A454" s="171" t="s">
        <v>2929</v>
      </c>
      <c r="B454" s="171" t="s">
        <v>2930</v>
      </c>
    </row>
    <row r="455" spans="1:2" customFormat="1" hidden="1">
      <c r="A455" t="s">
        <v>2931</v>
      </c>
      <c r="B455" t="s">
        <v>2278</v>
      </c>
    </row>
    <row r="456" spans="1:2" customFormat="1" hidden="1">
      <c r="A456" t="s">
        <v>2932</v>
      </c>
      <c r="B456" t="s">
        <v>2278</v>
      </c>
    </row>
    <row r="457" spans="1:2" customFormat="1" hidden="1">
      <c r="A457" t="s">
        <v>2933</v>
      </c>
      <c r="B457" t="s">
        <v>2278</v>
      </c>
    </row>
    <row r="458" spans="1:2" customFormat="1" hidden="1">
      <c r="A458" t="s">
        <v>2934</v>
      </c>
      <c r="B458" t="s">
        <v>2935</v>
      </c>
    </row>
    <row r="459" spans="1:2" customFormat="1" hidden="1">
      <c r="A459" t="s">
        <v>2936</v>
      </c>
      <c r="B459" t="s">
        <v>2937</v>
      </c>
    </row>
    <row r="460" spans="1:2" customFormat="1" hidden="1">
      <c r="A460" t="s">
        <v>2938</v>
      </c>
      <c r="B460" t="s">
        <v>2939</v>
      </c>
    </row>
    <row r="461" spans="1:2" customFormat="1" hidden="1">
      <c r="A461" t="s">
        <v>2940</v>
      </c>
      <c r="B461" t="s">
        <v>2941</v>
      </c>
    </row>
    <row r="462" spans="1:2" customFormat="1" hidden="1">
      <c r="A462" t="s">
        <v>2942</v>
      </c>
      <c r="B462" t="s">
        <v>2943</v>
      </c>
    </row>
    <row r="463" spans="1:2" customFormat="1" hidden="1">
      <c r="A463" t="s">
        <v>2944</v>
      </c>
      <c r="B463" t="s">
        <v>2945</v>
      </c>
    </row>
    <row r="464" spans="1:2" customFormat="1" hidden="1">
      <c r="A464" t="s">
        <v>2946</v>
      </c>
      <c r="B464" t="s">
        <v>2947</v>
      </c>
    </row>
    <row r="465" spans="1:2" customFormat="1" hidden="1">
      <c r="A465" t="s">
        <v>2948</v>
      </c>
      <c r="B465" t="s">
        <v>2949</v>
      </c>
    </row>
    <row r="466" spans="1:2" customFormat="1" hidden="1">
      <c r="A466" t="s">
        <v>2950</v>
      </c>
      <c r="B466" t="s">
        <v>2951</v>
      </c>
    </row>
    <row r="467" spans="1:2" customFormat="1" hidden="1">
      <c r="A467" t="s">
        <v>2952</v>
      </c>
      <c r="B467" t="s">
        <v>2953</v>
      </c>
    </row>
    <row r="468" spans="1:2" customFormat="1" hidden="1">
      <c r="A468" t="s">
        <v>2954</v>
      </c>
      <c r="B468" t="s">
        <v>2955</v>
      </c>
    </row>
    <row r="469" spans="1:2" customFormat="1" hidden="1">
      <c r="A469" t="s">
        <v>2956</v>
      </c>
      <c r="B469" t="s">
        <v>2957</v>
      </c>
    </row>
    <row r="470" spans="1:2" customFormat="1" hidden="1">
      <c r="A470" t="s">
        <v>2958</v>
      </c>
      <c r="B470" t="s">
        <v>2959</v>
      </c>
    </row>
    <row r="471" spans="1:2" customFormat="1" hidden="1">
      <c r="A471" t="s">
        <v>2960</v>
      </c>
      <c r="B471" t="s">
        <v>2961</v>
      </c>
    </row>
    <row r="472" spans="1:2">
      <c r="A472" s="171" t="s">
        <v>2962</v>
      </c>
      <c r="B472" s="171" t="s">
        <v>2963</v>
      </c>
    </row>
    <row r="473" spans="1:2">
      <c r="A473" s="171" t="s">
        <v>2964</v>
      </c>
      <c r="B473" s="171" t="s">
        <v>2965</v>
      </c>
    </row>
    <row r="474" spans="1:2">
      <c r="A474" s="171" t="s">
        <v>2966</v>
      </c>
      <c r="B474" s="171" t="s">
        <v>2967</v>
      </c>
    </row>
    <row r="475" spans="1:2" customFormat="1" hidden="1">
      <c r="A475" t="s">
        <v>2968</v>
      </c>
      <c r="B475" t="s">
        <v>2278</v>
      </c>
    </row>
    <row r="476" spans="1:2" customFormat="1" hidden="1">
      <c r="A476" t="s">
        <v>2969</v>
      </c>
      <c r="B476" t="s">
        <v>2278</v>
      </c>
    </row>
    <row r="477" spans="1:2" customFormat="1" hidden="1">
      <c r="A477" t="s">
        <v>2970</v>
      </c>
      <c r="B477" t="s">
        <v>2278</v>
      </c>
    </row>
    <row r="478" spans="1:2" customFormat="1" hidden="1">
      <c r="A478" t="s">
        <v>2971</v>
      </c>
      <c r="B478" t="s">
        <v>2278</v>
      </c>
    </row>
    <row r="479" spans="1:2" customFormat="1" hidden="1">
      <c r="A479" t="s">
        <v>2972</v>
      </c>
      <c r="B479" t="s">
        <v>2973</v>
      </c>
    </row>
    <row r="480" spans="1:2" customFormat="1" hidden="1">
      <c r="A480" t="s">
        <v>2974</v>
      </c>
      <c r="B480" t="s">
        <v>2975</v>
      </c>
    </row>
    <row r="481" spans="1:2" customFormat="1" hidden="1">
      <c r="A481" t="s">
        <v>2976</v>
      </c>
      <c r="B481" t="s">
        <v>2977</v>
      </c>
    </row>
    <row r="482" spans="1:2" customFormat="1" hidden="1">
      <c r="A482" t="s">
        <v>2978</v>
      </c>
      <c r="B482" t="s">
        <v>2979</v>
      </c>
    </row>
    <row r="483" spans="1:2" customFormat="1" hidden="1">
      <c r="A483" t="s">
        <v>2980</v>
      </c>
      <c r="B483" t="s">
        <v>2981</v>
      </c>
    </row>
    <row r="484" spans="1:2" customFormat="1" hidden="1">
      <c r="A484" t="s">
        <v>2982</v>
      </c>
      <c r="B484" t="s">
        <v>2983</v>
      </c>
    </row>
    <row r="485" spans="1:2" customFormat="1" hidden="1">
      <c r="A485" t="s">
        <v>2984</v>
      </c>
      <c r="B485" t="s">
        <v>2985</v>
      </c>
    </row>
    <row r="486" spans="1:2" customFormat="1" hidden="1">
      <c r="A486" t="s">
        <v>2986</v>
      </c>
      <c r="B486" t="s">
        <v>2987</v>
      </c>
    </row>
    <row r="487" spans="1:2" customFormat="1" hidden="1">
      <c r="A487" t="s">
        <v>2988</v>
      </c>
      <c r="B487" t="s">
        <v>2989</v>
      </c>
    </row>
    <row r="488" spans="1:2" customFormat="1" hidden="1">
      <c r="A488" t="s">
        <v>2990</v>
      </c>
      <c r="B488" t="s">
        <v>2991</v>
      </c>
    </row>
    <row r="489" spans="1:2" customFormat="1" hidden="1">
      <c r="A489" t="s">
        <v>2992</v>
      </c>
      <c r="B489" t="s">
        <v>2993</v>
      </c>
    </row>
    <row r="490" spans="1:2" customFormat="1" hidden="1">
      <c r="A490" t="s">
        <v>2994</v>
      </c>
      <c r="B490" t="s">
        <v>2995</v>
      </c>
    </row>
    <row r="491" spans="1:2" customFormat="1" hidden="1">
      <c r="A491" t="s">
        <v>2996</v>
      </c>
      <c r="B491" t="s">
        <v>2997</v>
      </c>
    </row>
    <row r="492" spans="1:2" customFormat="1" hidden="1">
      <c r="A492" t="s">
        <v>2998</v>
      </c>
      <c r="B492" t="s">
        <v>2999</v>
      </c>
    </row>
    <row r="493" spans="1:2" customFormat="1" hidden="1">
      <c r="A493" t="s">
        <v>3000</v>
      </c>
      <c r="B493" t="s">
        <v>3001</v>
      </c>
    </row>
    <row r="494" spans="1:2" customFormat="1" hidden="1">
      <c r="A494" t="s">
        <v>3002</v>
      </c>
      <c r="B494" t="s">
        <v>2093</v>
      </c>
    </row>
    <row r="495" spans="1:2">
      <c r="A495" s="171" t="s">
        <v>3003</v>
      </c>
      <c r="B495" s="171" t="s">
        <v>3004</v>
      </c>
    </row>
    <row r="496" spans="1:2">
      <c r="A496" s="171" t="s">
        <v>3005</v>
      </c>
      <c r="B496" s="171" t="s">
        <v>2093</v>
      </c>
    </row>
    <row r="497" spans="1:2">
      <c r="A497" s="171" t="s">
        <v>3006</v>
      </c>
      <c r="B497" s="171" t="s">
        <v>3007</v>
      </c>
    </row>
    <row r="498" spans="1:2">
      <c r="A498" s="171" t="s">
        <v>3008</v>
      </c>
      <c r="B498" s="171" t="s">
        <v>3009</v>
      </c>
    </row>
    <row r="499" spans="1:2" customFormat="1" hidden="1">
      <c r="A499" t="s">
        <v>3010</v>
      </c>
      <c r="B499" t="s">
        <v>3011</v>
      </c>
    </row>
    <row r="500" spans="1:2" customFormat="1" hidden="1">
      <c r="A500" t="s">
        <v>3012</v>
      </c>
      <c r="B500" t="s">
        <v>3013</v>
      </c>
    </row>
    <row r="501" spans="1:2" customFormat="1" hidden="1">
      <c r="A501" t="s">
        <v>3014</v>
      </c>
      <c r="B501" t="s">
        <v>3015</v>
      </c>
    </row>
    <row r="502" spans="1:2" customFormat="1" hidden="1">
      <c r="A502" t="s">
        <v>3016</v>
      </c>
      <c r="B502" t="s">
        <v>3017</v>
      </c>
    </row>
    <row r="503" spans="1:2" customFormat="1" hidden="1">
      <c r="A503" t="s">
        <v>3018</v>
      </c>
      <c r="B503" t="s">
        <v>3019</v>
      </c>
    </row>
    <row r="504" spans="1:2" customFormat="1" hidden="1">
      <c r="A504" t="s">
        <v>3020</v>
      </c>
      <c r="B504" t="s">
        <v>3021</v>
      </c>
    </row>
    <row r="505" spans="1:2" customFormat="1" hidden="1">
      <c r="A505" t="s">
        <v>3022</v>
      </c>
      <c r="B505" t="s">
        <v>3023</v>
      </c>
    </row>
    <row r="506" spans="1:2" customFormat="1" hidden="1">
      <c r="A506" t="s">
        <v>3024</v>
      </c>
      <c r="B506" t="s">
        <v>3025</v>
      </c>
    </row>
    <row r="507" spans="1:2" customFormat="1" hidden="1">
      <c r="A507" t="s">
        <v>3026</v>
      </c>
      <c r="B507" t="s">
        <v>3027</v>
      </c>
    </row>
    <row r="508" spans="1:2" customFormat="1" hidden="1">
      <c r="A508" t="s">
        <v>3028</v>
      </c>
      <c r="B508" t="s">
        <v>3029</v>
      </c>
    </row>
    <row r="509" spans="1:2" customFormat="1" hidden="1">
      <c r="A509" t="s">
        <v>3030</v>
      </c>
      <c r="B509" t="s">
        <v>3031</v>
      </c>
    </row>
    <row r="510" spans="1:2" customFormat="1" hidden="1">
      <c r="A510" t="s">
        <v>3032</v>
      </c>
      <c r="B510" t="s">
        <v>3033</v>
      </c>
    </row>
    <row r="511" spans="1:2" customFormat="1" hidden="1">
      <c r="A511" t="s">
        <v>3034</v>
      </c>
      <c r="B511" t="s">
        <v>3035</v>
      </c>
    </row>
    <row r="512" spans="1:2" customFormat="1" hidden="1">
      <c r="A512" t="s">
        <v>3036</v>
      </c>
      <c r="B512" t="s">
        <v>3037</v>
      </c>
    </row>
    <row r="513" spans="1:2">
      <c r="A513" s="171" t="s">
        <v>3038</v>
      </c>
      <c r="B513" s="171" t="s">
        <v>3039</v>
      </c>
    </row>
    <row r="514" spans="1:2">
      <c r="A514" s="171" t="s">
        <v>3040</v>
      </c>
      <c r="B514" s="171" t="s">
        <v>3041</v>
      </c>
    </row>
    <row r="515" spans="1:2">
      <c r="A515" s="171" t="s">
        <v>3042</v>
      </c>
      <c r="B515" s="171" t="s">
        <v>3043</v>
      </c>
    </row>
    <row r="516" spans="1:2" customFormat="1" hidden="1">
      <c r="A516" t="s">
        <v>3044</v>
      </c>
      <c r="B516" t="s">
        <v>2278</v>
      </c>
    </row>
    <row r="517" spans="1:2" customFormat="1" hidden="1">
      <c r="A517" t="s">
        <v>3045</v>
      </c>
      <c r="B517" t="s">
        <v>2278</v>
      </c>
    </row>
    <row r="518" spans="1:2" customFormat="1" hidden="1">
      <c r="A518" t="s">
        <v>3046</v>
      </c>
      <c r="B518" t="s">
        <v>3047</v>
      </c>
    </row>
    <row r="519" spans="1:2" customFormat="1" hidden="1">
      <c r="A519" t="s">
        <v>3048</v>
      </c>
      <c r="B519" t="s">
        <v>3049</v>
      </c>
    </row>
    <row r="520" spans="1:2" customFormat="1" hidden="1">
      <c r="A520" t="s">
        <v>3050</v>
      </c>
      <c r="B520" t="s">
        <v>3051</v>
      </c>
    </row>
    <row r="521" spans="1:2" customFormat="1" hidden="1">
      <c r="A521" t="s">
        <v>3052</v>
      </c>
      <c r="B521" t="s">
        <v>3053</v>
      </c>
    </row>
    <row r="522" spans="1:2" customFormat="1" hidden="1">
      <c r="A522" t="s">
        <v>3054</v>
      </c>
      <c r="B522" t="s">
        <v>3055</v>
      </c>
    </row>
    <row r="523" spans="1:2" customFormat="1" hidden="1">
      <c r="A523" t="s">
        <v>3056</v>
      </c>
      <c r="B523" t="s">
        <v>3057</v>
      </c>
    </row>
    <row r="524" spans="1:2" customFormat="1" hidden="1">
      <c r="A524" t="s">
        <v>3058</v>
      </c>
      <c r="B524" t="s">
        <v>3059</v>
      </c>
    </row>
    <row r="525" spans="1:2" customFormat="1" hidden="1">
      <c r="A525" t="s">
        <v>3060</v>
      </c>
      <c r="B525" t="s">
        <v>3061</v>
      </c>
    </row>
    <row r="526" spans="1:2">
      <c r="A526" s="171" t="s">
        <v>3062</v>
      </c>
      <c r="B526" s="171" t="s">
        <v>3063</v>
      </c>
    </row>
    <row r="527" spans="1:2" customFormat="1" hidden="1">
      <c r="A527" t="s">
        <v>3064</v>
      </c>
      <c r="B527" t="s">
        <v>3065</v>
      </c>
    </row>
    <row r="528" spans="1:2">
      <c r="A528" s="171" t="s">
        <v>3066</v>
      </c>
      <c r="B528" s="171" t="s">
        <v>3067</v>
      </c>
    </row>
    <row r="529" spans="1:2" customFormat="1" hidden="1">
      <c r="A529" t="s">
        <v>3068</v>
      </c>
      <c r="B529" t="s">
        <v>3069</v>
      </c>
    </row>
    <row r="530" spans="1:2" customFormat="1" hidden="1">
      <c r="A530" t="s">
        <v>3070</v>
      </c>
      <c r="B530" t="s">
        <v>3071</v>
      </c>
    </row>
    <row r="531" spans="1:2">
      <c r="A531" s="171" t="s">
        <v>3072</v>
      </c>
      <c r="B531" s="171" t="s">
        <v>3073</v>
      </c>
    </row>
    <row r="532" spans="1:2" customFormat="1" hidden="1">
      <c r="A532" t="s">
        <v>3074</v>
      </c>
      <c r="B532" t="s">
        <v>3075</v>
      </c>
    </row>
    <row r="533" spans="1:2" customFormat="1" hidden="1">
      <c r="A533" t="s">
        <v>3076</v>
      </c>
      <c r="B533" t="s">
        <v>3077</v>
      </c>
    </row>
    <row r="534" spans="1:2" customFormat="1" hidden="1">
      <c r="A534" t="s">
        <v>3078</v>
      </c>
      <c r="B534" t="s">
        <v>3079</v>
      </c>
    </row>
    <row r="535" spans="1:2" customFormat="1" hidden="1">
      <c r="A535" t="s">
        <v>3080</v>
      </c>
      <c r="B535" t="s">
        <v>3081</v>
      </c>
    </row>
    <row r="536" spans="1:2" customFormat="1" hidden="1">
      <c r="A536" t="s">
        <v>3082</v>
      </c>
      <c r="B536" t="s">
        <v>3083</v>
      </c>
    </row>
    <row r="537" spans="1:2" customFormat="1" hidden="1">
      <c r="A537" t="s">
        <v>3084</v>
      </c>
      <c r="B537" t="s">
        <v>3085</v>
      </c>
    </row>
    <row r="538" spans="1:2" customFormat="1" hidden="1">
      <c r="A538" t="s">
        <v>3086</v>
      </c>
      <c r="B538" t="s">
        <v>3087</v>
      </c>
    </row>
    <row r="539" spans="1:2" customFormat="1" hidden="1">
      <c r="A539" t="s">
        <v>3088</v>
      </c>
      <c r="B539" t="s">
        <v>3089</v>
      </c>
    </row>
    <row r="540" spans="1:2" customFormat="1" hidden="1">
      <c r="A540" t="s">
        <v>3090</v>
      </c>
      <c r="B540" t="s">
        <v>3091</v>
      </c>
    </row>
    <row r="541" spans="1:2" customFormat="1" hidden="1">
      <c r="A541" t="s">
        <v>3092</v>
      </c>
      <c r="B541" t="s">
        <v>3093</v>
      </c>
    </row>
    <row r="542" spans="1:2">
      <c r="A542" s="171" t="s">
        <v>3094</v>
      </c>
      <c r="B542" s="171" t="s">
        <v>3095</v>
      </c>
    </row>
    <row r="543" spans="1:2" customFormat="1" hidden="1">
      <c r="A543" t="s">
        <v>3096</v>
      </c>
      <c r="B543" t="s">
        <v>3097</v>
      </c>
    </row>
    <row r="544" spans="1:2">
      <c r="A544" s="171" t="s">
        <v>3098</v>
      </c>
      <c r="B544" s="171" t="s">
        <v>3099</v>
      </c>
    </row>
    <row r="545" spans="1:2" customFormat="1" hidden="1">
      <c r="A545" t="s">
        <v>3100</v>
      </c>
      <c r="B545" t="s">
        <v>3101</v>
      </c>
    </row>
    <row r="546" spans="1:2" customFormat="1" hidden="1">
      <c r="A546" t="s">
        <v>3102</v>
      </c>
      <c r="B546" t="s">
        <v>3103</v>
      </c>
    </row>
    <row r="547" spans="1:2">
      <c r="A547" s="171" t="s">
        <v>3104</v>
      </c>
      <c r="B547" s="171" t="s">
        <v>3105</v>
      </c>
    </row>
    <row r="548" spans="1:2" customFormat="1" hidden="1">
      <c r="A548" t="s">
        <v>3106</v>
      </c>
      <c r="B548" t="s">
        <v>3107</v>
      </c>
    </row>
    <row r="549" spans="1:2" customFormat="1" hidden="1">
      <c r="A549" t="s">
        <v>3108</v>
      </c>
      <c r="B549" t="s">
        <v>3109</v>
      </c>
    </row>
    <row r="550" spans="1:2" customFormat="1" hidden="1">
      <c r="A550" t="s">
        <v>3110</v>
      </c>
      <c r="B550" t="s">
        <v>3111</v>
      </c>
    </row>
    <row r="551" spans="1:2" customFormat="1" hidden="1">
      <c r="A551" t="s">
        <v>3112</v>
      </c>
      <c r="B551" t="s">
        <v>3113</v>
      </c>
    </row>
    <row r="552" spans="1:2" customFormat="1" hidden="1">
      <c r="A552" t="s">
        <v>3114</v>
      </c>
      <c r="B552" t="s">
        <v>3115</v>
      </c>
    </row>
    <row r="553" spans="1:2" customFormat="1" hidden="1">
      <c r="A553" t="s">
        <v>3116</v>
      </c>
      <c r="B553" t="s">
        <v>3117</v>
      </c>
    </row>
    <row r="554" spans="1:2" customFormat="1" hidden="1">
      <c r="A554" t="s">
        <v>3118</v>
      </c>
      <c r="B554" t="s">
        <v>3119</v>
      </c>
    </row>
    <row r="555" spans="1:2" customFormat="1" hidden="1">
      <c r="A555" t="s">
        <v>3120</v>
      </c>
      <c r="B555" t="s">
        <v>3121</v>
      </c>
    </row>
    <row r="556" spans="1:2" customFormat="1" hidden="1">
      <c r="A556" t="s">
        <v>3122</v>
      </c>
      <c r="B556" t="s">
        <v>3123</v>
      </c>
    </row>
    <row r="557" spans="1:2" customFormat="1" hidden="1">
      <c r="A557" t="s">
        <v>3124</v>
      </c>
      <c r="B557" t="s">
        <v>3125</v>
      </c>
    </row>
    <row r="558" spans="1:2" customFormat="1" hidden="1">
      <c r="A558" t="s">
        <v>3126</v>
      </c>
      <c r="B558" t="s">
        <v>3127</v>
      </c>
    </row>
    <row r="559" spans="1:2" customFormat="1" hidden="1">
      <c r="A559" t="s">
        <v>3128</v>
      </c>
      <c r="B559" t="s">
        <v>3129</v>
      </c>
    </row>
    <row r="560" spans="1:2">
      <c r="A560" s="171" t="s">
        <v>3130</v>
      </c>
      <c r="B560" s="171" t="s">
        <v>3131</v>
      </c>
    </row>
    <row r="561" spans="1:2" customFormat="1" hidden="1">
      <c r="A561" t="s">
        <v>3132</v>
      </c>
      <c r="B561" t="s">
        <v>3133</v>
      </c>
    </row>
    <row r="562" spans="1:2">
      <c r="A562" s="171" t="s">
        <v>3134</v>
      </c>
      <c r="B562" s="171" t="s">
        <v>3135</v>
      </c>
    </row>
    <row r="563" spans="1:2" customFormat="1" hidden="1">
      <c r="A563" t="s">
        <v>3136</v>
      </c>
      <c r="B563" t="s">
        <v>3137</v>
      </c>
    </row>
    <row r="564" spans="1:2" customFormat="1" hidden="1">
      <c r="A564" t="s">
        <v>3138</v>
      </c>
      <c r="B564" t="s">
        <v>3139</v>
      </c>
    </row>
    <row r="565" spans="1:2">
      <c r="A565" s="171" t="s">
        <v>3140</v>
      </c>
      <c r="B565" s="171" t="s">
        <v>3141</v>
      </c>
    </row>
    <row r="566" spans="1:2" customFormat="1" hidden="1">
      <c r="A566" t="s">
        <v>3142</v>
      </c>
      <c r="B566" t="s">
        <v>3143</v>
      </c>
    </row>
    <row r="567" spans="1:2" customFormat="1" hidden="1">
      <c r="A567" t="s">
        <v>3144</v>
      </c>
      <c r="B567" t="s">
        <v>3145</v>
      </c>
    </row>
    <row r="568" spans="1:2" customFormat="1" hidden="1">
      <c r="A568" t="s">
        <v>3146</v>
      </c>
      <c r="B568" t="s">
        <v>3147</v>
      </c>
    </row>
    <row r="569" spans="1:2" customFormat="1" hidden="1">
      <c r="A569" t="s">
        <v>3148</v>
      </c>
      <c r="B569" t="s">
        <v>3149</v>
      </c>
    </row>
    <row r="570" spans="1:2" customFormat="1" hidden="1">
      <c r="A570" t="s">
        <v>3150</v>
      </c>
      <c r="B570" t="s">
        <v>3151</v>
      </c>
    </row>
    <row r="571" spans="1:2" customFormat="1" hidden="1">
      <c r="A571" t="s">
        <v>3152</v>
      </c>
      <c r="B571" t="s">
        <v>3153</v>
      </c>
    </row>
    <row r="572" spans="1:2" customFormat="1" hidden="1">
      <c r="A572" t="s">
        <v>3154</v>
      </c>
      <c r="B572" t="s">
        <v>3155</v>
      </c>
    </row>
    <row r="573" spans="1:2" customFormat="1" hidden="1">
      <c r="A573" t="s">
        <v>3156</v>
      </c>
      <c r="B573" t="s">
        <v>3157</v>
      </c>
    </row>
    <row r="574" spans="1:2" customFormat="1" hidden="1">
      <c r="A574" t="s">
        <v>3158</v>
      </c>
      <c r="B574" t="s">
        <v>3159</v>
      </c>
    </row>
    <row r="575" spans="1:2" customFormat="1" hidden="1">
      <c r="A575" t="s">
        <v>3160</v>
      </c>
      <c r="B575" t="s">
        <v>3161</v>
      </c>
    </row>
    <row r="576" spans="1:2" customFormat="1" hidden="1">
      <c r="A576" t="s">
        <v>3162</v>
      </c>
      <c r="B576" t="s">
        <v>3163</v>
      </c>
    </row>
    <row r="577" spans="1:2" customFormat="1" hidden="1">
      <c r="A577" t="s">
        <v>3164</v>
      </c>
      <c r="B577" t="s">
        <v>3165</v>
      </c>
    </row>
    <row r="578" spans="1:2" customFormat="1" hidden="1">
      <c r="A578" t="s">
        <v>3166</v>
      </c>
      <c r="B578" t="s">
        <v>3167</v>
      </c>
    </row>
    <row r="579" spans="1:2" customFormat="1" hidden="1">
      <c r="A579" t="s">
        <v>3168</v>
      </c>
      <c r="B579" t="s">
        <v>3169</v>
      </c>
    </row>
    <row r="580" spans="1:2" customFormat="1" hidden="1">
      <c r="A580" t="s">
        <v>3170</v>
      </c>
      <c r="B580" t="s">
        <v>3171</v>
      </c>
    </row>
    <row r="581" spans="1:2">
      <c r="A581" s="171" t="s">
        <v>3172</v>
      </c>
      <c r="B581" s="171" t="s">
        <v>3173</v>
      </c>
    </row>
    <row r="582" spans="1:2">
      <c r="A582" s="171" t="s">
        <v>3174</v>
      </c>
      <c r="B582" s="171" t="s">
        <v>3175</v>
      </c>
    </row>
    <row r="583" spans="1:2">
      <c r="A583" s="171" t="s">
        <v>3176</v>
      </c>
      <c r="B583" s="171" t="s">
        <v>3177</v>
      </c>
    </row>
    <row r="584" spans="1:2" customFormat="1" hidden="1">
      <c r="A584" t="s">
        <v>3178</v>
      </c>
      <c r="B584" t="s">
        <v>3149</v>
      </c>
    </row>
    <row r="585" spans="1:2" customFormat="1" hidden="1">
      <c r="A585" t="s">
        <v>3179</v>
      </c>
      <c r="B585" t="s">
        <v>3151</v>
      </c>
    </row>
    <row r="586" spans="1:2" customFormat="1" hidden="1">
      <c r="A586" t="s">
        <v>3180</v>
      </c>
      <c r="B586" t="s">
        <v>3153</v>
      </c>
    </row>
    <row r="587" spans="1:2" customFormat="1" hidden="1">
      <c r="A587" t="s">
        <v>3181</v>
      </c>
      <c r="B587" t="s">
        <v>3182</v>
      </c>
    </row>
    <row r="588" spans="1:2" customFormat="1" hidden="1">
      <c r="A588" t="s">
        <v>3183</v>
      </c>
      <c r="B588" t="s">
        <v>3184</v>
      </c>
    </row>
    <row r="589" spans="1:2" customFormat="1" hidden="1">
      <c r="A589" t="s">
        <v>3185</v>
      </c>
      <c r="B589" t="s">
        <v>3186</v>
      </c>
    </row>
    <row r="590" spans="1:2" customFormat="1" hidden="1">
      <c r="A590" t="s">
        <v>3187</v>
      </c>
      <c r="B590" t="s">
        <v>3188</v>
      </c>
    </row>
    <row r="591" spans="1:2" customFormat="1" hidden="1">
      <c r="A591" t="s">
        <v>3189</v>
      </c>
      <c r="B591" t="s">
        <v>3190</v>
      </c>
    </row>
    <row r="592" spans="1:2" customFormat="1" hidden="1">
      <c r="A592" t="s">
        <v>3191</v>
      </c>
      <c r="B592" t="s">
        <v>3192</v>
      </c>
    </row>
    <row r="593" spans="1:2" customFormat="1" hidden="1">
      <c r="A593" t="s">
        <v>3193</v>
      </c>
      <c r="B593" t="s">
        <v>3194</v>
      </c>
    </row>
    <row r="594" spans="1:2" customFormat="1" hidden="1">
      <c r="A594" t="s">
        <v>3195</v>
      </c>
      <c r="B594" t="s">
        <v>3196</v>
      </c>
    </row>
    <row r="595" spans="1:2" customFormat="1" hidden="1">
      <c r="A595" t="s">
        <v>3197</v>
      </c>
      <c r="B595" t="s">
        <v>3198</v>
      </c>
    </row>
    <row r="596" spans="1:2" customFormat="1" hidden="1">
      <c r="A596" t="s">
        <v>3199</v>
      </c>
      <c r="B596" t="s">
        <v>3200</v>
      </c>
    </row>
    <row r="597" spans="1:2" customFormat="1" hidden="1">
      <c r="A597" t="s">
        <v>3201</v>
      </c>
      <c r="B597" t="s">
        <v>3202</v>
      </c>
    </row>
    <row r="598" spans="1:2" customFormat="1" hidden="1">
      <c r="A598" t="s">
        <v>3203</v>
      </c>
      <c r="B598" t="s">
        <v>3204</v>
      </c>
    </row>
    <row r="599" spans="1:2" customFormat="1" hidden="1">
      <c r="A599" t="s">
        <v>3205</v>
      </c>
      <c r="B599" t="s">
        <v>3206</v>
      </c>
    </row>
    <row r="600" spans="1:2" customFormat="1" hidden="1">
      <c r="A600" t="s">
        <v>3207</v>
      </c>
      <c r="B600" t="s">
        <v>3208</v>
      </c>
    </row>
    <row r="601" spans="1:2" customFormat="1" hidden="1">
      <c r="A601" t="s">
        <v>3209</v>
      </c>
      <c r="B601" t="s">
        <v>2093</v>
      </c>
    </row>
    <row r="602" spans="1:2">
      <c r="A602" s="171" t="s">
        <v>3210</v>
      </c>
      <c r="B602" s="171" t="s">
        <v>3211</v>
      </c>
    </row>
    <row r="603" spans="1:2">
      <c r="A603" s="171" t="s">
        <v>3212</v>
      </c>
      <c r="B603" s="171" t="s">
        <v>2093</v>
      </c>
    </row>
    <row r="604" spans="1:2">
      <c r="A604" s="171" t="s">
        <v>3213</v>
      </c>
      <c r="B604" s="171" t="s">
        <v>3214</v>
      </c>
    </row>
    <row r="605" spans="1:2">
      <c r="A605" s="171" t="s">
        <v>3215</v>
      </c>
      <c r="B605" s="171" t="s">
        <v>3216</v>
      </c>
    </row>
    <row r="606" spans="1:2" customFormat="1" hidden="1">
      <c r="A606" t="s">
        <v>3217</v>
      </c>
      <c r="B606" t="s">
        <v>3218</v>
      </c>
    </row>
    <row r="607" spans="1:2" customFormat="1" hidden="1">
      <c r="A607" t="s">
        <v>3219</v>
      </c>
      <c r="B607" t="s">
        <v>3220</v>
      </c>
    </row>
    <row r="608" spans="1:2" customFormat="1" hidden="1">
      <c r="A608" t="s">
        <v>3221</v>
      </c>
      <c r="B608" t="s">
        <v>3222</v>
      </c>
    </row>
    <row r="609" spans="1:2" customFormat="1" hidden="1">
      <c r="A609" t="s">
        <v>3223</v>
      </c>
      <c r="B609" t="s">
        <v>3224</v>
      </c>
    </row>
    <row r="610" spans="1:2" customFormat="1" hidden="1">
      <c r="A610" t="s">
        <v>3225</v>
      </c>
      <c r="B610" t="s">
        <v>3226</v>
      </c>
    </row>
    <row r="611" spans="1:2" customFormat="1" hidden="1">
      <c r="A611" t="s">
        <v>3227</v>
      </c>
      <c r="B611" t="s">
        <v>3228</v>
      </c>
    </row>
    <row r="612" spans="1:2" customFormat="1" hidden="1">
      <c r="A612" t="s">
        <v>3229</v>
      </c>
      <c r="B612" t="s">
        <v>3230</v>
      </c>
    </row>
    <row r="613" spans="1:2" customFormat="1" hidden="1">
      <c r="A613" t="s">
        <v>3231</v>
      </c>
      <c r="B613" t="s">
        <v>3232</v>
      </c>
    </row>
    <row r="614" spans="1:2" customFormat="1" hidden="1">
      <c r="A614" t="s">
        <v>3233</v>
      </c>
      <c r="B614" t="s">
        <v>3234</v>
      </c>
    </row>
    <row r="615" spans="1:2" customFormat="1" hidden="1">
      <c r="A615" t="s">
        <v>3235</v>
      </c>
      <c r="B615" t="s">
        <v>3236</v>
      </c>
    </row>
    <row r="616" spans="1:2" customFormat="1" hidden="1">
      <c r="A616" t="s">
        <v>3237</v>
      </c>
      <c r="B616" t="s">
        <v>3238</v>
      </c>
    </row>
    <row r="617" spans="1:2" customFormat="1" hidden="1">
      <c r="A617" t="s">
        <v>3239</v>
      </c>
      <c r="B617" t="s">
        <v>3240</v>
      </c>
    </row>
    <row r="618" spans="1:2" customFormat="1" hidden="1">
      <c r="A618" t="s">
        <v>3241</v>
      </c>
      <c r="B618" t="s">
        <v>3242</v>
      </c>
    </row>
    <row r="619" spans="1:2" customFormat="1" hidden="1">
      <c r="A619" t="s">
        <v>3243</v>
      </c>
      <c r="B619" t="s">
        <v>3244</v>
      </c>
    </row>
    <row r="620" spans="1:2">
      <c r="A620" s="171" t="s">
        <v>3245</v>
      </c>
      <c r="B620" s="171" t="s">
        <v>3246</v>
      </c>
    </row>
    <row r="621" spans="1:2">
      <c r="A621" s="171" t="s">
        <v>3247</v>
      </c>
      <c r="B621" s="171" t="s">
        <v>3248</v>
      </c>
    </row>
    <row r="622" spans="1:2">
      <c r="A622" s="171" t="s">
        <v>3249</v>
      </c>
      <c r="B622" s="171" t="s">
        <v>3250</v>
      </c>
    </row>
    <row r="623" spans="1:2" customFormat="1" hidden="1">
      <c r="A623" t="s">
        <v>3251</v>
      </c>
      <c r="B623" t="s">
        <v>3252</v>
      </c>
    </row>
    <row r="624" spans="1:2" customFormat="1" hidden="1">
      <c r="A624" t="s">
        <v>3253</v>
      </c>
      <c r="B624" t="s">
        <v>3254</v>
      </c>
    </row>
    <row r="625" spans="1:2" customFormat="1" hidden="1">
      <c r="A625" t="s">
        <v>3255</v>
      </c>
      <c r="B625" t="s">
        <v>3256</v>
      </c>
    </row>
    <row r="626" spans="1:2" customFormat="1" hidden="1">
      <c r="A626" t="s">
        <v>3257</v>
      </c>
      <c r="B626" t="s">
        <v>3258</v>
      </c>
    </row>
    <row r="627" spans="1:2" customFormat="1" hidden="1">
      <c r="A627" t="s">
        <v>3259</v>
      </c>
      <c r="B627" t="s">
        <v>3260</v>
      </c>
    </row>
    <row r="628" spans="1:2" customFormat="1" hidden="1">
      <c r="A628" t="s">
        <v>3261</v>
      </c>
      <c r="B628" t="s">
        <v>3262</v>
      </c>
    </row>
    <row r="629" spans="1:2" customFormat="1" hidden="1">
      <c r="A629" t="s">
        <v>3263</v>
      </c>
      <c r="B629" t="s">
        <v>3264</v>
      </c>
    </row>
    <row r="630" spans="1:2" customFormat="1" hidden="1">
      <c r="A630" t="s">
        <v>3265</v>
      </c>
      <c r="B630" t="s">
        <v>3266</v>
      </c>
    </row>
    <row r="631" spans="1:2" customFormat="1" hidden="1">
      <c r="A631" t="s">
        <v>3267</v>
      </c>
      <c r="B631" t="s">
        <v>3268</v>
      </c>
    </row>
    <row r="632" spans="1:2" customFormat="1" hidden="1">
      <c r="A632" t="s">
        <v>3269</v>
      </c>
      <c r="B632" t="s">
        <v>2093</v>
      </c>
    </row>
    <row r="633" spans="1:2" customFormat="1" hidden="1">
      <c r="A633" t="s">
        <v>3270</v>
      </c>
      <c r="B633" t="s">
        <v>2093</v>
      </c>
    </row>
    <row r="634" spans="1:2" customFormat="1" hidden="1">
      <c r="A634" t="s">
        <v>3271</v>
      </c>
      <c r="B634" t="s">
        <v>2093</v>
      </c>
    </row>
    <row r="635" spans="1:2" customFormat="1" hidden="1">
      <c r="A635" t="s">
        <v>3272</v>
      </c>
      <c r="B635" t="s">
        <v>3273</v>
      </c>
    </row>
    <row r="636" spans="1:2" customFormat="1" hidden="1">
      <c r="A636" t="s">
        <v>3274</v>
      </c>
      <c r="B636" t="s">
        <v>3275</v>
      </c>
    </row>
    <row r="637" spans="1:2" customFormat="1" hidden="1">
      <c r="A637" t="s">
        <v>3276</v>
      </c>
      <c r="B637" t="s">
        <v>3277</v>
      </c>
    </row>
    <row r="638" spans="1:2" customFormat="1" hidden="1">
      <c r="A638" t="s">
        <v>3278</v>
      </c>
      <c r="B638" t="s">
        <v>3279</v>
      </c>
    </row>
    <row r="639" spans="1:2" customFormat="1" hidden="1">
      <c r="A639" t="s">
        <v>3280</v>
      </c>
      <c r="B639" t="s">
        <v>3281</v>
      </c>
    </row>
    <row r="640" spans="1:2">
      <c r="A640" s="171" t="s">
        <v>3282</v>
      </c>
      <c r="B640" s="171" t="s">
        <v>3283</v>
      </c>
    </row>
    <row r="641" spans="1:2">
      <c r="A641" s="171" t="s">
        <v>3284</v>
      </c>
      <c r="B641" s="171" t="s">
        <v>3285</v>
      </c>
    </row>
    <row r="642" spans="1:2">
      <c r="A642" s="171" t="s">
        <v>3286</v>
      </c>
      <c r="B642" s="171" t="s">
        <v>3287</v>
      </c>
    </row>
    <row r="643" spans="1:2" customFormat="1" hidden="1">
      <c r="A643" t="s">
        <v>3288</v>
      </c>
      <c r="B643" t="s">
        <v>2278</v>
      </c>
    </row>
    <row r="644" spans="1:2" customFormat="1" hidden="1">
      <c r="A644" t="s">
        <v>3289</v>
      </c>
      <c r="B644" t="s">
        <v>2278</v>
      </c>
    </row>
    <row r="645" spans="1:2" customFormat="1" hidden="1">
      <c r="A645" t="s">
        <v>3290</v>
      </c>
      <c r="B645" t="s">
        <v>2278</v>
      </c>
    </row>
    <row r="646" spans="1:2" customFormat="1" hidden="1">
      <c r="A646" t="s">
        <v>3291</v>
      </c>
      <c r="B646" t="s">
        <v>3292</v>
      </c>
    </row>
    <row r="647" spans="1:2" customFormat="1" hidden="1">
      <c r="A647" t="s">
        <v>3293</v>
      </c>
      <c r="B647" t="s">
        <v>3294</v>
      </c>
    </row>
    <row r="648" spans="1:2" customFormat="1" hidden="1">
      <c r="A648" t="s">
        <v>3295</v>
      </c>
      <c r="B648" t="s">
        <v>3296</v>
      </c>
    </row>
    <row r="649" spans="1:2" customFormat="1" hidden="1">
      <c r="A649" t="s">
        <v>3297</v>
      </c>
      <c r="B649" t="s">
        <v>3298</v>
      </c>
    </row>
    <row r="650" spans="1:2" customFormat="1" hidden="1">
      <c r="A650" t="s">
        <v>3299</v>
      </c>
      <c r="B650" t="s">
        <v>3300</v>
      </c>
    </row>
    <row r="651" spans="1:2" customFormat="1" hidden="1">
      <c r="A651" t="s">
        <v>3301</v>
      </c>
      <c r="B651" t="s">
        <v>3302</v>
      </c>
    </row>
    <row r="652" spans="1:2" customFormat="1" hidden="1">
      <c r="A652" t="s">
        <v>3303</v>
      </c>
      <c r="B652" t="s">
        <v>3304</v>
      </c>
    </row>
    <row r="653" spans="1:2" customFormat="1" hidden="1">
      <c r="A653" t="s">
        <v>3305</v>
      </c>
      <c r="B653" t="s">
        <v>3306</v>
      </c>
    </row>
    <row r="654" spans="1:2" customFormat="1" hidden="1">
      <c r="A654" t="s">
        <v>3307</v>
      </c>
      <c r="B654" t="s">
        <v>3308</v>
      </c>
    </row>
    <row r="655" spans="1:2" customFormat="1" hidden="1">
      <c r="A655" t="s">
        <v>3309</v>
      </c>
      <c r="B655" t="s">
        <v>3310</v>
      </c>
    </row>
    <row r="656" spans="1:2" customFormat="1" hidden="1">
      <c r="A656" t="s">
        <v>3311</v>
      </c>
      <c r="B656" t="s">
        <v>3312</v>
      </c>
    </row>
    <row r="657" spans="1:2" customFormat="1" hidden="1">
      <c r="A657" t="s">
        <v>3313</v>
      </c>
      <c r="B657" t="s">
        <v>3314</v>
      </c>
    </row>
    <row r="658" spans="1:2" customFormat="1" hidden="1">
      <c r="A658" t="s">
        <v>3315</v>
      </c>
      <c r="B658" t="s">
        <v>3316</v>
      </c>
    </row>
    <row r="659" spans="1:2" customFormat="1" hidden="1">
      <c r="A659" t="s">
        <v>3317</v>
      </c>
      <c r="B659" t="s">
        <v>3318</v>
      </c>
    </row>
    <row r="660" spans="1:2">
      <c r="A660" s="171" t="s">
        <v>3319</v>
      </c>
      <c r="B660" s="171" t="s">
        <v>3320</v>
      </c>
    </row>
    <row r="661" spans="1:2">
      <c r="A661" s="171" t="s">
        <v>3321</v>
      </c>
      <c r="B661" s="171" t="s">
        <v>3322</v>
      </c>
    </row>
    <row r="662" spans="1:2">
      <c r="A662" s="171" t="s">
        <v>3323</v>
      </c>
      <c r="B662" s="171" t="s">
        <v>3324</v>
      </c>
    </row>
    <row r="663" spans="1:2" customFormat="1" hidden="1">
      <c r="A663" t="s">
        <v>3325</v>
      </c>
      <c r="B663" t="s">
        <v>2278</v>
      </c>
    </row>
    <row r="664" spans="1:2" customFormat="1" hidden="1">
      <c r="A664" t="s">
        <v>3326</v>
      </c>
      <c r="B664" t="s">
        <v>2278</v>
      </c>
    </row>
    <row r="665" spans="1:2" customFormat="1" hidden="1">
      <c r="A665" t="s">
        <v>3327</v>
      </c>
      <c r="B665" t="s">
        <v>3328</v>
      </c>
    </row>
    <row r="666" spans="1:2" customFormat="1" hidden="1">
      <c r="A666" t="s">
        <v>3329</v>
      </c>
      <c r="B666" t="s">
        <v>3330</v>
      </c>
    </row>
    <row r="667" spans="1:2" customFormat="1" hidden="1">
      <c r="A667" t="s">
        <v>3331</v>
      </c>
      <c r="B667" t="s">
        <v>3332</v>
      </c>
    </row>
    <row r="668" spans="1:2" customFormat="1" hidden="1">
      <c r="A668" t="s">
        <v>3333</v>
      </c>
      <c r="B668" t="s">
        <v>3334</v>
      </c>
    </row>
    <row r="669" spans="1:2" customFormat="1" hidden="1">
      <c r="A669" t="s">
        <v>3335</v>
      </c>
      <c r="B669" t="s">
        <v>3336</v>
      </c>
    </row>
    <row r="670" spans="1:2" customFormat="1" hidden="1">
      <c r="A670" t="s">
        <v>3337</v>
      </c>
      <c r="B670" t="s">
        <v>3338</v>
      </c>
    </row>
    <row r="671" spans="1:2" customFormat="1" hidden="1">
      <c r="A671" t="s">
        <v>3339</v>
      </c>
      <c r="B671" t="s">
        <v>3340</v>
      </c>
    </row>
    <row r="672" spans="1:2" customFormat="1" hidden="1">
      <c r="A672" t="s">
        <v>3341</v>
      </c>
      <c r="B672" t="s">
        <v>3342</v>
      </c>
    </row>
    <row r="673" spans="1:2" customFormat="1" hidden="1">
      <c r="A673" t="s">
        <v>3343</v>
      </c>
      <c r="B673" t="s">
        <v>3344</v>
      </c>
    </row>
    <row r="674" spans="1:2" customFormat="1" hidden="1">
      <c r="A674" t="s">
        <v>3345</v>
      </c>
      <c r="B674" t="s">
        <v>3346</v>
      </c>
    </row>
    <row r="675" spans="1:2" customFormat="1" hidden="1">
      <c r="A675" t="s">
        <v>3347</v>
      </c>
      <c r="B675" t="s">
        <v>3348</v>
      </c>
    </row>
    <row r="676" spans="1:2" customFormat="1" hidden="1">
      <c r="A676" t="s">
        <v>3349</v>
      </c>
      <c r="B676" t="s">
        <v>3350</v>
      </c>
    </row>
    <row r="677" spans="1:2" customFormat="1" hidden="1">
      <c r="A677" t="s">
        <v>3351</v>
      </c>
      <c r="B677" t="s">
        <v>3352</v>
      </c>
    </row>
    <row r="678" spans="1:2" customFormat="1" hidden="1">
      <c r="A678" t="s">
        <v>3353</v>
      </c>
      <c r="B678" t="s">
        <v>3354</v>
      </c>
    </row>
    <row r="679" spans="1:2" customFormat="1" hidden="1">
      <c r="A679" t="s">
        <v>3355</v>
      </c>
      <c r="B679" t="s">
        <v>3356</v>
      </c>
    </row>
    <row r="680" spans="1:2" customFormat="1" hidden="1">
      <c r="A680" t="s">
        <v>3357</v>
      </c>
      <c r="B680" t="s">
        <v>3358</v>
      </c>
    </row>
    <row r="681" spans="1:2" customFormat="1" hidden="1">
      <c r="A681" t="s">
        <v>3359</v>
      </c>
      <c r="B681" t="s">
        <v>3360</v>
      </c>
    </row>
    <row r="682" spans="1:2" customFormat="1" hidden="1">
      <c r="A682" t="s">
        <v>3361</v>
      </c>
      <c r="B682" t="s">
        <v>3362</v>
      </c>
    </row>
    <row r="683" spans="1:2" customFormat="1" hidden="1">
      <c r="A683" t="s">
        <v>3363</v>
      </c>
      <c r="B683" t="s">
        <v>3364</v>
      </c>
    </row>
    <row r="684" spans="1:2" customFormat="1" hidden="1">
      <c r="A684" t="s">
        <v>3365</v>
      </c>
      <c r="B684" t="s">
        <v>3366</v>
      </c>
    </row>
    <row r="685" spans="1:2" customFormat="1" hidden="1">
      <c r="A685" t="s">
        <v>3367</v>
      </c>
      <c r="B685" t="s">
        <v>3368</v>
      </c>
    </row>
    <row r="686" spans="1:2" customFormat="1" hidden="1">
      <c r="A686" t="s">
        <v>3369</v>
      </c>
      <c r="B686" t="s">
        <v>3370</v>
      </c>
    </row>
    <row r="687" spans="1:2" customFormat="1" hidden="1">
      <c r="A687" t="s">
        <v>3371</v>
      </c>
      <c r="B687" t="s">
        <v>3372</v>
      </c>
    </row>
    <row r="688" spans="1:2" customFormat="1" hidden="1">
      <c r="A688" t="s">
        <v>3373</v>
      </c>
      <c r="B688" t="s">
        <v>3374</v>
      </c>
    </row>
    <row r="689" spans="1:2" customFormat="1" hidden="1">
      <c r="A689" t="s">
        <v>3375</v>
      </c>
      <c r="B689" t="s">
        <v>3376</v>
      </c>
    </row>
    <row r="690" spans="1:2" customFormat="1" hidden="1">
      <c r="A690" t="s">
        <v>3377</v>
      </c>
      <c r="B690" t="s">
        <v>3378</v>
      </c>
    </row>
    <row r="691" spans="1:2" customFormat="1" hidden="1">
      <c r="A691" t="s">
        <v>3379</v>
      </c>
      <c r="B691" t="s">
        <v>3380</v>
      </c>
    </row>
    <row r="692" spans="1:2" customFormat="1" hidden="1">
      <c r="A692" t="s">
        <v>3381</v>
      </c>
      <c r="B692" t="s">
        <v>3382</v>
      </c>
    </row>
    <row r="693" spans="1:2">
      <c r="A693" s="171" t="s">
        <v>3383</v>
      </c>
      <c r="B693" s="171" t="s">
        <v>3384</v>
      </c>
    </row>
    <row r="694" spans="1:2">
      <c r="A694" s="171" t="s">
        <v>3385</v>
      </c>
      <c r="B694" s="171" t="s">
        <v>3386</v>
      </c>
    </row>
    <row r="695" spans="1:2">
      <c r="A695" s="171" t="s">
        <v>3387</v>
      </c>
      <c r="B695" s="171" t="s">
        <v>3388</v>
      </c>
    </row>
    <row r="696" spans="1:2">
      <c r="A696" s="171" t="s">
        <v>3389</v>
      </c>
      <c r="B696" s="171" t="s">
        <v>3390</v>
      </c>
    </row>
    <row r="697" spans="1:2">
      <c r="A697" s="171" t="s">
        <v>3391</v>
      </c>
      <c r="B697" s="171" t="s">
        <v>3392</v>
      </c>
    </row>
    <row r="698" spans="1:2">
      <c r="A698" s="171" t="s">
        <v>3393</v>
      </c>
      <c r="B698" s="171" t="s">
        <v>3394</v>
      </c>
    </row>
    <row r="699" spans="1:2" customFormat="1" hidden="1">
      <c r="A699" t="s">
        <v>3395</v>
      </c>
      <c r="B699" t="s">
        <v>3396</v>
      </c>
    </row>
    <row r="700" spans="1:2" customFormat="1" hidden="1">
      <c r="A700" t="s">
        <v>3397</v>
      </c>
      <c r="B700" t="s">
        <v>3398</v>
      </c>
    </row>
    <row r="701" spans="1:2" customFormat="1" hidden="1">
      <c r="A701" t="s">
        <v>3399</v>
      </c>
      <c r="B701" t="s">
        <v>3400</v>
      </c>
    </row>
    <row r="702" spans="1:2" customFormat="1" hidden="1">
      <c r="A702" t="s">
        <v>3401</v>
      </c>
      <c r="B702" t="s">
        <v>3402</v>
      </c>
    </row>
    <row r="703" spans="1:2" customFormat="1" hidden="1">
      <c r="A703" t="s">
        <v>3403</v>
      </c>
      <c r="B703" t="s">
        <v>3404</v>
      </c>
    </row>
    <row r="704" spans="1:2" customFormat="1" hidden="1">
      <c r="A704" t="s">
        <v>3405</v>
      </c>
      <c r="B704" t="s">
        <v>3406</v>
      </c>
    </row>
    <row r="705" spans="1:2" customFormat="1" hidden="1">
      <c r="A705" t="s">
        <v>3407</v>
      </c>
      <c r="B705" t="s">
        <v>3408</v>
      </c>
    </row>
    <row r="706" spans="1:2" customFormat="1" hidden="1">
      <c r="A706" t="s">
        <v>3409</v>
      </c>
      <c r="B706" t="s">
        <v>3410</v>
      </c>
    </row>
    <row r="707" spans="1:2" customFormat="1" hidden="1">
      <c r="A707" t="s">
        <v>3411</v>
      </c>
      <c r="B707" t="s">
        <v>3412</v>
      </c>
    </row>
    <row r="708" spans="1:2" customFormat="1" hidden="1">
      <c r="A708" t="s">
        <v>3413</v>
      </c>
      <c r="B708" t="s">
        <v>3414</v>
      </c>
    </row>
    <row r="709" spans="1:2" customFormat="1" hidden="1">
      <c r="A709" t="s">
        <v>3415</v>
      </c>
      <c r="B709" t="s">
        <v>3416</v>
      </c>
    </row>
    <row r="710" spans="1:2" customFormat="1" hidden="1">
      <c r="A710" t="s">
        <v>3417</v>
      </c>
      <c r="B710" t="s">
        <v>3418</v>
      </c>
    </row>
    <row r="711" spans="1:2" customFormat="1" hidden="1">
      <c r="A711" t="s">
        <v>3419</v>
      </c>
      <c r="B711" t="s">
        <v>3420</v>
      </c>
    </row>
    <row r="712" spans="1:2" customFormat="1" hidden="1">
      <c r="A712" t="s">
        <v>3421</v>
      </c>
      <c r="B712" t="s">
        <v>3422</v>
      </c>
    </row>
    <row r="713" spans="1:2" customFormat="1" hidden="1">
      <c r="A713" t="s">
        <v>3423</v>
      </c>
      <c r="B713" t="s">
        <v>3424</v>
      </c>
    </row>
    <row r="714" spans="1:2" customFormat="1" hidden="1">
      <c r="A714" t="s">
        <v>3425</v>
      </c>
      <c r="B714" t="s">
        <v>3426</v>
      </c>
    </row>
    <row r="715" spans="1:2" customFormat="1" hidden="1">
      <c r="A715" t="s">
        <v>3427</v>
      </c>
      <c r="B715" t="s">
        <v>3428</v>
      </c>
    </row>
    <row r="716" spans="1:2" customFormat="1" hidden="1">
      <c r="A716" t="s">
        <v>3429</v>
      </c>
      <c r="B716" t="s">
        <v>3430</v>
      </c>
    </row>
    <row r="717" spans="1:2" customFormat="1" hidden="1">
      <c r="A717" t="s">
        <v>3431</v>
      </c>
      <c r="B717" t="s">
        <v>3432</v>
      </c>
    </row>
    <row r="718" spans="1:2" customFormat="1" hidden="1">
      <c r="A718" t="s">
        <v>3433</v>
      </c>
      <c r="B718" t="s">
        <v>3434</v>
      </c>
    </row>
    <row r="719" spans="1:2" customFormat="1" hidden="1">
      <c r="A719" t="s">
        <v>3435</v>
      </c>
      <c r="B719" t="s">
        <v>3436</v>
      </c>
    </row>
    <row r="720" spans="1:2" customFormat="1" hidden="1">
      <c r="A720" t="s">
        <v>3437</v>
      </c>
      <c r="B720" t="s">
        <v>3438</v>
      </c>
    </row>
    <row r="721" spans="1:2" customFormat="1" hidden="1">
      <c r="A721" t="s">
        <v>3439</v>
      </c>
      <c r="B721" t="s">
        <v>3440</v>
      </c>
    </row>
    <row r="722" spans="1:2" customFormat="1" hidden="1">
      <c r="A722" t="s">
        <v>3441</v>
      </c>
      <c r="B722" t="s">
        <v>3442</v>
      </c>
    </row>
    <row r="723" spans="1:2" customFormat="1" hidden="1">
      <c r="A723" t="s">
        <v>3443</v>
      </c>
      <c r="B723" t="s">
        <v>3444</v>
      </c>
    </row>
    <row r="724" spans="1:2" customFormat="1" hidden="1">
      <c r="A724" t="s">
        <v>3445</v>
      </c>
      <c r="B724" t="s">
        <v>3446</v>
      </c>
    </row>
    <row r="725" spans="1:2" customFormat="1" hidden="1">
      <c r="A725" t="s">
        <v>3447</v>
      </c>
      <c r="B725" t="s">
        <v>3448</v>
      </c>
    </row>
    <row r="726" spans="1:2" customFormat="1" hidden="1">
      <c r="A726" t="s">
        <v>3449</v>
      </c>
      <c r="B726" t="s">
        <v>3450</v>
      </c>
    </row>
    <row r="727" spans="1:2" customFormat="1" hidden="1">
      <c r="A727" t="s">
        <v>3451</v>
      </c>
      <c r="B727" t="s">
        <v>2093</v>
      </c>
    </row>
    <row r="728" spans="1:2" customFormat="1" hidden="1">
      <c r="A728" t="s">
        <v>3452</v>
      </c>
      <c r="B728" t="s">
        <v>2093</v>
      </c>
    </row>
    <row r="729" spans="1:2">
      <c r="A729" s="171" t="s">
        <v>3453</v>
      </c>
      <c r="B729" s="171" t="s">
        <v>3454</v>
      </c>
    </row>
    <row r="730" spans="1:2">
      <c r="A730" s="171" t="s">
        <v>3455</v>
      </c>
      <c r="B730" s="171" t="s">
        <v>3456</v>
      </c>
    </row>
    <row r="731" spans="1:2">
      <c r="A731" s="171" t="s">
        <v>3457</v>
      </c>
      <c r="B731" s="171" t="s">
        <v>3458</v>
      </c>
    </row>
    <row r="732" spans="1:2">
      <c r="A732" s="171" t="s">
        <v>3459</v>
      </c>
      <c r="B732" s="171" t="s">
        <v>3460</v>
      </c>
    </row>
    <row r="733" spans="1:2">
      <c r="A733" s="171" t="s">
        <v>3461</v>
      </c>
      <c r="B733" s="171" t="s">
        <v>3462</v>
      </c>
    </row>
    <row r="734" spans="1:2">
      <c r="A734" s="171" t="s">
        <v>3463</v>
      </c>
      <c r="B734" s="171" t="s">
        <v>3464</v>
      </c>
    </row>
    <row r="735" spans="1:2" customFormat="1" hidden="1">
      <c r="A735" t="s">
        <v>3465</v>
      </c>
      <c r="B735" t="s">
        <v>3466</v>
      </c>
    </row>
    <row r="736" spans="1:2" customFormat="1" hidden="1">
      <c r="A736" t="s">
        <v>3467</v>
      </c>
      <c r="B736" t="s">
        <v>3468</v>
      </c>
    </row>
    <row r="737" spans="1:2" customFormat="1" hidden="1">
      <c r="A737" t="s">
        <v>3469</v>
      </c>
      <c r="B737" t="s">
        <v>3470</v>
      </c>
    </row>
    <row r="738" spans="1:2" customFormat="1" hidden="1">
      <c r="A738" t="s">
        <v>3471</v>
      </c>
      <c r="B738" t="s">
        <v>3472</v>
      </c>
    </row>
    <row r="739" spans="1:2" customFormat="1" hidden="1">
      <c r="A739" t="s">
        <v>3473</v>
      </c>
      <c r="B739" t="s">
        <v>3474</v>
      </c>
    </row>
    <row r="740" spans="1:2" customFormat="1" hidden="1">
      <c r="A740" t="s">
        <v>3475</v>
      </c>
      <c r="B740" t="s">
        <v>3476</v>
      </c>
    </row>
    <row r="741" spans="1:2" customFormat="1" hidden="1">
      <c r="A741" t="s">
        <v>3477</v>
      </c>
      <c r="B741" t="s">
        <v>3478</v>
      </c>
    </row>
    <row r="742" spans="1:2" customFormat="1" hidden="1">
      <c r="A742" t="s">
        <v>3479</v>
      </c>
      <c r="B742" t="s">
        <v>3480</v>
      </c>
    </row>
    <row r="743" spans="1:2" customFormat="1" hidden="1">
      <c r="A743" t="s">
        <v>3481</v>
      </c>
      <c r="B743" t="s">
        <v>3482</v>
      </c>
    </row>
    <row r="744" spans="1:2" customFormat="1" hidden="1">
      <c r="A744" t="s">
        <v>3483</v>
      </c>
      <c r="B744" t="s">
        <v>3484</v>
      </c>
    </row>
    <row r="745" spans="1:2" customFormat="1" hidden="1">
      <c r="A745" t="s">
        <v>3485</v>
      </c>
      <c r="B745" t="s">
        <v>3486</v>
      </c>
    </row>
    <row r="746" spans="1:2" customFormat="1" hidden="1">
      <c r="A746" t="s">
        <v>3487</v>
      </c>
      <c r="B746" t="s">
        <v>3488</v>
      </c>
    </row>
    <row r="747" spans="1:2" customFormat="1" hidden="1">
      <c r="A747" t="s">
        <v>3489</v>
      </c>
      <c r="B747" t="s">
        <v>3490</v>
      </c>
    </row>
    <row r="748" spans="1:2" customFormat="1" hidden="1">
      <c r="A748" t="s">
        <v>3491</v>
      </c>
      <c r="B748" t="s">
        <v>3492</v>
      </c>
    </row>
    <row r="749" spans="1:2" customFormat="1" hidden="1">
      <c r="A749" t="s">
        <v>3493</v>
      </c>
      <c r="B749" t="s">
        <v>3494</v>
      </c>
    </row>
    <row r="750" spans="1:2" customFormat="1" hidden="1">
      <c r="A750" t="s">
        <v>3495</v>
      </c>
      <c r="B750" t="s">
        <v>3496</v>
      </c>
    </row>
    <row r="751" spans="1:2" customFormat="1" hidden="1">
      <c r="A751" t="s">
        <v>3497</v>
      </c>
      <c r="B751" t="s">
        <v>3498</v>
      </c>
    </row>
    <row r="752" spans="1:2" customFormat="1" hidden="1">
      <c r="A752" t="s">
        <v>3499</v>
      </c>
      <c r="B752" t="s">
        <v>3500</v>
      </c>
    </row>
    <row r="753" spans="1:2" customFormat="1" hidden="1">
      <c r="A753" t="s">
        <v>3501</v>
      </c>
      <c r="B753" t="s">
        <v>3502</v>
      </c>
    </row>
    <row r="754" spans="1:2" customFormat="1" hidden="1">
      <c r="A754" t="s">
        <v>3503</v>
      </c>
      <c r="B754" t="s">
        <v>3504</v>
      </c>
    </row>
    <row r="755" spans="1:2" customFormat="1" hidden="1">
      <c r="A755" t="s">
        <v>3505</v>
      </c>
      <c r="B755" t="s">
        <v>3506</v>
      </c>
    </row>
    <row r="756" spans="1:2" customFormat="1" hidden="1">
      <c r="A756" t="s">
        <v>3507</v>
      </c>
      <c r="B756" t="s">
        <v>3508</v>
      </c>
    </row>
    <row r="757" spans="1:2" customFormat="1" hidden="1">
      <c r="A757" t="s">
        <v>3509</v>
      </c>
      <c r="B757" t="s">
        <v>3510</v>
      </c>
    </row>
    <row r="758" spans="1:2" customFormat="1" hidden="1">
      <c r="A758" t="s">
        <v>3511</v>
      </c>
      <c r="B758" t="s">
        <v>3512</v>
      </c>
    </row>
    <row r="759" spans="1:2" customFormat="1" hidden="1">
      <c r="A759" t="s">
        <v>3513</v>
      </c>
      <c r="B759" t="s">
        <v>3514</v>
      </c>
    </row>
    <row r="760" spans="1:2" customFormat="1" hidden="1">
      <c r="A760" t="s">
        <v>3515</v>
      </c>
      <c r="B760" t="s">
        <v>3516</v>
      </c>
    </row>
    <row r="761" spans="1:2" customFormat="1" hidden="1">
      <c r="A761" t="s">
        <v>3517</v>
      </c>
      <c r="B761" t="s">
        <v>3518</v>
      </c>
    </row>
    <row r="762" spans="1:2" customFormat="1" hidden="1">
      <c r="A762" t="s">
        <v>3519</v>
      </c>
      <c r="B762" t="s">
        <v>3520</v>
      </c>
    </row>
    <row r="763" spans="1:2">
      <c r="A763" s="171" t="s">
        <v>3521</v>
      </c>
      <c r="B763" s="171" t="s">
        <v>3522</v>
      </c>
    </row>
    <row r="764" spans="1:2">
      <c r="A764" s="171" t="s">
        <v>3523</v>
      </c>
      <c r="B764" s="171" t="s">
        <v>3524</v>
      </c>
    </row>
    <row r="765" spans="1:2">
      <c r="A765" s="171" t="s">
        <v>3525</v>
      </c>
      <c r="B765" s="171" t="s">
        <v>3526</v>
      </c>
    </row>
    <row r="766" spans="1:2">
      <c r="A766" s="171" t="s">
        <v>3527</v>
      </c>
      <c r="B766" s="171" t="s">
        <v>3528</v>
      </c>
    </row>
    <row r="767" spans="1:2">
      <c r="A767" s="171" t="s">
        <v>3529</v>
      </c>
      <c r="B767" s="171" t="s">
        <v>3530</v>
      </c>
    </row>
    <row r="768" spans="1:2">
      <c r="A768" s="171" t="s">
        <v>3531</v>
      </c>
      <c r="B768" s="171" t="s">
        <v>3532</v>
      </c>
    </row>
    <row r="769" spans="1:2" customFormat="1" hidden="1">
      <c r="A769" t="s">
        <v>3533</v>
      </c>
      <c r="B769" t="s">
        <v>3534</v>
      </c>
    </row>
    <row r="770" spans="1:2" customFormat="1" hidden="1">
      <c r="A770" t="s">
        <v>3535</v>
      </c>
      <c r="B770" t="s">
        <v>3536</v>
      </c>
    </row>
    <row r="771" spans="1:2" customFormat="1" hidden="1">
      <c r="A771" t="s">
        <v>3537</v>
      </c>
      <c r="B771" t="s">
        <v>3538</v>
      </c>
    </row>
    <row r="772" spans="1:2" customFormat="1" hidden="1">
      <c r="A772" t="s">
        <v>3539</v>
      </c>
      <c r="B772" t="s">
        <v>3540</v>
      </c>
    </row>
    <row r="773" spans="1:2" customFormat="1" hidden="1">
      <c r="A773" t="s">
        <v>3541</v>
      </c>
      <c r="B773" t="s">
        <v>3542</v>
      </c>
    </row>
    <row r="774" spans="1:2" customFormat="1" hidden="1">
      <c r="A774" t="s">
        <v>3543</v>
      </c>
      <c r="B774" t="s">
        <v>3544</v>
      </c>
    </row>
    <row r="775" spans="1:2" customFormat="1" hidden="1">
      <c r="A775" t="s">
        <v>3545</v>
      </c>
      <c r="B775" t="s">
        <v>3546</v>
      </c>
    </row>
    <row r="776" spans="1:2" customFormat="1" hidden="1">
      <c r="A776" t="s">
        <v>3547</v>
      </c>
      <c r="B776" t="s">
        <v>3548</v>
      </c>
    </row>
    <row r="777" spans="1:2" customFormat="1" hidden="1">
      <c r="A777" t="s">
        <v>3549</v>
      </c>
      <c r="B777" t="s">
        <v>3550</v>
      </c>
    </row>
    <row r="778" spans="1:2" customFormat="1" hidden="1">
      <c r="A778" t="s">
        <v>3551</v>
      </c>
      <c r="B778" t="s">
        <v>3552</v>
      </c>
    </row>
    <row r="779" spans="1:2" customFormat="1" hidden="1">
      <c r="A779" t="s">
        <v>3553</v>
      </c>
      <c r="B779" t="s">
        <v>3554</v>
      </c>
    </row>
    <row r="780" spans="1:2" customFormat="1" hidden="1">
      <c r="A780" t="s">
        <v>3555</v>
      </c>
      <c r="B780" t="s">
        <v>3556</v>
      </c>
    </row>
    <row r="781" spans="1:2" customFormat="1" hidden="1">
      <c r="A781" t="s">
        <v>3557</v>
      </c>
      <c r="B781" t="s">
        <v>3558</v>
      </c>
    </row>
    <row r="782" spans="1:2" customFormat="1" hidden="1">
      <c r="A782" t="s">
        <v>3559</v>
      </c>
      <c r="B782" t="s">
        <v>3560</v>
      </c>
    </row>
    <row r="783" spans="1:2" customFormat="1" hidden="1">
      <c r="A783" t="s">
        <v>3561</v>
      </c>
      <c r="B783" t="s">
        <v>3562</v>
      </c>
    </row>
    <row r="784" spans="1:2" customFormat="1" hidden="1">
      <c r="A784" t="s">
        <v>3563</v>
      </c>
      <c r="B784" t="s">
        <v>3564</v>
      </c>
    </row>
    <row r="785" spans="1:2" customFormat="1" hidden="1">
      <c r="A785" t="s">
        <v>3565</v>
      </c>
      <c r="B785" t="s">
        <v>3566</v>
      </c>
    </row>
    <row r="786" spans="1:2" customFormat="1" hidden="1">
      <c r="A786" t="s">
        <v>3567</v>
      </c>
      <c r="B786" t="s">
        <v>2093</v>
      </c>
    </row>
    <row r="787" spans="1:2" customFormat="1" hidden="1">
      <c r="A787" t="s">
        <v>3568</v>
      </c>
      <c r="B787" t="s">
        <v>2093</v>
      </c>
    </row>
    <row r="788" spans="1:2" customFormat="1" hidden="1">
      <c r="A788" t="s">
        <v>3569</v>
      </c>
      <c r="B788" t="s">
        <v>2093</v>
      </c>
    </row>
    <row r="789" spans="1:2" customFormat="1" hidden="1">
      <c r="A789" t="s">
        <v>3570</v>
      </c>
      <c r="B789" t="s">
        <v>2093</v>
      </c>
    </row>
    <row r="790" spans="1:2" customFormat="1" hidden="1">
      <c r="A790" t="s">
        <v>3571</v>
      </c>
      <c r="B790" t="s">
        <v>2093</v>
      </c>
    </row>
    <row r="791" spans="1:2" customFormat="1" hidden="1">
      <c r="A791" t="s">
        <v>3572</v>
      </c>
      <c r="B791" t="s">
        <v>2093</v>
      </c>
    </row>
    <row r="792" spans="1:2" customFormat="1" hidden="1">
      <c r="A792" t="s">
        <v>3573</v>
      </c>
      <c r="B792" t="s">
        <v>3574</v>
      </c>
    </row>
    <row r="793" spans="1:2" customFormat="1" hidden="1">
      <c r="A793" t="s">
        <v>3575</v>
      </c>
      <c r="B793" t="s">
        <v>3576</v>
      </c>
    </row>
    <row r="794" spans="1:2" customFormat="1" hidden="1">
      <c r="A794" t="s">
        <v>3577</v>
      </c>
      <c r="B794" t="s">
        <v>3578</v>
      </c>
    </row>
    <row r="795" spans="1:2" customFormat="1" hidden="1">
      <c r="A795" t="s">
        <v>3579</v>
      </c>
      <c r="B795" t="s">
        <v>3580</v>
      </c>
    </row>
    <row r="796" spans="1:2" customFormat="1" hidden="1">
      <c r="A796" t="s">
        <v>3581</v>
      </c>
      <c r="B796" t="s">
        <v>3582</v>
      </c>
    </row>
    <row r="797" spans="1:2" customFormat="1" hidden="1">
      <c r="A797" t="s">
        <v>3583</v>
      </c>
      <c r="B797" t="s">
        <v>3584</v>
      </c>
    </row>
    <row r="798" spans="1:2" customFormat="1" hidden="1">
      <c r="A798" t="s">
        <v>3585</v>
      </c>
      <c r="B798" t="s">
        <v>3586</v>
      </c>
    </row>
    <row r="799" spans="1:2" customFormat="1" hidden="1">
      <c r="A799" t="s">
        <v>3587</v>
      </c>
      <c r="B799" t="s">
        <v>3588</v>
      </c>
    </row>
    <row r="800" spans="1:2" customFormat="1" hidden="1">
      <c r="A800" t="s">
        <v>3589</v>
      </c>
      <c r="B800" t="s">
        <v>3590</v>
      </c>
    </row>
    <row r="801" spans="1:2" customFormat="1" hidden="1">
      <c r="A801" t="s">
        <v>3591</v>
      </c>
      <c r="B801" t="s">
        <v>3592</v>
      </c>
    </row>
    <row r="802" spans="1:2">
      <c r="A802" s="171" t="s">
        <v>3593</v>
      </c>
      <c r="B802" s="171" t="s">
        <v>3594</v>
      </c>
    </row>
    <row r="803" spans="1:2">
      <c r="A803" s="171" t="s">
        <v>3595</v>
      </c>
      <c r="B803" s="171" t="s">
        <v>3596</v>
      </c>
    </row>
    <row r="804" spans="1:2">
      <c r="A804" s="171" t="s">
        <v>3597</v>
      </c>
      <c r="B804" s="171" t="s">
        <v>3598</v>
      </c>
    </row>
    <row r="805" spans="1:2">
      <c r="A805" s="171" t="s">
        <v>3599</v>
      </c>
      <c r="B805" s="171" t="s">
        <v>3600</v>
      </c>
    </row>
    <row r="806" spans="1:2">
      <c r="A806" s="171" t="s">
        <v>3601</v>
      </c>
      <c r="B806" s="171" t="s">
        <v>3602</v>
      </c>
    </row>
    <row r="807" spans="1:2">
      <c r="A807" s="171" t="s">
        <v>3603</v>
      </c>
      <c r="B807" s="171" t="s">
        <v>3604</v>
      </c>
    </row>
    <row r="808" spans="1:2" customFormat="1" hidden="1">
      <c r="A808" t="s">
        <v>3605</v>
      </c>
      <c r="B808" t="s">
        <v>2278</v>
      </c>
    </row>
    <row r="809" spans="1:2" customFormat="1" hidden="1">
      <c r="A809" t="s">
        <v>3606</v>
      </c>
      <c r="B809" t="s">
        <v>2278</v>
      </c>
    </row>
    <row r="810" spans="1:2" customFormat="1" hidden="1">
      <c r="A810" t="s">
        <v>3607</v>
      </c>
      <c r="B810" t="s">
        <v>2278</v>
      </c>
    </row>
    <row r="811" spans="1:2" customFormat="1" hidden="1">
      <c r="A811" t="s">
        <v>3608</v>
      </c>
      <c r="B811" t="s">
        <v>2278</v>
      </c>
    </row>
    <row r="812" spans="1:2" customFormat="1" hidden="1">
      <c r="A812" t="s">
        <v>3609</v>
      </c>
      <c r="B812" t="s">
        <v>2278</v>
      </c>
    </row>
    <row r="813" spans="1:2" customFormat="1" hidden="1">
      <c r="A813" t="s">
        <v>3610</v>
      </c>
      <c r="B813" t="s">
        <v>2278</v>
      </c>
    </row>
    <row r="814" spans="1:2" customFormat="1" hidden="1">
      <c r="A814" t="s">
        <v>3611</v>
      </c>
      <c r="B814" t="s">
        <v>3612</v>
      </c>
    </row>
    <row r="815" spans="1:2" customFormat="1" hidden="1">
      <c r="A815" t="s">
        <v>3613</v>
      </c>
      <c r="B815" t="s">
        <v>3614</v>
      </c>
    </row>
    <row r="816" spans="1:2" customFormat="1" hidden="1">
      <c r="A816" t="s">
        <v>3615</v>
      </c>
      <c r="B816" t="s">
        <v>3616</v>
      </c>
    </row>
    <row r="817" spans="1:2" customFormat="1" hidden="1">
      <c r="A817" t="s">
        <v>3617</v>
      </c>
      <c r="B817" t="s">
        <v>3618</v>
      </c>
    </row>
    <row r="818" spans="1:2" customFormat="1" hidden="1">
      <c r="A818" t="s">
        <v>3619</v>
      </c>
      <c r="B818" t="s">
        <v>3620</v>
      </c>
    </row>
    <row r="819" spans="1:2" customFormat="1" hidden="1">
      <c r="A819" t="s">
        <v>3621</v>
      </c>
      <c r="B819" t="s">
        <v>3622</v>
      </c>
    </row>
    <row r="820" spans="1:2" customFormat="1" hidden="1">
      <c r="A820" t="s">
        <v>3623</v>
      </c>
      <c r="B820" t="s">
        <v>3624</v>
      </c>
    </row>
    <row r="821" spans="1:2" customFormat="1" hidden="1">
      <c r="A821" t="s">
        <v>3625</v>
      </c>
      <c r="B821" t="s">
        <v>3626</v>
      </c>
    </row>
    <row r="822" spans="1:2" customFormat="1" hidden="1">
      <c r="A822" t="s">
        <v>3627</v>
      </c>
      <c r="B822" t="s">
        <v>3628</v>
      </c>
    </row>
    <row r="823" spans="1:2" customFormat="1" hidden="1">
      <c r="A823" t="s">
        <v>3629</v>
      </c>
      <c r="B823" t="s">
        <v>3630</v>
      </c>
    </row>
    <row r="824" spans="1:2" customFormat="1" hidden="1">
      <c r="A824" t="s">
        <v>3631</v>
      </c>
      <c r="B824" t="s">
        <v>3632</v>
      </c>
    </row>
    <row r="825" spans="1:2" customFormat="1" hidden="1">
      <c r="A825" t="s">
        <v>3633</v>
      </c>
      <c r="B825" t="s">
        <v>3634</v>
      </c>
    </row>
    <row r="826" spans="1:2" customFormat="1" hidden="1">
      <c r="A826" t="s">
        <v>3635</v>
      </c>
      <c r="B826" t="s">
        <v>3636</v>
      </c>
    </row>
    <row r="827" spans="1:2" customFormat="1" hidden="1">
      <c r="A827" t="s">
        <v>3637</v>
      </c>
      <c r="B827" t="s">
        <v>3638</v>
      </c>
    </row>
    <row r="828" spans="1:2" customFormat="1" hidden="1">
      <c r="A828" t="s">
        <v>3639</v>
      </c>
      <c r="B828" t="s">
        <v>3640</v>
      </c>
    </row>
    <row r="829" spans="1:2" customFormat="1" hidden="1">
      <c r="A829" t="s">
        <v>3641</v>
      </c>
      <c r="B829" t="s">
        <v>3642</v>
      </c>
    </row>
    <row r="830" spans="1:2" customFormat="1" hidden="1">
      <c r="A830" t="s">
        <v>3643</v>
      </c>
      <c r="B830" t="s">
        <v>3644</v>
      </c>
    </row>
    <row r="831" spans="1:2" customFormat="1" hidden="1">
      <c r="A831" t="s">
        <v>3645</v>
      </c>
      <c r="B831" t="s">
        <v>3646</v>
      </c>
    </row>
    <row r="832" spans="1:2" customFormat="1" hidden="1">
      <c r="A832" t="s">
        <v>3647</v>
      </c>
      <c r="B832" t="s">
        <v>3648</v>
      </c>
    </row>
    <row r="833" spans="1:2" customFormat="1" hidden="1">
      <c r="A833" t="s">
        <v>3649</v>
      </c>
      <c r="B833" t="s">
        <v>3650</v>
      </c>
    </row>
    <row r="834" spans="1:2" customFormat="1" hidden="1">
      <c r="A834" t="s">
        <v>3651</v>
      </c>
      <c r="B834" t="s">
        <v>3652</v>
      </c>
    </row>
    <row r="835" spans="1:2" customFormat="1" hidden="1">
      <c r="A835" t="s">
        <v>3653</v>
      </c>
      <c r="B835" t="s">
        <v>3654</v>
      </c>
    </row>
    <row r="836" spans="1:2" customFormat="1" hidden="1">
      <c r="A836" t="s">
        <v>3655</v>
      </c>
      <c r="B836" t="s">
        <v>3656</v>
      </c>
    </row>
    <row r="837" spans="1:2" customFormat="1" hidden="1">
      <c r="A837" t="s">
        <v>3657</v>
      </c>
      <c r="B837" t="s">
        <v>3658</v>
      </c>
    </row>
    <row r="838" spans="1:2" customFormat="1" hidden="1">
      <c r="A838" t="s">
        <v>3659</v>
      </c>
      <c r="B838" t="s">
        <v>3660</v>
      </c>
    </row>
    <row r="839" spans="1:2" customFormat="1" hidden="1">
      <c r="A839" t="s">
        <v>3661</v>
      </c>
      <c r="B839" t="s">
        <v>3662</v>
      </c>
    </row>
    <row r="840" spans="1:2" customFormat="1" hidden="1">
      <c r="A840" t="s">
        <v>3663</v>
      </c>
      <c r="B840" t="s">
        <v>3664</v>
      </c>
    </row>
    <row r="841" spans="1:2" customFormat="1" hidden="1">
      <c r="A841" t="s">
        <v>3665</v>
      </c>
      <c r="B841" t="s">
        <v>3666</v>
      </c>
    </row>
    <row r="842" spans="1:2">
      <c r="A842" s="171" t="s">
        <v>3667</v>
      </c>
      <c r="B842" s="171" t="s">
        <v>3668</v>
      </c>
    </row>
    <row r="843" spans="1:2">
      <c r="A843" s="171" t="s">
        <v>3669</v>
      </c>
      <c r="B843" s="171" t="s">
        <v>3670</v>
      </c>
    </row>
    <row r="844" spans="1:2">
      <c r="A844" s="171" t="s">
        <v>3671</v>
      </c>
      <c r="B844" s="171" t="s">
        <v>3672</v>
      </c>
    </row>
    <row r="845" spans="1:2">
      <c r="A845" s="171" t="s">
        <v>3673</v>
      </c>
      <c r="B845" s="171" t="s">
        <v>3674</v>
      </c>
    </row>
    <row r="846" spans="1:2">
      <c r="A846" s="171" t="s">
        <v>3675</v>
      </c>
      <c r="B846" s="171" t="s">
        <v>3676</v>
      </c>
    </row>
    <row r="847" spans="1:2">
      <c r="A847" s="171" t="s">
        <v>3677</v>
      </c>
      <c r="B847" s="171" t="s">
        <v>3678</v>
      </c>
    </row>
    <row r="848" spans="1:2">
      <c r="A848" s="171" t="s">
        <v>3679</v>
      </c>
      <c r="B848" s="171" t="s">
        <v>3680</v>
      </c>
    </row>
    <row r="849" spans="1:2" customFormat="1" hidden="1">
      <c r="A849" t="s">
        <v>3681</v>
      </c>
      <c r="B849" t="s">
        <v>2278</v>
      </c>
    </row>
    <row r="850" spans="1:2" customFormat="1" hidden="1">
      <c r="A850" t="s">
        <v>3682</v>
      </c>
      <c r="B850" t="s">
        <v>2278</v>
      </c>
    </row>
    <row r="851" spans="1:2" customFormat="1" hidden="1">
      <c r="A851" t="s">
        <v>3683</v>
      </c>
      <c r="B851" t="s">
        <v>3684</v>
      </c>
    </row>
    <row r="852" spans="1:2" customFormat="1" hidden="1">
      <c r="A852" t="s">
        <v>3685</v>
      </c>
      <c r="B852" t="s">
        <v>3686</v>
      </c>
    </row>
    <row r="853" spans="1:2" customFormat="1" hidden="1">
      <c r="A853" t="s">
        <v>3687</v>
      </c>
      <c r="B853" t="s">
        <v>3688</v>
      </c>
    </row>
    <row r="854" spans="1:2" customFormat="1" hidden="1">
      <c r="A854" t="s">
        <v>3689</v>
      </c>
      <c r="B854" t="s">
        <v>3690</v>
      </c>
    </row>
    <row r="855" spans="1:2" customFormat="1" hidden="1">
      <c r="A855" t="s">
        <v>3691</v>
      </c>
      <c r="B855" t="s">
        <v>3692</v>
      </c>
    </row>
    <row r="856" spans="1:2" customFormat="1" hidden="1">
      <c r="A856" t="s">
        <v>3693</v>
      </c>
      <c r="B856" t="s">
        <v>3694</v>
      </c>
    </row>
    <row r="857" spans="1:2" customFormat="1" hidden="1">
      <c r="A857" t="s">
        <v>3695</v>
      </c>
      <c r="B857" t="s">
        <v>3696</v>
      </c>
    </row>
    <row r="858" spans="1:2" customFormat="1" hidden="1">
      <c r="A858" t="s">
        <v>3697</v>
      </c>
      <c r="B858" t="s">
        <v>3698</v>
      </c>
    </row>
    <row r="859" spans="1:2" customFormat="1" hidden="1">
      <c r="A859" t="s">
        <v>3699</v>
      </c>
      <c r="B859" t="s">
        <v>3700</v>
      </c>
    </row>
    <row r="860" spans="1:2" customFormat="1" hidden="1">
      <c r="A860" t="s">
        <v>3701</v>
      </c>
      <c r="B860" t="s">
        <v>3702</v>
      </c>
    </row>
    <row r="861" spans="1:2" customFormat="1" hidden="1">
      <c r="A861" t="s">
        <v>3703</v>
      </c>
      <c r="B861" t="s">
        <v>3704</v>
      </c>
    </row>
    <row r="862" spans="1:2" customFormat="1" hidden="1">
      <c r="A862" t="s">
        <v>3705</v>
      </c>
      <c r="B862" t="s">
        <v>3706</v>
      </c>
    </row>
    <row r="863" spans="1:2" customFormat="1" hidden="1">
      <c r="A863" t="s">
        <v>3707</v>
      </c>
      <c r="B863" t="s">
        <v>3708</v>
      </c>
    </row>
    <row r="864" spans="1:2" customFormat="1" hidden="1">
      <c r="A864" t="s">
        <v>3709</v>
      </c>
      <c r="B864" t="s">
        <v>3710</v>
      </c>
    </row>
    <row r="865" spans="1:2" customFormat="1" hidden="1">
      <c r="A865" t="s">
        <v>3711</v>
      </c>
      <c r="B865" t="s">
        <v>3712</v>
      </c>
    </row>
    <row r="866" spans="1:2" customFormat="1" hidden="1">
      <c r="A866" t="s">
        <v>3713</v>
      </c>
      <c r="B866" t="s">
        <v>3714</v>
      </c>
    </row>
    <row r="867" spans="1:2" customFormat="1" hidden="1">
      <c r="A867" t="s">
        <v>3715</v>
      </c>
      <c r="B867" t="s">
        <v>3716</v>
      </c>
    </row>
    <row r="868" spans="1:2" customFormat="1" hidden="1">
      <c r="A868" t="s">
        <v>3717</v>
      </c>
      <c r="B868" t="s">
        <v>3718</v>
      </c>
    </row>
    <row r="869" spans="1:2" customFormat="1" hidden="1">
      <c r="A869" t="s">
        <v>3719</v>
      </c>
      <c r="B869" t="s">
        <v>3720</v>
      </c>
    </row>
    <row r="870" spans="1:2" customFormat="1" hidden="1">
      <c r="A870" t="s">
        <v>3721</v>
      </c>
      <c r="B870" t="s">
        <v>3722</v>
      </c>
    </row>
    <row r="871" spans="1:2" customFormat="1" hidden="1">
      <c r="A871" t="s">
        <v>3723</v>
      </c>
      <c r="B871" t="s">
        <v>3724</v>
      </c>
    </row>
    <row r="872" spans="1:2" customFormat="1" hidden="1">
      <c r="A872" t="s">
        <v>3725</v>
      </c>
      <c r="B872" t="s">
        <v>3726</v>
      </c>
    </row>
    <row r="873" spans="1:2" customFormat="1" hidden="1">
      <c r="A873" t="s">
        <v>3727</v>
      </c>
      <c r="B873" t="s">
        <v>3728</v>
      </c>
    </row>
    <row r="874" spans="1:2" customFormat="1" hidden="1">
      <c r="A874" t="s">
        <v>3729</v>
      </c>
      <c r="B874" t="s">
        <v>3730</v>
      </c>
    </row>
    <row r="875" spans="1:2" customFormat="1" hidden="1">
      <c r="A875" t="s">
        <v>3731</v>
      </c>
      <c r="B875" t="s">
        <v>3732</v>
      </c>
    </row>
    <row r="876" spans="1:2" customFormat="1" hidden="1">
      <c r="A876" t="s">
        <v>3733</v>
      </c>
      <c r="B876" t="s">
        <v>3734</v>
      </c>
    </row>
    <row r="877" spans="1:2" customFormat="1" hidden="1">
      <c r="A877" t="s">
        <v>3735</v>
      </c>
      <c r="B877" t="s">
        <v>3736</v>
      </c>
    </row>
    <row r="878" spans="1:2" customFormat="1" hidden="1">
      <c r="A878" t="s">
        <v>3737</v>
      </c>
      <c r="B878" t="s">
        <v>3738</v>
      </c>
    </row>
    <row r="879" spans="1:2" customFormat="1" hidden="1">
      <c r="A879" t="s">
        <v>3739</v>
      </c>
      <c r="B879" t="s">
        <v>3740</v>
      </c>
    </row>
    <row r="880" spans="1:2" customFormat="1" hidden="1">
      <c r="A880" t="s">
        <v>3741</v>
      </c>
      <c r="B880" t="s">
        <v>3742</v>
      </c>
    </row>
    <row r="881" spans="1:2" customFormat="1" hidden="1">
      <c r="A881" t="s">
        <v>3743</v>
      </c>
      <c r="B881" t="s">
        <v>3744</v>
      </c>
    </row>
    <row r="882" spans="1:2" customFormat="1" hidden="1">
      <c r="A882" t="s">
        <v>3745</v>
      </c>
      <c r="B882" t="s">
        <v>3746</v>
      </c>
    </row>
    <row r="883" spans="1:2">
      <c r="A883" s="171" t="s">
        <v>3747</v>
      </c>
      <c r="B883" s="171" t="s">
        <v>3748</v>
      </c>
    </row>
    <row r="884" spans="1:2" customFormat="1" hidden="1">
      <c r="A884" t="s">
        <v>3749</v>
      </c>
      <c r="B884" t="s">
        <v>3750</v>
      </c>
    </row>
    <row r="885" spans="1:2">
      <c r="A885" s="171" t="s">
        <v>3751</v>
      </c>
      <c r="B885" s="171" t="s">
        <v>3752</v>
      </c>
    </row>
    <row r="886" spans="1:2" customFormat="1" hidden="1">
      <c r="A886" t="s">
        <v>3753</v>
      </c>
      <c r="B886" t="s">
        <v>3754</v>
      </c>
    </row>
    <row r="887" spans="1:2" customFormat="1" hidden="1">
      <c r="A887" t="s">
        <v>3755</v>
      </c>
      <c r="B887" t="s">
        <v>3756</v>
      </c>
    </row>
    <row r="888" spans="1:2">
      <c r="A888" s="171" t="s">
        <v>3757</v>
      </c>
      <c r="B888" s="171" t="s">
        <v>3758</v>
      </c>
    </row>
    <row r="889" spans="1:2" customFormat="1" hidden="1">
      <c r="A889" t="s">
        <v>3759</v>
      </c>
      <c r="B889" t="s">
        <v>3760</v>
      </c>
    </row>
    <row r="890" spans="1:2" customFormat="1" hidden="1">
      <c r="A890" t="s">
        <v>3761</v>
      </c>
      <c r="B890" t="s">
        <v>3762</v>
      </c>
    </row>
    <row r="891" spans="1:2" customFormat="1" hidden="1">
      <c r="A891" t="s">
        <v>3763</v>
      </c>
      <c r="B891" t="s">
        <v>3764</v>
      </c>
    </row>
    <row r="892" spans="1:2" customFormat="1" hidden="1">
      <c r="A892" t="s">
        <v>3765</v>
      </c>
      <c r="B892" t="s">
        <v>3766</v>
      </c>
    </row>
    <row r="893" spans="1:2" customFormat="1" hidden="1">
      <c r="A893" t="s">
        <v>3767</v>
      </c>
      <c r="B893" t="s">
        <v>3768</v>
      </c>
    </row>
    <row r="894" spans="1:2" customFormat="1" hidden="1">
      <c r="A894" t="s">
        <v>3769</v>
      </c>
      <c r="B894" t="s">
        <v>3770</v>
      </c>
    </row>
    <row r="895" spans="1:2" customFormat="1" hidden="1">
      <c r="A895" t="s">
        <v>3771</v>
      </c>
      <c r="B895" t="s">
        <v>3772</v>
      </c>
    </row>
    <row r="896" spans="1:2" customFormat="1" hidden="1">
      <c r="A896" t="s">
        <v>3773</v>
      </c>
      <c r="B896" t="s">
        <v>3774</v>
      </c>
    </row>
    <row r="897" spans="1:2" customFormat="1" hidden="1">
      <c r="A897" t="s">
        <v>3775</v>
      </c>
      <c r="B897" t="s">
        <v>3776</v>
      </c>
    </row>
    <row r="898" spans="1:2" customFormat="1" hidden="1">
      <c r="A898" t="s">
        <v>3777</v>
      </c>
      <c r="B898" t="s">
        <v>3778</v>
      </c>
    </row>
    <row r="899" spans="1:2" customFormat="1" hidden="1">
      <c r="A899" t="s">
        <v>3779</v>
      </c>
      <c r="B899" t="s">
        <v>3780</v>
      </c>
    </row>
    <row r="900" spans="1:2" customFormat="1" hidden="1">
      <c r="A900" t="s">
        <v>3781</v>
      </c>
      <c r="B900" t="s">
        <v>3782</v>
      </c>
    </row>
    <row r="901" spans="1:2" customFormat="1" hidden="1">
      <c r="A901" t="s">
        <v>3783</v>
      </c>
      <c r="B901" t="s">
        <v>3784</v>
      </c>
    </row>
    <row r="902" spans="1:2" customFormat="1" hidden="1">
      <c r="A902" t="s">
        <v>3785</v>
      </c>
      <c r="B902" t="s">
        <v>3786</v>
      </c>
    </row>
    <row r="903" spans="1:2" customFormat="1" hidden="1">
      <c r="A903" t="s">
        <v>3787</v>
      </c>
      <c r="B903" t="s">
        <v>3788</v>
      </c>
    </row>
    <row r="904" spans="1:2" customFormat="1" hidden="1">
      <c r="A904" t="s">
        <v>3789</v>
      </c>
      <c r="B904" t="s">
        <v>2278</v>
      </c>
    </row>
    <row r="905" spans="1:2">
      <c r="A905" s="171" t="s">
        <v>3790</v>
      </c>
      <c r="B905" s="171" t="s">
        <v>3791</v>
      </c>
    </row>
    <row r="906" spans="1:2">
      <c r="A906" s="171" t="s">
        <v>3792</v>
      </c>
      <c r="B906" s="171" t="s">
        <v>2278</v>
      </c>
    </row>
    <row r="907" spans="1:2">
      <c r="A907" s="171" t="s">
        <v>3793</v>
      </c>
      <c r="B907" s="171" t="s">
        <v>3794</v>
      </c>
    </row>
    <row r="908" spans="1:2">
      <c r="A908" s="171" t="s">
        <v>3795</v>
      </c>
      <c r="B908" s="171" t="s">
        <v>3796</v>
      </c>
    </row>
    <row r="909" spans="1:2" customFormat="1" hidden="1">
      <c r="A909" t="s">
        <v>3797</v>
      </c>
      <c r="B909" t="s">
        <v>3798</v>
      </c>
    </row>
    <row r="910" spans="1:2" customFormat="1" hidden="1">
      <c r="A910" t="s">
        <v>3799</v>
      </c>
      <c r="B910" t="s">
        <v>3800</v>
      </c>
    </row>
    <row r="911" spans="1:2" customFormat="1" hidden="1">
      <c r="A911" t="s">
        <v>3801</v>
      </c>
      <c r="B911" t="s">
        <v>3802</v>
      </c>
    </row>
    <row r="912" spans="1:2" customFormat="1" hidden="1">
      <c r="A912" t="s">
        <v>3803</v>
      </c>
      <c r="B912" t="s">
        <v>3804</v>
      </c>
    </row>
    <row r="913" spans="1:2" customFormat="1" hidden="1">
      <c r="A913" t="s">
        <v>3805</v>
      </c>
      <c r="B913" t="s">
        <v>3806</v>
      </c>
    </row>
    <row r="914" spans="1:2" customFormat="1" hidden="1">
      <c r="A914" t="s">
        <v>3807</v>
      </c>
      <c r="B914" t="s">
        <v>3808</v>
      </c>
    </row>
    <row r="915" spans="1:2" customFormat="1" hidden="1">
      <c r="A915" t="s">
        <v>3809</v>
      </c>
      <c r="B915" t="s">
        <v>3810</v>
      </c>
    </row>
    <row r="916" spans="1:2" customFormat="1" hidden="1">
      <c r="A916" t="s">
        <v>3811</v>
      </c>
      <c r="B916" t="s">
        <v>3812</v>
      </c>
    </row>
    <row r="917" spans="1:2" customFormat="1" hidden="1">
      <c r="A917" t="s">
        <v>3813</v>
      </c>
      <c r="B917" t="s">
        <v>3814</v>
      </c>
    </row>
    <row r="918" spans="1:2">
      <c r="A918" s="171" t="s">
        <v>3815</v>
      </c>
      <c r="B918" s="171" t="s">
        <v>3816</v>
      </c>
    </row>
    <row r="919" spans="1:2" customFormat="1" hidden="1">
      <c r="A919" t="s">
        <v>3817</v>
      </c>
      <c r="B919" t="s">
        <v>3818</v>
      </c>
    </row>
    <row r="920" spans="1:2">
      <c r="A920" s="171" t="s">
        <v>3819</v>
      </c>
      <c r="B920" s="171" t="s">
        <v>3820</v>
      </c>
    </row>
    <row r="921" spans="1:2" customFormat="1" hidden="1">
      <c r="A921" t="s">
        <v>3821</v>
      </c>
      <c r="B921" t="s">
        <v>3822</v>
      </c>
    </row>
    <row r="922" spans="1:2" customFormat="1" hidden="1">
      <c r="A922" t="s">
        <v>3823</v>
      </c>
      <c r="B922" t="s">
        <v>3824</v>
      </c>
    </row>
    <row r="923" spans="1:2">
      <c r="A923" s="171" t="s">
        <v>3825</v>
      </c>
      <c r="B923" s="171" t="s">
        <v>3826</v>
      </c>
    </row>
    <row r="924" spans="1:2" customFormat="1" hidden="1">
      <c r="A924" t="s">
        <v>3827</v>
      </c>
      <c r="B924" t="s">
        <v>3828</v>
      </c>
    </row>
    <row r="925" spans="1:2" customFormat="1" hidden="1">
      <c r="A925" t="s">
        <v>3829</v>
      </c>
      <c r="B925" t="s">
        <v>3830</v>
      </c>
    </row>
    <row r="926" spans="1:2" customFormat="1" hidden="1">
      <c r="A926" t="s">
        <v>3831</v>
      </c>
      <c r="B926" t="s">
        <v>3832</v>
      </c>
    </row>
    <row r="927" spans="1:2" customFormat="1" hidden="1">
      <c r="A927" t="s">
        <v>3833</v>
      </c>
      <c r="B927" t="s">
        <v>3834</v>
      </c>
    </row>
    <row r="928" spans="1:2" customFormat="1" hidden="1">
      <c r="A928" t="s">
        <v>3835</v>
      </c>
      <c r="B928" t="s">
        <v>3836</v>
      </c>
    </row>
    <row r="929" spans="1:2" customFormat="1" hidden="1">
      <c r="A929" t="s">
        <v>3837</v>
      </c>
      <c r="B929" t="s">
        <v>3838</v>
      </c>
    </row>
    <row r="930" spans="1:2" customFormat="1" hidden="1">
      <c r="A930" t="s">
        <v>3839</v>
      </c>
      <c r="B930" t="s">
        <v>3840</v>
      </c>
    </row>
    <row r="931" spans="1:2" customFormat="1" hidden="1">
      <c r="A931" t="s">
        <v>3841</v>
      </c>
      <c r="B931" t="s">
        <v>3842</v>
      </c>
    </row>
    <row r="932" spans="1:2" customFormat="1" hidden="1">
      <c r="A932" t="s">
        <v>3843</v>
      </c>
      <c r="B932" t="s">
        <v>3844</v>
      </c>
    </row>
    <row r="933" spans="1:2" customFormat="1" hidden="1">
      <c r="A933" t="s">
        <v>3845</v>
      </c>
      <c r="B933" t="s">
        <v>3846</v>
      </c>
    </row>
    <row r="934" spans="1:2">
      <c r="A934" s="171" t="s">
        <v>3847</v>
      </c>
      <c r="B934" s="171" t="s">
        <v>3848</v>
      </c>
    </row>
    <row r="935" spans="1:2" customFormat="1" hidden="1">
      <c r="A935" t="s">
        <v>3849</v>
      </c>
      <c r="B935" t="s">
        <v>3850</v>
      </c>
    </row>
    <row r="936" spans="1:2">
      <c r="A936" s="171" t="s">
        <v>3851</v>
      </c>
      <c r="B936" s="171" t="s">
        <v>3852</v>
      </c>
    </row>
    <row r="937" spans="1:2" customFormat="1" hidden="1">
      <c r="A937" t="s">
        <v>3853</v>
      </c>
      <c r="B937" t="s">
        <v>3854</v>
      </c>
    </row>
    <row r="938" spans="1:2" customFormat="1" hidden="1">
      <c r="A938" t="s">
        <v>3855</v>
      </c>
      <c r="B938" t="s">
        <v>3856</v>
      </c>
    </row>
    <row r="939" spans="1:2">
      <c r="A939" s="171" t="s">
        <v>3857</v>
      </c>
      <c r="B939" s="171" t="s">
        <v>3858</v>
      </c>
    </row>
    <row r="940" spans="1:2" customFormat="1" hidden="1">
      <c r="A940" t="s">
        <v>3859</v>
      </c>
      <c r="B940" t="s">
        <v>3860</v>
      </c>
    </row>
    <row r="941" spans="1:2" customFormat="1" hidden="1">
      <c r="A941" t="s">
        <v>3861</v>
      </c>
      <c r="B941" t="s">
        <v>3862</v>
      </c>
    </row>
    <row r="942" spans="1:2" customFormat="1" hidden="1">
      <c r="A942" t="s">
        <v>3863</v>
      </c>
      <c r="B942" t="s">
        <v>3864</v>
      </c>
    </row>
    <row r="943" spans="1:2" customFormat="1" hidden="1">
      <c r="A943" t="s">
        <v>3865</v>
      </c>
      <c r="B943" t="s">
        <v>3866</v>
      </c>
    </row>
    <row r="944" spans="1:2" customFormat="1" hidden="1">
      <c r="A944" t="s">
        <v>3867</v>
      </c>
      <c r="B944" t="s">
        <v>3868</v>
      </c>
    </row>
    <row r="945" spans="1:2" customFormat="1" hidden="1">
      <c r="A945" t="s">
        <v>3869</v>
      </c>
      <c r="B945" t="s">
        <v>3870</v>
      </c>
    </row>
    <row r="946" spans="1:2" customFormat="1" hidden="1">
      <c r="A946" t="s">
        <v>3871</v>
      </c>
      <c r="B946" t="s">
        <v>3872</v>
      </c>
    </row>
    <row r="947" spans="1:2" customFormat="1" hidden="1">
      <c r="A947" t="s">
        <v>3873</v>
      </c>
      <c r="B947" t="s">
        <v>3874</v>
      </c>
    </row>
    <row r="948" spans="1:2" customFormat="1" hidden="1">
      <c r="A948" t="s">
        <v>3875</v>
      </c>
      <c r="B948" t="s">
        <v>3876</v>
      </c>
    </row>
    <row r="949" spans="1:2" customFormat="1" hidden="1">
      <c r="A949" t="s">
        <v>3877</v>
      </c>
      <c r="B949" t="s">
        <v>3878</v>
      </c>
    </row>
    <row r="950" spans="1:2" customFormat="1" hidden="1">
      <c r="A950" t="s">
        <v>3879</v>
      </c>
      <c r="B950" t="s">
        <v>3880</v>
      </c>
    </row>
    <row r="951" spans="1:2" customFormat="1" hidden="1">
      <c r="A951" t="s">
        <v>3881</v>
      </c>
      <c r="B951" t="s">
        <v>3882</v>
      </c>
    </row>
    <row r="952" spans="1:2" customFormat="1" hidden="1">
      <c r="A952" t="s">
        <v>3883</v>
      </c>
      <c r="B952" t="s">
        <v>3884</v>
      </c>
    </row>
    <row r="953" spans="1:2" customFormat="1" hidden="1">
      <c r="A953" t="s">
        <v>3885</v>
      </c>
      <c r="B953" t="s">
        <v>3886</v>
      </c>
    </row>
    <row r="954" spans="1:2" customFormat="1" hidden="1">
      <c r="A954" t="s">
        <v>3887</v>
      </c>
      <c r="B954" t="s">
        <v>3888</v>
      </c>
    </row>
    <row r="955" spans="1:2">
      <c r="A955" s="171" t="s">
        <v>3889</v>
      </c>
      <c r="B955" s="171" t="s">
        <v>3890</v>
      </c>
    </row>
    <row r="956" spans="1:2">
      <c r="A956" s="171" t="s">
        <v>3891</v>
      </c>
      <c r="B956" s="171" t="s">
        <v>3892</v>
      </c>
    </row>
    <row r="957" spans="1:2">
      <c r="A957" s="171" t="s">
        <v>3893</v>
      </c>
      <c r="B957" s="171" t="s">
        <v>3894</v>
      </c>
    </row>
    <row r="958" spans="1:2" customFormat="1" hidden="1">
      <c r="A958" t="s">
        <v>3895</v>
      </c>
      <c r="B958" t="s">
        <v>3896</v>
      </c>
    </row>
    <row r="959" spans="1:2" customFormat="1" hidden="1">
      <c r="A959" t="s">
        <v>3897</v>
      </c>
      <c r="B959" t="s">
        <v>3898</v>
      </c>
    </row>
    <row r="960" spans="1:2" customFormat="1" hidden="1">
      <c r="A960" t="s">
        <v>3899</v>
      </c>
      <c r="B960" t="s">
        <v>3900</v>
      </c>
    </row>
    <row r="961" spans="1:2" customFormat="1" hidden="1">
      <c r="A961" t="s">
        <v>3901</v>
      </c>
      <c r="B961" t="s">
        <v>3902</v>
      </c>
    </row>
    <row r="962" spans="1:2" customFormat="1" hidden="1">
      <c r="A962" t="s">
        <v>3903</v>
      </c>
      <c r="B962" t="s">
        <v>3904</v>
      </c>
    </row>
    <row r="963" spans="1:2" customFormat="1" hidden="1">
      <c r="A963" t="s">
        <v>3905</v>
      </c>
      <c r="B963" t="s">
        <v>3906</v>
      </c>
    </row>
    <row r="964" spans="1:2" customFormat="1" hidden="1">
      <c r="A964" t="s">
        <v>3907</v>
      </c>
      <c r="B964" t="s">
        <v>3908</v>
      </c>
    </row>
    <row r="965" spans="1:2" customFormat="1" hidden="1">
      <c r="A965" t="s">
        <v>3909</v>
      </c>
      <c r="B965" t="s">
        <v>3910</v>
      </c>
    </row>
    <row r="966" spans="1:2" customFormat="1" hidden="1">
      <c r="A966" t="s">
        <v>3911</v>
      </c>
      <c r="B966" t="s">
        <v>3912</v>
      </c>
    </row>
    <row r="967" spans="1:2" customFormat="1" hidden="1">
      <c r="A967" t="s">
        <v>3913</v>
      </c>
      <c r="B967" t="s">
        <v>3914</v>
      </c>
    </row>
    <row r="968" spans="1:2" customFormat="1" hidden="1">
      <c r="A968" t="s">
        <v>3915</v>
      </c>
      <c r="B968" t="s">
        <v>3916</v>
      </c>
    </row>
    <row r="969" spans="1:2" customFormat="1" hidden="1">
      <c r="A969" t="s">
        <v>3917</v>
      </c>
      <c r="B969" t="s">
        <v>3918</v>
      </c>
    </row>
    <row r="970" spans="1:2" customFormat="1" hidden="1">
      <c r="A970" t="s">
        <v>3919</v>
      </c>
      <c r="B970" t="s">
        <v>3920</v>
      </c>
    </row>
    <row r="971" spans="1:2" customFormat="1" hidden="1">
      <c r="A971" t="s">
        <v>3921</v>
      </c>
      <c r="B971" t="s">
        <v>3922</v>
      </c>
    </row>
    <row r="972" spans="1:2" customFormat="1" hidden="1">
      <c r="A972" t="s">
        <v>3923</v>
      </c>
      <c r="B972" t="s">
        <v>2093</v>
      </c>
    </row>
    <row r="973" spans="1:2">
      <c r="A973" s="171" t="s">
        <v>3924</v>
      </c>
      <c r="B973" s="171" t="s">
        <v>3925</v>
      </c>
    </row>
    <row r="974" spans="1:2">
      <c r="A974" s="171" t="s">
        <v>3926</v>
      </c>
      <c r="B974" s="171" t="s">
        <v>2093</v>
      </c>
    </row>
    <row r="975" spans="1:2">
      <c r="A975" s="171" t="s">
        <v>3927</v>
      </c>
      <c r="B975" s="171" t="s">
        <v>3928</v>
      </c>
    </row>
    <row r="976" spans="1:2">
      <c r="A976" s="171" t="s">
        <v>3929</v>
      </c>
      <c r="B976" s="171" t="s">
        <v>3930</v>
      </c>
    </row>
    <row r="977" spans="1:2" customFormat="1" hidden="1">
      <c r="A977" t="s">
        <v>3931</v>
      </c>
      <c r="B977" t="s">
        <v>3932</v>
      </c>
    </row>
    <row r="978" spans="1:2" customFormat="1" hidden="1">
      <c r="A978" t="s">
        <v>3933</v>
      </c>
      <c r="B978" t="s">
        <v>3934</v>
      </c>
    </row>
    <row r="979" spans="1:2" customFormat="1" hidden="1">
      <c r="A979" t="s">
        <v>3935</v>
      </c>
      <c r="B979" t="s">
        <v>3936</v>
      </c>
    </row>
    <row r="980" spans="1:2" customFormat="1" hidden="1">
      <c r="A980" t="s">
        <v>3937</v>
      </c>
      <c r="B980" t="s">
        <v>3938</v>
      </c>
    </row>
    <row r="981" spans="1:2" customFormat="1" hidden="1">
      <c r="A981" t="s">
        <v>3939</v>
      </c>
      <c r="B981" t="s">
        <v>3940</v>
      </c>
    </row>
    <row r="982" spans="1:2" customFormat="1" hidden="1">
      <c r="A982" t="s">
        <v>3941</v>
      </c>
      <c r="B982" t="s">
        <v>3942</v>
      </c>
    </row>
    <row r="983" spans="1:2" customFormat="1" hidden="1">
      <c r="A983" t="s">
        <v>3943</v>
      </c>
      <c r="B983" t="s">
        <v>3944</v>
      </c>
    </row>
    <row r="984" spans="1:2" customFormat="1" hidden="1">
      <c r="A984" t="s">
        <v>3945</v>
      </c>
      <c r="B984" t="s">
        <v>3946</v>
      </c>
    </row>
    <row r="985" spans="1:2" customFormat="1" hidden="1">
      <c r="A985" t="s">
        <v>3947</v>
      </c>
      <c r="B985" t="s">
        <v>3948</v>
      </c>
    </row>
    <row r="986" spans="1:2" customFormat="1" hidden="1">
      <c r="A986" t="s">
        <v>3949</v>
      </c>
      <c r="B986" t="s">
        <v>3950</v>
      </c>
    </row>
    <row r="987" spans="1:2" customFormat="1" hidden="1">
      <c r="A987" t="s">
        <v>3951</v>
      </c>
      <c r="B987" t="s">
        <v>3952</v>
      </c>
    </row>
    <row r="988" spans="1:2" customFormat="1" hidden="1">
      <c r="A988" t="s">
        <v>3953</v>
      </c>
      <c r="B988" t="s">
        <v>3954</v>
      </c>
    </row>
    <row r="989" spans="1:2" customFormat="1" hidden="1">
      <c r="A989" t="s">
        <v>3955</v>
      </c>
      <c r="B989" t="s">
        <v>3956</v>
      </c>
    </row>
    <row r="990" spans="1:2" customFormat="1" hidden="1">
      <c r="A990" t="s">
        <v>3957</v>
      </c>
      <c r="B990" t="s">
        <v>3958</v>
      </c>
    </row>
    <row r="991" spans="1:2">
      <c r="A991" s="171" t="s">
        <v>3959</v>
      </c>
      <c r="B991" s="171" t="s">
        <v>3960</v>
      </c>
    </row>
    <row r="992" spans="1:2">
      <c r="A992" s="171" t="s">
        <v>3961</v>
      </c>
      <c r="B992" s="171" t="s">
        <v>3962</v>
      </c>
    </row>
    <row r="993" spans="1:2">
      <c r="A993" s="171" t="s">
        <v>3963</v>
      </c>
      <c r="B993" s="171" t="s">
        <v>3964</v>
      </c>
    </row>
    <row r="994" spans="1:2" customFormat="1" hidden="1">
      <c r="A994" t="s">
        <v>3965</v>
      </c>
      <c r="B994" t="s">
        <v>3966</v>
      </c>
    </row>
    <row r="995" spans="1:2" customFormat="1" hidden="1">
      <c r="A995" t="s">
        <v>3967</v>
      </c>
      <c r="B995" t="s">
        <v>3968</v>
      </c>
    </row>
    <row r="996" spans="1:2" customFormat="1" hidden="1">
      <c r="A996" t="s">
        <v>3969</v>
      </c>
      <c r="B996" t="s">
        <v>3970</v>
      </c>
    </row>
    <row r="997" spans="1:2" customFormat="1" hidden="1">
      <c r="A997" t="s">
        <v>3971</v>
      </c>
      <c r="B997" t="s">
        <v>3972</v>
      </c>
    </row>
    <row r="998" spans="1:2" customFormat="1" hidden="1">
      <c r="A998" t="s">
        <v>3973</v>
      </c>
      <c r="B998" t="s">
        <v>3974</v>
      </c>
    </row>
    <row r="999" spans="1:2" customFormat="1" hidden="1">
      <c r="A999" t="s">
        <v>3975</v>
      </c>
      <c r="B999" t="s">
        <v>3976</v>
      </c>
    </row>
    <row r="1000" spans="1:2" customFormat="1" hidden="1">
      <c r="A1000" t="s">
        <v>3977</v>
      </c>
      <c r="B1000" t="s">
        <v>3978</v>
      </c>
    </row>
    <row r="1001" spans="1:2" customFormat="1" hidden="1">
      <c r="A1001" t="s">
        <v>3979</v>
      </c>
      <c r="B1001" t="s">
        <v>3980</v>
      </c>
    </row>
    <row r="1002" spans="1:2" customFormat="1" hidden="1">
      <c r="A1002" t="s">
        <v>3981</v>
      </c>
      <c r="B1002" t="s">
        <v>3982</v>
      </c>
    </row>
    <row r="1003" spans="1:2" customFormat="1" hidden="1">
      <c r="A1003" t="s">
        <v>3983</v>
      </c>
      <c r="B1003" t="s">
        <v>2093</v>
      </c>
    </row>
    <row r="1004" spans="1:2" customFormat="1" hidden="1">
      <c r="A1004" t="s">
        <v>3984</v>
      </c>
      <c r="B1004" t="s">
        <v>2093</v>
      </c>
    </row>
    <row r="1005" spans="1:2" customFormat="1" hidden="1">
      <c r="A1005" t="s">
        <v>3985</v>
      </c>
      <c r="B1005" t="s">
        <v>2093</v>
      </c>
    </row>
    <row r="1006" spans="1:2" customFormat="1" hidden="1">
      <c r="A1006" t="s">
        <v>3986</v>
      </c>
      <c r="B1006" t="s">
        <v>3987</v>
      </c>
    </row>
    <row r="1007" spans="1:2" customFormat="1" hidden="1">
      <c r="A1007" t="s">
        <v>3988</v>
      </c>
      <c r="B1007" t="s">
        <v>3989</v>
      </c>
    </row>
    <row r="1008" spans="1:2" customFormat="1" hidden="1">
      <c r="A1008" t="s">
        <v>3990</v>
      </c>
      <c r="B1008" t="s">
        <v>3991</v>
      </c>
    </row>
    <row r="1009" spans="1:2" customFormat="1" hidden="1">
      <c r="A1009" t="s">
        <v>3992</v>
      </c>
      <c r="B1009" t="s">
        <v>3993</v>
      </c>
    </row>
    <row r="1010" spans="1:2" customFormat="1" hidden="1">
      <c r="A1010" t="s">
        <v>3994</v>
      </c>
      <c r="B1010" t="s">
        <v>3995</v>
      </c>
    </row>
    <row r="1011" spans="1:2">
      <c r="A1011" s="171" t="s">
        <v>3996</v>
      </c>
      <c r="B1011" s="171" t="s">
        <v>3997</v>
      </c>
    </row>
    <row r="1012" spans="1:2">
      <c r="A1012" s="171" t="s">
        <v>3998</v>
      </c>
      <c r="B1012" s="171" t="s">
        <v>3999</v>
      </c>
    </row>
    <row r="1013" spans="1:2">
      <c r="A1013" s="171" t="s">
        <v>4000</v>
      </c>
      <c r="B1013" s="171" t="s">
        <v>4001</v>
      </c>
    </row>
    <row r="1014" spans="1:2" customFormat="1" hidden="1">
      <c r="A1014" t="s">
        <v>4002</v>
      </c>
      <c r="B1014" t="s">
        <v>2278</v>
      </c>
    </row>
    <row r="1015" spans="1:2" customFormat="1" hidden="1">
      <c r="A1015" t="s">
        <v>4003</v>
      </c>
      <c r="B1015" t="s">
        <v>2278</v>
      </c>
    </row>
    <row r="1016" spans="1:2" customFormat="1" hidden="1">
      <c r="A1016" t="s">
        <v>4004</v>
      </c>
      <c r="B1016" t="s">
        <v>2278</v>
      </c>
    </row>
    <row r="1017" spans="1:2" customFormat="1" hidden="1">
      <c r="A1017" t="s">
        <v>4005</v>
      </c>
      <c r="B1017" t="s">
        <v>4006</v>
      </c>
    </row>
    <row r="1018" spans="1:2" customFormat="1" hidden="1">
      <c r="A1018" t="s">
        <v>4007</v>
      </c>
      <c r="B1018" t="s">
        <v>4008</v>
      </c>
    </row>
    <row r="1019" spans="1:2" customFormat="1" hidden="1">
      <c r="A1019" t="s">
        <v>4009</v>
      </c>
      <c r="B1019" t="s">
        <v>4010</v>
      </c>
    </row>
    <row r="1020" spans="1:2" customFormat="1" hidden="1">
      <c r="A1020" t="s">
        <v>4011</v>
      </c>
      <c r="B1020" t="s">
        <v>4012</v>
      </c>
    </row>
    <row r="1021" spans="1:2" customFormat="1" hidden="1">
      <c r="A1021" t="s">
        <v>4013</v>
      </c>
      <c r="B1021" t="s">
        <v>4014</v>
      </c>
    </row>
    <row r="1022" spans="1:2" customFormat="1" hidden="1">
      <c r="A1022" t="s">
        <v>4015</v>
      </c>
      <c r="B1022" t="s">
        <v>4016</v>
      </c>
    </row>
    <row r="1023" spans="1:2" customFormat="1" hidden="1">
      <c r="A1023" t="s">
        <v>4017</v>
      </c>
      <c r="B1023" t="s">
        <v>4018</v>
      </c>
    </row>
    <row r="1024" spans="1:2" customFormat="1" hidden="1">
      <c r="A1024" t="s">
        <v>4019</v>
      </c>
      <c r="B1024" t="s">
        <v>4020</v>
      </c>
    </row>
    <row r="1025" spans="1:2" customFormat="1" hidden="1">
      <c r="A1025" t="s">
        <v>4021</v>
      </c>
      <c r="B1025" t="s">
        <v>4022</v>
      </c>
    </row>
    <row r="1026" spans="1:2" customFormat="1" hidden="1">
      <c r="A1026" t="s">
        <v>4023</v>
      </c>
      <c r="B1026" t="s">
        <v>4024</v>
      </c>
    </row>
    <row r="1027" spans="1:2" customFormat="1" hidden="1">
      <c r="A1027" t="s">
        <v>4025</v>
      </c>
      <c r="B1027" t="s">
        <v>4026</v>
      </c>
    </row>
    <row r="1028" spans="1:2" customFormat="1" hidden="1">
      <c r="A1028" t="s">
        <v>4027</v>
      </c>
      <c r="B1028" t="s">
        <v>4028</v>
      </c>
    </row>
    <row r="1029" spans="1:2" customFormat="1" hidden="1">
      <c r="A1029" t="s">
        <v>4029</v>
      </c>
      <c r="B1029" t="s">
        <v>4030</v>
      </c>
    </row>
    <row r="1030" spans="1:2">
      <c r="A1030" s="171" t="s">
        <v>4031</v>
      </c>
      <c r="B1030" s="171" t="s">
        <v>4032</v>
      </c>
    </row>
    <row r="1031" spans="1:2">
      <c r="A1031" s="171" t="s">
        <v>4033</v>
      </c>
      <c r="B1031" s="171" t="s">
        <v>4034</v>
      </c>
    </row>
    <row r="1032" spans="1:2">
      <c r="A1032" s="171" t="s">
        <v>4035</v>
      </c>
      <c r="B1032" s="171" t="s">
        <v>4036</v>
      </c>
    </row>
    <row r="1033" spans="1:2">
      <c r="A1033" s="171" t="s">
        <v>4037</v>
      </c>
      <c r="B1033" s="171" t="s">
        <v>4038</v>
      </c>
    </row>
    <row r="1034" spans="1:2" customFormat="1" hidden="1">
      <c r="A1034" t="s">
        <v>4039</v>
      </c>
      <c r="B1034" t="s">
        <v>2278</v>
      </c>
    </row>
    <row r="1035" spans="1:2" customFormat="1" hidden="1">
      <c r="A1035" t="s">
        <v>4040</v>
      </c>
      <c r="B1035" t="s">
        <v>2278</v>
      </c>
    </row>
    <row r="1036" spans="1:2">
      <c r="A1036" s="171" t="s">
        <v>4099</v>
      </c>
    </row>
    <row r="1037" spans="1:2">
      <c r="A1037" s="171" t="s">
        <v>4041</v>
      </c>
    </row>
    <row r="1038" spans="1:2">
      <c r="A1038" s="171" t="s">
        <v>4091</v>
      </c>
    </row>
    <row r="1039" spans="1:2">
      <c r="A1039" s="171" t="s">
        <v>4113</v>
      </c>
    </row>
    <row r="1040" spans="1:2">
      <c r="A1040" s="171" t="s">
        <v>4049</v>
      </c>
    </row>
    <row r="1041" spans="1:1">
      <c r="A1041" s="171" t="s">
        <v>4070</v>
      </c>
    </row>
    <row r="1042" spans="1:1">
      <c r="A1042" s="171" t="s">
        <v>4114</v>
      </c>
    </row>
    <row r="1043" spans="1:1">
      <c r="A1043" s="171" t="s">
        <v>4115</v>
      </c>
    </row>
    <row r="1044" spans="1:1">
      <c r="A1044" s="171" t="s">
        <v>4050</v>
      </c>
    </row>
    <row r="1045" spans="1:1">
      <c r="A1045" s="171" t="s">
        <v>4071</v>
      </c>
    </row>
    <row r="1046" spans="1:1">
      <c r="A1046" s="171" t="s">
        <v>4116</v>
      </c>
    </row>
    <row r="1047" spans="1:1">
      <c r="A1047" s="171" t="s">
        <v>4051</v>
      </c>
    </row>
    <row r="1048" spans="1:1">
      <c r="A1048" s="171" t="s">
        <v>4072</v>
      </c>
    </row>
    <row r="1049" spans="1:1">
      <c r="A1049" s="171" t="s">
        <v>4117</v>
      </c>
    </row>
    <row r="1050" spans="1:1">
      <c r="A1050" s="171" t="s">
        <v>4052</v>
      </c>
    </row>
    <row r="1051" spans="1:1">
      <c r="A1051" s="171" t="s">
        <v>4073</v>
      </c>
    </row>
    <row r="1052" spans="1:1">
      <c r="A1052" s="171" t="s">
        <v>4100</v>
      </c>
    </row>
    <row r="1053" spans="1:1">
      <c r="A1053" s="171" t="s">
        <v>4042</v>
      </c>
    </row>
    <row r="1054" spans="1:1">
      <c r="A1054" s="171" t="s">
        <v>4092</v>
      </c>
    </row>
    <row r="1055" spans="1:1">
      <c r="A1055" s="171" t="s">
        <v>4141</v>
      </c>
    </row>
    <row r="1056" spans="1:1">
      <c r="A1056" s="171" t="s">
        <v>4151</v>
      </c>
    </row>
    <row r="1057" spans="1:1">
      <c r="A1057" s="171" t="s">
        <v>4161</v>
      </c>
    </row>
    <row r="1058" spans="1:1">
      <c r="A1058" s="171" t="s">
        <v>4142</v>
      </c>
    </row>
    <row r="1059" spans="1:1">
      <c r="A1059" s="171" t="s">
        <v>4143</v>
      </c>
    </row>
    <row r="1060" spans="1:1">
      <c r="A1060" s="171" t="s">
        <v>4162</v>
      </c>
    </row>
    <row r="1061" spans="1:1">
      <c r="A1061" s="171" t="s">
        <v>4152</v>
      </c>
    </row>
    <row r="1062" spans="1:1">
      <c r="A1062" s="171" t="s">
        <v>4144</v>
      </c>
    </row>
    <row r="1063" spans="1:1">
      <c r="A1063" s="171" t="s">
        <v>4153</v>
      </c>
    </row>
    <row r="1064" spans="1:1">
      <c r="A1064" s="171" t="s">
        <v>4163</v>
      </c>
    </row>
    <row r="1065" spans="1:1">
      <c r="A1065" s="171" t="s">
        <v>4145</v>
      </c>
    </row>
    <row r="1066" spans="1:1">
      <c r="A1066" s="171" t="s">
        <v>4154</v>
      </c>
    </row>
    <row r="1067" spans="1:1">
      <c r="A1067" s="171" t="s">
        <v>4164</v>
      </c>
    </row>
    <row r="1068" spans="1:1">
      <c r="A1068" s="171" t="s">
        <v>4101</v>
      </c>
    </row>
    <row r="1069" spans="1:1">
      <c r="A1069" s="171" t="s">
        <v>4043</v>
      </c>
    </row>
    <row r="1070" spans="1:1">
      <c r="A1070" s="171" t="s">
        <v>4093</v>
      </c>
    </row>
    <row r="1071" spans="1:1">
      <c r="A1071" s="171" t="s">
        <v>4102</v>
      </c>
    </row>
    <row r="1072" spans="1:1">
      <c r="A1072" s="171" t="s">
        <v>4044</v>
      </c>
    </row>
    <row r="1073" spans="1:1">
      <c r="A1073" s="171" t="s">
        <v>4094</v>
      </c>
    </row>
    <row r="1074" spans="1:1">
      <c r="A1074" s="171" t="s">
        <v>4103</v>
      </c>
    </row>
    <row r="1075" spans="1:1">
      <c r="A1075" s="171" t="s">
        <v>4045</v>
      </c>
    </row>
    <row r="1076" spans="1:1">
      <c r="A1076" s="171" t="s">
        <v>4095</v>
      </c>
    </row>
    <row r="1077" spans="1:1">
      <c r="A1077" s="171" t="s">
        <v>4104</v>
      </c>
    </row>
    <row r="1078" spans="1:1">
      <c r="A1078" s="171" t="s">
        <v>2698</v>
      </c>
    </row>
    <row r="1079" spans="1:1">
      <c r="A1079" s="171" t="s">
        <v>2699</v>
      </c>
    </row>
    <row r="1080" spans="1:1">
      <c r="A1080" s="171" t="s">
        <v>4105</v>
      </c>
    </row>
    <row r="1081" spans="1:1">
      <c r="A1081" s="171" t="s">
        <v>4106</v>
      </c>
    </row>
    <row r="1082" spans="1:1">
      <c r="A1082" s="171" t="s">
        <v>4046</v>
      </c>
    </row>
    <row r="1083" spans="1:1">
      <c r="A1083" s="171" t="s">
        <v>4047</v>
      </c>
    </row>
    <row r="1084" spans="1:1">
      <c r="A1084" s="171" t="s">
        <v>4096</v>
      </c>
    </row>
    <row r="1085" spans="1:1">
      <c r="A1085" s="171" t="s">
        <v>4097</v>
      </c>
    </row>
    <row r="1086" spans="1:1">
      <c r="A1086" s="171" t="s">
        <v>4118</v>
      </c>
    </row>
    <row r="1087" spans="1:1">
      <c r="A1087" s="171" t="s">
        <v>4053</v>
      </c>
    </row>
    <row r="1088" spans="1:1">
      <c r="A1088" s="171" t="s">
        <v>4074</v>
      </c>
    </row>
    <row r="1089" spans="1:1">
      <c r="A1089" s="171" t="s">
        <v>4119</v>
      </c>
    </row>
    <row r="1090" spans="1:1">
      <c r="A1090" s="171" t="s">
        <v>4054</v>
      </c>
    </row>
    <row r="1091" spans="1:1">
      <c r="A1091" s="171" t="s">
        <v>4075</v>
      </c>
    </row>
    <row r="1092" spans="1:1">
      <c r="A1092" s="171" t="s">
        <v>4120</v>
      </c>
    </row>
    <row r="1093" spans="1:1">
      <c r="A1093" s="171" t="s">
        <v>4055</v>
      </c>
    </row>
    <row r="1094" spans="1:1">
      <c r="A1094" s="171" t="s">
        <v>4076</v>
      </c>
    </row>
    <row r="1095" spans="1:1">
      <c r="A1095" s="171" t="s">
        <v>4121</v>
      </c>
    </row>
    <row r="1096" spans="1:1">
      <c r="A1096" s="171" t="s">
        <v>2932</v>
      </c>
    </row>
    <row r="1097" spans="1:1">
      <c r="A1097" s="171" t="s">
        <v>2933</v>
      </c>
    </row>
    <row r="1098" spans="1:1">
      <c r="A1098" s="171" t="s">
        <v>4107</v>
      </c>
    </row>
    <row r="1099" spans="1:1">
      <c r="A1099" s="171" t="s">
        <v>2969</v>
      </c>
    </row>
    <row r="1100" spans="1:1">
      <c r="A1100" s="171" t="s">
        <v>2971</v>
      </c>
    </row>
    <row r="1101" spans="1:1">
      <c r="A1101" s="171" t="s">
        <v>4122</v>
      </c>
    </row>
    <row r="1102" spans="1:1">
      <c r="A1102" s="171" t="s">
        <v>4056</v>
      </c>
    </row>
    <row r="1103" spans="1:1">
      <c r="A1103" s="171" t="s">
        <v>4077</v>
      </c>
    </row>
    <row r="1104" spans="1:1">
      <c r="A1104" s="171" t="s">
        <v>4108</v>
      </c>
    </row>
    <row r="1105" spans="1:1">
      <c r="A1105" s="171" t="s">
        <v>3044</v>
      </c>
    </row>
    <row r="1106" spans="1:1">
      <c r="A1106" s="171" t="s">
        <v>3045</v>
      </c>
    </row>
    <row r="1107" spans="1:1">
      <c r="A1107" s="171" t="s">
        <v>4146</v>
      </c>
    </row>
    <row r="1108" spans="1:1">
      <c r="A1108" s="171" t="s">
        <v>4155</v>
      </c>
    </row>
    <row r="1109" spans="1:1">
      <c r="A1109" s="171" t="s">
        <v>4165</v>
      </c>
    </row>
    <row r="1110" spans="1:1">
      <c r="A1110" s="171" t="s">
        <v>4147</v>
      </c>
    </row>
    <row r="1111" spans="1:1">
      <c r="A1111" s="171" t="s">
        <v>4156</v>
      </c>
    </row>
    <row r="1112" spans="1:1">
      <c r="A1112" s="171" t="s">
        <v>4166</v>
      </c>
    </row>
    <row r="1113" spans="1:1">
      <c r="A1113" s="171" t="s">
        <v>4148</v>
      </c>
    </row>
    <row r="1114" spans="1:1">
      <c r="A1114" s="171" t="s">
        <v>4157</v>
      </c>
    </row>
    <row r="1115" spans="1:1">
      <c r="A1115" s="171" t="s">
        <v>4167</v>
      </c>
    </row>
    <row r="1116" spans="1:1">
      <c r="A1116" s="171" t="s">
        <v>4123</v>
      </c>
    </row>
    <row r="1117" spans="1:1">
      <c r="A1117" s="171" t="s">
        <v>4057</v>
      </c>
    </row>
    <row r="1118" spans="1:1">
      <c r="A1118" s="171" t="s">
        <v>4078</v>
      </c>
    </row>
    <row r="1119" spans="1:1">
      <c r="A1119" s="171" t="s">
        <v>4124</v>
      </c>
    </row>
    <row r="1120" spans="1:1">
      <c r="A1120" s="171" t="s">
        <v>4058</v>
      </c>
    </row>
    <row r="1121" spans="1:1">
      <c r="A1121" s="171" t="s">
        <v>4079</v>
      </c>
    </row>
    <row r="1122" spans="1:1">
      <c r="A1122" s="171" t="s">
        <v>4125</v>
      </c>
    </row>
    <row r="1123" spans="1:1">
      <c r="A1123" s="171" t="s">
        <v>4059</v>
      </c>
    </row>
    <row r="1124" spans="1:1">
      <c r="A1124" s="171" t="s">
        <v>4080</v>
      </c>
    </row>
    <row r="1125" spans="1:1">
      <c r="A1125" s="171" t="s">
        <v>4126</v>
      </c>
    </row>
    <row r="1126" spans="1:1">
      <c r="A1126" s="171" t="s">
        <v>3289</v>
      </c>
    </row>
    <row r="1127" spans="1:1">
      <c r="A1127" s="171" t="s">
        <v>3290</v>
      </c>
    </row>
    <row r="1128" spans="1:1">
      <c r="A1128" s="171" t="s">
        <v>4109</v>
      </c>
    </row>
    <row r="1129" spans="1:1">
      <c r="A1129" s="171" t="s">
        <v>3325</v>
      </c>
    </row>
    <row r="1130" spans="1:1">
      <c r="A1130" s="171" t="s">
        <v>3326</v>
      </c>
    </row>
    <row r="1131" spans="1:1">
      <c r="A1131" s="171" t="s">
        <v>4127</v>
      </c>
    </row>
    <row r="1132" spans="1:1">
      <c r="A1132" s="171" t="s">
        <v>4128</v>
      </c>
    </row>
    <row r="1133" spans="1:1">
      <c r="A1133" s="171" t="s">
        <v>4060</v>
      </c>
    </row>
    <row r="1134" spans="1:1">
      <c r="A1134" s="171" t="s">
        <v>4061</v>
      </c>
    </row>
    <row r="1135" spans="1:1">
      <c r="A1135" s="171" t="s">
        <v>4081</v>
      </c>
    </row>
    <row r="1136" spans="1:1">
      <c r="A1136" s="171" t="s">
        <v>4082</v>
      </c>
    </row>
    <row r="1137" spans="1:1">
      <c r="A1137" s="171" t="s">
        <v>4129</v>
      </c>
    </row>
    <row r="1138" spans="1:1">
      <c r="A1138" s="171" t="s">
        <v>4130</v>
      </c>
    </row>
    <row r="1139" spans="1:1">
      <c r="A1139" s="171" t="s">
        <v>4062</v>
      </c>
    </row>
    <row r="1140" spans="1:1">
      <c r="A1140" s="171" t="s">
        <v>4063</v>
      </c>
    </row>
    <row r="1141" spans="1:1">
      <c r="A1141" s="171" t="s">
        <v>4083</v>
      </c>
    </row>
    <row r="1142" spans="1:1">
      <c r="A1142" s="171" t="s">
        <v>4084</v>
      </c>
    </row>
    <row r="1143" spans="1:1">
      <c r="A1143" s="171" t="s">
        <v>4131</v>
      </c>
    </row>
    <row r="1144" spans="1:1">
      <c r="A1144" s="171" t="s">
        <v>4132</v>
      </c>
    </row>
    <row r="1145" spans="1:1">
      <c r="A1145" s="171" t="s">
        <v>4064</v>
      </c>
    </row>
    <row r="1146" spans="1:1">
      <c r="A1146" s="171" t="s">
        <v>4065</v>
      </c>
    </row>
    <row r="1147" spans="1:1">
      <c r="A1147" s="171" t="s">
        <v>4085</v>
      </c>
    </row>
    <row r="1148" spans="1:1">
      <c r="A1148" s="171" t="s">
        <v>4086</v>
      </c>
    </row>
    <row r="1149" spans="1:1">
      <c r="A1149" s="171" t="s">
        <v>4133</v>
      </c>
    </row>
    <row r="1150" spans="1:1">
      <c r="A1150" s="171" t="s">
        <v>4134</v>
      </c>
    </row>
    <row r="1151" spans="1:1">
      <c r="A1151" s="171" t="s">
        <v>3607</v>
      </c>
    </row>
    <row r="1152" spans="1:1">
      <c r="A1152" s="171" t="s">
        <v>3608</v>
      </c>
    </row>
    <row r="1153" spans="1:1">
      <c r="A1153" s="171" t="s">
        <v>3609</v>
      </c>
    </row>
    <row r="1154" spans="1:1">
      <c r="A1154" s="171" t="s">
        <v>3610</v>
      </c>
    </row>
    <row r="1155" spans="1:1">
      <c r="A1155" s="171" t="s">
        <v>4110</v>
      </c>
    </row>
    <row r="1156" spans="1:1">
      <c r="A1156" s="171" t="s">
        <v>4111</v>
      </c>
    </row>
    <row r="1157" spans="1:1">
      <c r="A1157" s="171" t="s">
        <v>3681</v>
      </c>
    </row>
    <row r="1158" spans="1:1">
      <c r="A1158" s="171" t="s">
        <v>4048</v>
      </c>
    </row>
    <row r="1159" spans="1:1">
      <c r="A1159" s="171" t="s">
        <v>4098</v>
      </c>
    </row>
    <row r="1160" spans="1:1">
      <c r="A1160" s="171" t="s">
        <v>3682</v>
      </c>
    </row>
    <row r="1161" spans="1:1">
      <c r="A1161" s="171" t="s">
        <v>4149</v>
      </c>
    </row>
    <row r="1162" spans="1:1">
      <c r="A1162" s="171" t="s">
        <v>4158</v>
      </c>
    </row>
    <row r="1163" spans="1:1">
      <c r="A1163" s="171" t="s">
        <v>4168</v>
      </c>
    </row>
    <row r="1164" spans="1:1">
      <c r="A1164" s="171" t="s">
        <v>4135</v>
      </c>
    </row>
    <row r="1165" spans="1:1">
      <c r="A1165" s="171" t="s">
        <v>4136</v>
      </c>
    </row>
    <row r="1166" spans="1:1">
      <c r="A1166" s="171" t="s">
        <v>4066</v>
      </c>
    </row>
    <row r="1167" spans="1:1">
      <c r="A1167" s="171" t="s">
        <v>4087</v>
      </c>
    </row>
    <row r="1168" spans="1:1">
      <c r="A1168" s="171" t="s">
        <v>4171</v>
      </c>
    </row>
    <row r="1169" spans="1:1">
      <c r="A1169" s="171" t="s">
        <v>4159</v>
      </c>
    </row>
    <row r="1170" spans="1:1">
      <c r="A1170" s="171" t="s">
        <v>4169</v>
      </c>
    </row>
    <row r="1171" spans="1:1">
      <c r="A1171" s="171" t="s">
        <v>4150</v>
      </c>
    </row>
    <row r="1172" spans="1:1">
      <c r="A1172" s="171" t="s">
        <v>4160</v>
      </c>
    </row>
    <row r="1173" spans="1:1">
      <c r="A1173" s="171" t="s">
        <v>4170</v>
      </c>
    </row>
    <row r="1174" spans="1:1">
      <c r="A1174" s="171" t="s">
        <v>4137</v>
      </c>
    </row>
    <row r="1175" spans="1:1">
      <c r="A1175" s="171" t="s">
        <v>4067</v>
      </c>
    </row>
    <row r="1176" spans="1:1">
      <c r="A1176" s="171" t="s">
        <v>4088</v>
      </c>
    </row>
    <row r="1177" spans="1:1">
      <c r="A1177" s="171" t="s">
        <v>4138</v>
      </c>
    </row>
    <row r="1178" spans="1:1">
      <c r="A1178" s="171" t="s">
        <v>4068</v>
      </c>
    </row>
    <row r="1179" spans="1:1">
      <c r="A1179" s="171" t="s">
        <v>4089</v>
      </c>
    </row>
    <row r="1180" spans="1:1">
      <c r="A1180" s="171" t="s">
        <v>4139</v>
      </c>
    </row>
    <row r="1181" spans="1:1">
      <c r="A1181" s="171" t="s">
        <v>4069</v>
      </c>
    </row>
    <row r="1182" spans="1:1">
      <c r="A1182" s="171" t="s">
        <v>4090</v>
      </c>
    </row>
    <row r="1183" spans="1:1">
      <c r="A1183" s="171" t="s">
        <v>4140</v>
      </c>
    </row>
    <row r="1184" spans="1:1">
      <c r="A1184" s="171" t="s">
        <v>4003</v>
      </c>
    </row>
    <row r="1185" spans="1:1">
      <c r="A1185" s="171" t="s">
        <v>4004</v>
      </c>
    </row>
    <row r="1186" spans="1:1">
      <c r="A1186" s="171" t="s">
        <v>4112</v>
      </c>
    </row>
    <row r="1187" spans="1:1">
      <c r="A1187" s="171" t="s">
        <v>4039</v>
      </c>
    </row>
    <row r="1188" spans="1:1">
      <c r="A1188" s="171" t="s">
        <v>4040</v>
      </c>
    </row>
  </sheetData>
  <sheetProtection algorithmName="SHA-512" hashValue="mi+lQ5yCkRGfe9+19DF5QxgLBKYo82dK2xHuhXEd97azyCMzKT6emkBZqb64/8zxJdSvSfIBY7FT/biIY8Hzlw==" saltValue="tWUGNsUFYyBkZreriXqY0Q==" spinCount="100000" sheet="1" objects="1" scenarios="1"/>
  <autoFilter ref="A1:B1035" xr:uid="{6E92A60F-3D0D-FB4A-B55A-3C85D86CA9EA}">
    <filterColumn colId="0">
      <customFilters>
        <customFilter val="*taxi*"/>
      </customFilters>
    </filterColumn>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7A99-6661-0146-8513-DDF092E28181}">
  <sheetPr codeName="Sheet14">
    <tabColor theme="8" tint="-0.249977111117893"/>
  </sheetPr>
  <dimension ref="A1:Q51"/>
  <sheetViews>
    <sheetView topLeftCell="A6" workbookViewId="0">
      <selection activeCell="A6" sqref="A1:XFD1048576"/>
    </sheetView>
  </sheetViews>
  <sheetFormatPr baseColWidth="10" defaultRowHeight="16"/>
  <cols>
    <col min="1" max="1" width="10.83203125" style="171"/>
    <col min="2" max="2" width="29" style="171" customWidth="1"/>
    <col min="3" max="16384" width="10.83203125" style="171"/>
  </cols>
  <sheetData>
    <row r="1" spans="2:15">
      <c r="F1" s="541"/>
      <c r="G1" s="541"/>
    </row>
    <row r="2" spans="2:15">
      <c r="F2" s="541"/>
      <c r="G2" s="541"/>
    </row>
    <row r="3" spans="2:15">
      <c r="F3" s="541"/>
      <c r="G3" s="541"/>
    </row>
    <row r="4" spans="2:15">
      <c r="F4" s="541"/>
      <c r="G4" s="541"/>
    </row>
    <row r="5" spans="2:15">
      <c r="F5" s="541"/>
      <c r="G5" s="541"/>
    </row>
    <row r="6" spans="2:15" s="964" customFormat="1" ht="21">
      <c r="B6" s="963" t="s">
        <v>1635</v>
      </c>
    </row>
    <row r="7" spans="2:15">
      <c r="F7" s="541"/>
      <c r="G7" s="541"/>
    </row>
    <row r="8" spans="2:15" ht="21">
      <c r="B8" s="965" t="s">
        <v>4246</v>
      </c>
      <c r="D8" s="1588" t="s">
        <v>1327</v>
      </c>
      <c r="E8" s="1588"/>
      <c r="F8" s="1588" t="s">
        <v>518</v>
      </c>
      <c r="G8" s="1588"/>
    </row>
    <row r="9" spans="2:15">
      <c r="B9" s="1587" t="s">
        <v>315</v>
      </c>
      <c r="C9" s="1586" t="s">
        <v>316</v>
      </c>
      <c r="D9" s="1586" t="s">
        <v>871</v>
      </c>
      <c r="E9" s="1589" t="s">
        <v>872</v>
      </c>
      <c r="F9" s="1586" t="s">
        <v>871</v>
      </c>
      <c r="G9" s="1586" t="s">
        <v>872</v>
      </c>
      <c r="H9" s="1586" t="s">
        <v>873</v>
      </c>
      <c r="I9" s="1584" t="s">
        <v>874</v>
      </c>
      <c r="J9" s="1586" t="s">
        <v>875</v>
      </c>
      <c r="K9" s="1584" t="s">
        <v>317</v>
      </c>
      <c r="L9" s="1584" t="s">
        <v>876</v>
      </c>
      <c r="M9" s="1584" t="s">
        <v>877</v>
      </c>
      <c r="N9" s="1587" t="s">
        <v>878</v>
      </c>
      <c r="O9" s="1587" t="s">
        <v>1361</v>
      </c>
    </row>
    <row r="10" spans="2:15">
      <c r="B10" s="1587"/>
      <c r="C10" s="1586"/>
      <c r="D10" s="1586"/>
      <c r="E10" s="1589"/>
      <c r="F10" s="1586"/>
      <c r="G10" s="1586"/>
      <c r="H10" s="1586"/>
      <c r="I10" s="1585"/>
      <c r="J10" s="1586"/>
      <c r="K10" s="1586"/>
      <c r="L10" s="1585"/>
      <c r="M10" s="1585"/>
      <c r="N10" s="1587"/>
      <c r="O10" s="1587"/>
    </row>
    <row r="11" spans="2:15">
      <c r="B11" s="171" t="s">
        <v>1635</v>
      </c>
      <c r="C11" s="171" t="s">
        <v>701</v>
      </c>
      <c r="D11" s="171">
        <v>0</v>
      </c>
      <c r="F11" s="541"/>
      <c r="G11" s="541">
        <v>10</v>
      </c>
      <c r="I11" s="822">
        <v>28899</v>
      </c>
      <c r="J11" s="822">
        <v>12000</v>
      </c>
      <c r="K11" s="822">
        <f>0.21*I11</f>
        <v>6068.79</v>
      </c>
      <c r="L11" s="822">
        <f>SUM(I11+J11+K11)</f>
        <v>46967.79</v>
      </c>
      <c r="M11" s="171">
        <f>2400/12</f>
        <v>200</v>
      </c>
    </row>
    <row r="12" spans="2:15" ht="18" customHeight="1" thickBot="1">
      <c r="F12" s="541"/>
      <c r="G12" s="541"/>
      <c r="L12" s="822"/>
    </row>
    <row r="13" spans="2:15" ht="17" thickBot="1">
      <c r="B13" s="699" t="s">
        <v>1660</v>
      </c>
      <c r="C13" s="725" t="s">
        <v>134</v>
      </c>
      <c r="D13" s="966">
        <f>D11</f>
        <v>0</v>
      </c>
      <c r="E13" s="967">
        <f>E11</f>
        <v>0</v>
      </c>
      <c r="F13" s="966" t="e">
        <f t="shared" ref="F13:L13" si="0">AVERAGE(F11:F11)</f>
        <v>#DIV/0!</v>
      </c>
      <c r="G13" s="967">
        <f t="shared" si="0"/>
        <v>10</v>
      </c>
      <c r="H13" s="968" t="e">
        <f t="shared" si="0"/>
        <v>#DIV/0!</v>
      </c>
      <c r="I13" s="969">
        <f t="shared" si="0"/>
        <v>28899</v>
      </c>
      <c r="J13" s="969">
        <f t="shared" si="0"/>
        <v>12000</v>
      </c>
      <c r="K13" s="969">
        <f t="shared" si="0"/>
        <v>6068.79</v>
      </c>
      <c r="L13" s="969">
        <f t="shared" si="0"/>
        <v>46967.79</v>
      </c>
      <c r="M13" s="969">
        <f>M11</f>
        <v>200</v>
      </c>
      <c r="N13" s="970"/>
    </row>
    <row r="14" spans="2:15" ht="18" customHeight="1">
      <c r="B14" s="971" t="s">
        <v>1369</v>
      </c>
      <c r="C14" s="972"/>
      <c r="D14" s="973" t="e">
        <f>D13/F13</f>
        <v>#DIV/0!</v>
      </c>
      <c r="E14" s="973">
        <f>E13/G13</f>
        <v>0</v>
      </c>
      <c r="F14" s="974"/>
      <c r="G14" s="974"/>
      <c r="H14" s="975"/>
      <c r="I14" s="976"/>
      <c r="J14" s="976"/>
      <c r="K14" s="976"/>
      <c r="L14" s="976"/>
      <c r="M14" s="976"/>
      <c r="N14" s="972"/>
    </row>
    <row r="15" spans="2:15">
      <c r="F15" s="541"/>
      <c r="G15" s="541"/>
      <c r="L15" s="652"/>
      <c r="M15" s="977"/>
    </row>
    <row r="16" spans="2:15" s="964" customFormat="1" ht="21">
      <c r="B16" s="963" t="s">
        <v>1637</v>
      </c>
    </row>
    <row r="17" spans="2:14">
      <c r="F17" s="541"/>
      <c r="G17" s="541"/>
      <c r="L17" s="652"/>
      <c r="M17" s="977"/>
    </row>
    <row r="18" spans="2:14" ht="21">
      <c r="B18" s="965" t="s">
        <v>1661</v>
      </c>
      <c r="D18" s="1588" t="s">
        <v>1327</v>
      </c>
      <c r="E18" s="1588"/>
      <c r="F18" s="1588" t="s">
        <v>518</v>
      </c>
      <c r="G18" s="1588"/>
    </row>
    <row r="19" spans="2:14">
      <c r="B19" s="1587" t="s">
        <v>315</v>
      </c>
      <c r="C19" s="1586" t="s">
        <v>316</v>
      </c>
      <c r="D19" s="1586" t="s">
        <v>871</v>
      </c>
      <c r="E19" s="1589" t="s">
        <v>872</v>
      </c>
      <c r="F19" s="1586" t="s">
        <v>871</v>
      </c>
      <c r="G19" s="1586" t="s">
        <v>872</v>
      </c>
      <c r="H19" s="1586" t="s">
        <v>873</v>
      </c>
      <c r="I19" s="1584" t="s">
        <v>874</v>
      </c>
      <c r="J19" s="1586" t="s">
        <v>875</v>
      </c>
      <c r="K19" s="1584" t="s">
        <v>317</v>
      </c>
      <c r="L19" s="1584" t="s">
        <v>876</v>
      </c>
      <c r="M19" s="1584" t="s">
        <v>877</v>
      </c>
      <c r="N19" s="1587" t="s">
        <v>878</v>
      </c>
    </row>
    <row r="20" spans="2:14">
      <c r="B20" s="1587"/>
      <c r="C20" s="1586"/>
      <c r="D20" s="1586"/>
      <c r="E20" s="1589"/>
      <c r="F20" s="1586"/>
      <c r="G20" s="1586"/>
      <c r="H20" s="1586"/>
      <c r="I20" s="1585"/>
      <c r="J20" s="1586"/>
      <c r="K20" s="1586"/>
      <c r="L20" s="1585"/>
      <c r="M20" s="1585"/>
      <c r="N20" s="1587"/>
    </row>
    <row r="21" spans="2:14">
      <c r="B21" s="546" t="s">
        <v>1662</v>
      </c>
      <c r="C21" s="171" t="s">
        <v>701</v>
      </c>
      <c r="D21" s="171">
        <v>0</v>
      </c>
      <c r="E21" s="171">
        <v>0</v>
      </c>
      <c r="F21" s="541">
        <v>0</v>
      </c>
      <c r="G21" s="978">
        <v>57</v>
      </c>
      <c r="H21" s="822">
        <v>0</v>
      </c>
      <c r="I21" s="979">
        <v>120000</v>
      </c>
      <c r="J21" s="822">
        <v>0</v>
      </c>
      <c r="K21" s="822">
        <f>0.21*I21</f>
        <v>25200</v>
      </c>
      <c r="L21" s="979">
        <f>SUM(I21:K21)</f>
        <v>145200</v>
      </c>
      <c r="M21" s="979">
        <f>312/12</f>
        <v>26</v>
      </c>
    </row>
    <row r="22" spans="2:14">
      <c r="B22" s="546"/>
      <c r="D22" s="742"/>
      <c r="E22" s="742"/>
      <c r="F22" s="541"/>
      <c r="G22" s="541"/>
      <c r="H22" s="822"/>
      <c r="I22" s="979"/>
      <c r="J22" s="822"/>
      <c r="K22" s="822"/>
      <c r="L22" s="979"/>
      <c r="M22" s="979"/>
    </row>
    <row r="23" spans="2:14" ht="17" thickBot="1">
      <c r="F23" s="541"/>
      <c r="G23" s="541"/>
      <c r="H23" s="822"/>
      <c r="I23" s="822"/>
      <c r="J23" s="822"/>
      <c r="K23" s="822"/>
      <c r="L23" s="822"/>
    </row>
    <row r="24" spans="2:14" ht="17" thickBot="1">
      <c r="B24" s="699" t="s">
        <v>1663</v>
      </c>
      <c r="C24" s="725" t="s">
        <v>134</v>
      </c>
      <c r="D24" s="966">
        <f t="shared" ref="D24:L24" si="1">AVERAGE(D21:D22)</f>
        <v>0</v>
      </c>
      <c r="E24" s="967">
        <f t="shared" si="1"/>
        <v>0</v>
      </c>
      <c r="F24" s="966">
        <f t="shared" si="1"/>
        <v>0</v>
      </c>
      <c r="G24" s="967">
        <f t="shared" si="1"/>
        <v>57</v>
      </c>
      <c r="H24" s="968">
        <f t="shared" si="1"/>
        <v>0</v>
      </c>
      <c r="I24" s="969">
        <f t="shared" si="1"/>
        <v>120000</v>
      </c>
      <c r="J24" s="969">
        <f t="shared" si="1"/>
        <v>0</v>
      </c>
      <c r="K24" s="969">
        <f t="shared" si="1"/>
        <v>25200</v>
      </c>
      <c r="L24" s="969">
        <f t="shared" si="1"/>
        <v>145200</v>
      </c>
      <c r="M24" s="969">
        <f>M21</f>
        <v>26</v>
      </c>
      <c r="N24" s="970"/>
    </row>
    <row r="25" spans="2:14">
      <c r="B25" s="652"/>
      <c r="F25" s="541"/>
      <c r="G25" s="541"/>
    </row>
    <row r="26" spans="2:14" s="964" customFormat="1" ht="21">
      <c r="B26" s="963" t="s">
        <v>1640</v>
      </c>
    </row>
    <row r="27" spans="2:14" s="541" customFormat="1" ht="21">
      <c r="B27" s="980"/>
    </row>
    <row r="28" spans="2:14" ht="21">
      <c r="B28" s="980" t="s">
        <v>4247</v>
      </c>
      <c r="C28" s="972"/>
      <c r="F28" s="981"/>
      <c r="G28" s="981"/>
      <c r="H28" s="975"/>
      <c r="I28" s="976"/>
      <c r="J28" s="976"/>
      <c r="K28" s="976"/>
      <c r="L28" s="976"/>
      <c r="M28" s="976"/>
      <c r="N28" s="972"/>
    </row>
    <row r="29" spans="2:14">
      <c r="B29" s="972"/>
      <c r="C29" s="972"/>
      <c r="D29" s="1588" t="s">
        <v>1327</v>
      </c>
      <c r="E29" s="1588"/>
      <c r="F29" s="1588" t="s">
        <v>518</v>
      </c>
      <c r="G29" s="1588"/>
      <c r="H29" s="975"/>
      <c r="I29" s="976"/>
      <c r="J29" s="976"/>
      <c r="K29" s="976"/>
      <c r="L29" s="976"/>
      <c r="M29" s="976"/>
      <c r="N29" s="972"/>
    </row>
    <row r="30" spans="2:14">
      <c r="B30" s="1587" t="s">
        <v>315</v>
      </c>
      <c r="C30" s="1586" t="s">
        <v>316</v>
      </c>
      <c r="D30" s="1586" t="s">
        <v>871</v>
      </c>
      <c r="E30" s="1589" t="s">
        <v>1664</v>
      </c>
      <c r="F30" s="1586" t="s">
        <v>871</v>
      </c>
      <c r="G30" s="1586" t="s">
        <v>1664</v>
      </c>
      <c r="H30" s="1586" t="s">
        <v>873</v>
      </c>
      <c r="I30" s="1584" t="s">
        <v>874</v>
      </c>
      <c r="J30" s="1586" t="s">
        <v>875</v>
      </c>
      <c r="K30" s="1584" t="s">
        <v>317</v>
      </c>
      <c r="L30" s="1584" t="s">
        <v>876</v>
      </c>
      <c r="M30" s="1584" t="s">
        <v>877</v>
      </c>
      <c r="N30" s="1587" t="s">
        <v>878</v>
      </c>
    </row>
    <row r="31" spans="2:14">
      <c r="B31" s="1587"/>
      <c r="C31" s="1586"/>
      <c r="D31" s="1586"/>
      <c r="E31" s="1589"/>
      <c r="F31" s="1586"/>
      <c r="G31" s="1586"/>
      <c r="H31" s="1586"/>
      <c r="I31" s="1585"/>
      <c r="J31" s="1586"/>
      <c r="K31" s="1586"/>
      <c r="L31" s="1585"/>
      <c r="M31" s="1585"/>
      <c r="N31" s="1587"/>
    </row>
    <row r="32" spans="2:14">
      <c r="B32" s="546"/>
      <c r="D32" s="616"/>
      <c r="E32" s="978"/>
      <c r="F32" s="978"/>
      <c r="G32" s="978"/>
      <c r="H32" s="978"/>
      <c r="I32" s="979"/>
      <c r="J32" s="822"/>
      <c r="K32" s="822"/>
      <c r="L32" s="822"/>
      <c r="M32" s="822"/>
    </row>
    <row r="33" spans="1:17" ht="16" customHeight="1">
      <c r="B33" s="171" t="s">
        <v>1665</v>
      </c>
      <c r="C33" s="171" t="s">
        <v>134</v>
      </c>
      <c r="D33" s="171">
        <v>0</v>
      </c>
      <c r="E33" s="742">
        <v>0</v>
      </c>
      <c r="F33" s="978">
        <v>0</v>
      </c>
      <c r="G33" s="978">
        <v>12</v>
      </c>
      <c r="H33" s="978">
        <v>0</v>
      </c>
      <c r="I33" s="822">
        <v>134490</v>
      </c>
      <c r="J33" s="822">
        <v>0</v>
      </c>
      <c r="K33" s="822">
        <f>0.21*I33</f>
        <v>28242.899999999998</v>
      </c>
      <c r="L33" s="822">
        <f>SUM(I33:K33)</f>
        <v>162732.9</v>
      </c>
      <c r="M33" s="822"/>
    </row>
    <row r="34" spans="1:17" ht="17" thickBot="1">
      <c r="F34" s="541"/>
      <c r="G34" s="541"/>
      <c r="L34" s="822"/>
    </row>
    <row r="35" spans="1:17" ht="17" thickBot="1">
      <c r="B35" s="699" t="s">
        <v>1666</v>
      </c>
      <c r="C35" s="725" t="s">
        <v>134</v>
      </c>
      <c r="D35" s="966">
        <f>AVERAGE(D32:D33)</f>
        <v>0</v>
      </c>
      <c r="E35" s="966">
        <f t="shared" ref="E35:N35" si="2">AVERAGE(E32:E33)</f>
        <v>0</v>
      </c>
      <c r="F35" s="966">
        <f t="shared" si="2"/>
        <v>0</v>
      </c>
      <c r="G35" s="966">
        <f t="shared" si="2"/>
        <v>12</v>
      </c>
      <c r="H35" s="966">
        <f t="shared" si="2"/>
        <v>0</v>
      </c>
      <c r="I35" s="966">
        <f t="shared" si="2"/>
        <v>134490</v>
      </c>
      <c r="J35" s="966">
        <f t="shared" si="2"/>
        <v>0</v>
      </c>
      <c r="K35" s="966">
        <f t="shared" si="2"/>
        <v>28242.899999999998</v>
      </c>
      <c r="L35" s="966">
        <f t="shared" si="2"/>
        <v>162732.9</v>
      </c>
      <c r="M35" s="966">
        <f>M32</f>
        <v>0</v>
      </c>
      <c r="N35" s="982" t="e">
        <f t="shared" si="2"/>
        <v>#DIV/0!</v>
      </c>
    </row>
    <row r="36" spans="1:17">
      <c r="B36" s="972"/>
      <c r="C36" s="972"/>
      <c r="D36" s="975"/>
      <c r="E36" s="974"/>
      <c r="F36" s="974"/>
      <c r="G36" s="974"/>
      <c r="H36" s="975"/>
      <c r="I36" s="983"/>
      <c r="J36" s="976"/>
      <c r="K36" s="976"/>
      <c r="L36" s="976"/>
      <c r="M36" s="976"/>
      <c r="N36" s="972"/>
    </row>
    <row r="37" spans="1:17">
      <c r="F37" s="541"/>
      <c r="G37" s="541"/>
    </row>
    <row r="38" spans="1:17">
      <c r="F38" s="541"/>
      <c r="G38" s="541"/>
    </row>
    <row r="39" spans="1:17">
      <c r="A39" s="984" t="s">
        <v>399</v>
      </c>
      <c r="B39" s="546" t="s">
        <v>1320</v>
      </c>
      <c r="C39" s="546"/>
      <c r="D39" s="546"/>
      <c r="E39" s="546"/>
      <c r="F39" s="617"/>
      <c r="G39" s="617"/>
      <c r="H39" s="546"/>
      <c r="I39" s="686"/>
      <c r="J39" s="686"/>
      <c r="K39" s="985"/>
      <c r="L39" s="985"/>
      <c r="M39" s="986"/>
      <c r="N39" s="986"/>
      <c r="O39" s="986"/>
      <c r="P39" s="986"/>
      <c r="Q39" s="986"/>
    </row>
    <row r="40" spans="1:17">
      <c r="B40" s="703" t="s">
        <v>704</v>
      </c>
      <c r="F40" s="541"/>
      <c r="G40" s="541"/>
    </row>
    <row r="41" spans="1:17">
      <c r="A41" s="984"/>
      <c r="B41" s="703" t="s">
        <v>702</v>
      </c>
      <c r="F41" s="541"/>
      <c r="G41" s="541"/>
    </row>
    <row r="42" spans="1:17">
      <c r="A42" s="984"/>
      <c r="B42" s="171" t="s">
        <v>770</v>
      </c>
      <c r="F42" s="541"/>
      <c r="G42" s="541"/>
    </row>
    <row r="43" spans="1:17">
      <c r="A43" s="984"/>
      <c r="F43" s="541"/>
      <c r="G43" s="541"/>
    </row>
    <row r="44" spans="1:17">
      <c r="A44" s="984" t="s">
        <v>400</v>
      </c>
      <c r="B44" s="703" t="s">
        <v>765</v>
      </c>
      <c r="F44" s="541"/>
      <c r="G44" s="541"/>
    </row>
    <row r="45" spans="1:17">
      <c r="A45" s="984"/>
      <c r="B45" s="703" t="s">
        <v>832</v>
      </c>
      <c r="F45" s="541"/>
      <c r="G45" s="541"/>
    </row>
    <row r="46" spans="1:17">
      <c r="A46" s="984"/>
      <c r="B46" s="703" t="s">
        <v>833</v>
      </c>
      <c r="F46" s="541"/>
      <c r="G46" s="541"/>
    </row>
    <row r="47" spans="1:17">
      <c r="A47" s="984"/>
      <c r="B47" s="703"/>
      <c r="F47" s="541"/>
      <c r="G47" s="541"/>
    </row>
    <row r="48" spans="1:17">
      <c r="A48" s="984" t="s">
        <v>404</v>
      </c>
      <c r="B48" s="703" t="s">
        <v>766</v>
      </c>
      <c r="F48" s="541"/>
      <c r="G48" s="541"/>
    </row>
    <row r="49" spans="2:7">
      <c r="B49" s="703" t="s">
        <v>768</v>
      </c>
      <c r="F49" s="541"/>
      <c r="G49" s="541"/>
    </row>
    <row r="50" spans="2:7">
      <c r="F50" s="541"/>
      <c r="G50" s="541"/>
    </row>
    <row r="51" spans="2:7">
      <c r="B51" s="171" t="s">
        <v>767</v>
      </c>
      <c r="F51" s="541"/>
      <c r="G51" s="541"/>
    </row>
  </sheetData>
  <sheetProtection algorithmName="SHA-512" hashValue="ZocQpSWWIwm6ibJH2qrgcplIvtZWKCNFLe3BbOLHkcx+oqjlTRRObmAbawBxi9YbSB8ISrLLWb30MO12zKVD4g==" saltValue="UgCHsmb3Y9FKCaXg+QF3hg==" spinCount="100000" sheet="1" objects="1" scenarios="1"/>
  <mergeCells count="46">
    <mergeCell ref="D8:E8"/>
    <mergeCell ref="F8:G8"/>
    <mergeCell ref="B9:B10"/>
    <mergeCell ref="C9:C10"/>
    <mergeCell ref="D9:D10"/>
    <mergeCell ref="E9:E10"/>
    <mergeCell ref="F9:F10"/>
    <mergeCell ref="G9:G10"/>
    <mergeCell ref="B19:B20"/>
    <mergeCell ref="C19:C20"/>
    <mergeCell ref="D19:D20"/>
    <mergeCell ref="E19:E20"/>
    <mergeCell ref="F19:F20"/>
    <mergeCell ref="M19:M20"/>
    <mergeCell ref="N9:N10"/>
    <mergeCell ref="O9:O10"/>
    <mergeCell ref="D18:E18"/>
    <mergeCell ref="F18:G18"/>
    <mergeCell ref="G19:G20"/>
    <mergeCell ref="H9:H10"/>
    <mergeCell ref="I9:I10"/>
    <mergeCell ref="J9:J10"/>
    <mergeCell ref="K9:K10"/>
    <mergeCell ref="L9:L10"/>
    <mergeCell ref="M9:M10"/>
    <mergeCell ref="N30:N31"/>
    <mergeCell ref="N19:N20"/>
    <mergeCell ref="D29:E29"/>
    <mergeCell ref="F29:G29"/>
    <mergeCell ref="B30:B31"/>
    <mergeCell ref="C30:C31"/>
    <mergeCell ref="D30:D31"/>
    <mergeCell ref="E30:E31"/>
    <mergeCell ref="F30:F31"/>
    <mergeCell ref="G30:G31"/>
    <mergeCell ref="H30:H31"/>
    <mergeCell ref="H19:H20"/>
    <mergeCell ref="I19:I20"/>
    <mergeCell ref="J19:J20"/>
    <mergeCell ref="K19:K20"/>
    <mergeCell ref="L19:L20"/>
    <mergeCell ref="I30:I31"/>
    <mergeCell ref="J30:J31"/>
    <mergeCell ref="K30:K31"/>
    <mergeCell ref="L30:L31"/>
    <mergeCell ref="M30:M31"/>
  </mergeCells>
  <hyperlinks>
    <hyperlink ref="C25" r:id="rId1" display="https://www.cdn.renault.com/content/dam/Renault/NL/prijslijst/kangoo.pdf" xr:uid="{949BFDE8-93D9-824D-85FC-40288D1983E6}"/>
    <hyperlink ref="B44" r:id="rId2" xr:uid="{38B27192-710A-6E40-A472-8FDE61A2B57E}"/>
    <hyperlink ref="B40" r:id="rId3" xr:uid="{2F782E95-F29E-D549-AE05-8BB91981B97B}"/>
    <hyperlink ref="B48" r:id="rId4" xr:uid="{C8EAE9BF-F153-D149-A77B-E2C1273E654E}"/>
    <hyperlink ref="B41" r:id="rId5" xr:uid="{5FBD39B0-A6DE-574E-82B5-A20A1EB6ECD8}"/>
    <hyperlink ref="B49" r:id="rId6" xr:uid="{3EE458EC-4399-6149-AFBD-7A5E592697A8}"/>
    <hyperlink ref="B45" r:id="rId7" xr:uid="{2312970E-9617-824F-945F-793126E83A9D}"/>
  </hyperlinks>
  <pageMargins left="0.7" right="0.7" top="0.75" bottom="0.75" header="0.3" footer="0.3"/>
  <drawing r:id="rId8"/>
  <legacyDrawing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76422-A19E-604F-B4AF-2E63BD3FE14E}">
  <sheetPr codeName="Blad6">
    <tabColor theme="4"/>
  </sheetPr>
  <dimension ref="A1:AQ16"/>
  <sheetViews>
    <sheetView topLeftCell="M1" zoomScaleNormal="100" workbookViewId="0">
      <selection activeCell="M1" sqref="A1:XFD1048576"/>
    </sheetView>
  </sheetViews>
  <sheetFormatPr baseColWidth="10" defaultRowHeight="16"/>
  <cols>
    <col min="1" max="1" width="27.83203125" style="171" bestFit="1" customWidth="1"/>
    <col min="2" max="2" width="22.5" style="171" bestFit="1" customWidth="1"/>
    <col min="3" max="3" width="36" style="171" bestFit="1" customWidth="1"/>
    <col min="4" max="4" width="20.6640625" style="171" bestFit="1" customWidth="1"/>
    <col min="5" max="5" width="9.1640625" style="171" bestFit="1" customWidth="1"/>
    <col min="6" max="6" width="11" style="171" bestFit="1" customWidth="1"/>
    <col min="7" max="7" width="9.6640625" style="171" bestFit="1" customWidth="1"/>
    <col min="8" max="8" width="8.83203125" style="171" bestFit="1" customWidth="1"/>
    <col min="9" max="9" width="10.5" style="171" bestFit="1" customWidth="1"/>
    <col min="10" max="10" width="8.6640625" style="171" bestFit="1" customWidth="1"/>
    <col min="11" max="11" width="10.6640625" style="171" bestFit="1" customWidth="1"/>
    <col min="12" max="12" width="11" style="171" bestFit="1" customWidth="1"/>
    <col min="13" max="13" width="10.6640625" style="171" bestFit="1" customWidth="1"/>
    <col min="14" max="26" width="11" style="171" bestFit="1" customWidth="1"/>
    <col min="27" max="28" width="13.1640625" style="171" customWidth="1"/>
    <col min="29" max="34" width="11" style="171" bestFit="1" customWidth="1"/>
    <col min="35" max="35" width="17.5" style="171" bestFit="1" customWidth="1"/>
    <col min="36" max="40" width="11" style="171" bestFit="1" customWidth="1"/>
    <col min="41" max="41" width="13.1640625" style="171" bestFit="1" customWidth="1"/>
    <col min="42" max="42" width="11" style="171" bestFit="1" customWidth="1"/>
    <col min="43" max="16384" width="10.83203125" style="171"/>
  </cols>
  <sheetData>
    <row r="1" spans="1:43" ht="86" thickBot="1">
      <c r="A1" s="987" t="s">
        <v>921</v>
      </c>
      <c r="B1" s="987" t="s">
        <v>922</v>
      </c>
      <c r="C1" s="987" t="s">
        <v>565</v>
      </c>
      <c r="D1" s="988" t="s">
        <v>112</v>
      </c>
      <c r="E1" s="988" t="s">
        <v>923</v>
      </c>
      <c r="F1" s="987" t="s">
        <v>924</v>
      </c>
      <c r="G1" s="987" t="s">
        <v>1221</v>
      </c>
      <c r="H1" s="987" t="s">
        <v>925</v>
      </c>
      <c r="I1" s="987" t="s">
        <v>926</v>
      </c>
      <c r="J1" s="987" t="s">
        <v>927</v>
      </c>
      <c r="K1" s="987" t="s">
        <v>928</v>
      </c>
      <c r="L1" s="987" t="s">
        <v>929</v>
      </c>
      <c r="M1" s="987" t="s">
        <v>930</v>
      </c>
      <c r="N1" s="987" t="s">
        <v>931</v>
      </c>
      <c r="O1" s="989" t="s">
        <v>932</v>
      </c>
      <c r="P1" s="989" t="s">
        <v>933</v>
      </c>
      <c r="Q1" s="989" t="s">
        <v>934</v>
      </c>
      <c r="R1" s="989" t="s">
        <v>935</v>
      </c>
      <c r="S1" s="989" t="s">
        <v>936</v>
      </c>
      <c r="T1" s="989" t="s">
        <v>1062</v>
      </c>
      <c r="U1" s="989" t="s">
        <v>1063</v>
      </c>
      <c r="V1" s="987" t="s">
        <v>937</v>
      </c>
      <c r="W1" s="987" t="s">
        <v>938</v>
      </c>
      <c r="X1" s="987" t="s">
        <v>4194</v>
      </c>
      <c r="Y1" s="990" t="s">
        <v>1064</v>
      </c>
      <c r="Z1" s="990" t="s">
        <v>1065</v>
      </c>
      <c r="AA1" s="990" t="s">
        <v>4195</v>
      </c>
      <c r="AB1" s="990" t="s">
        <v>4196</v>
      </c>
      <c r="AC1" s="989" t="s">
        <v>4197</v>
      </c>
      <c r="AD1" s="989" t="s">
        <v>4198</v>
      </c>
      <c r="AE1" s="991" t="s">
        <v>941</v>
      </c>
      <c r="AF1" s="992" t="s">
        <v>942</v>
      </c>
      <c r="AG1" s="992" t="s">
        <v>943</v>
      </c>
      <c r="AH1" s="992" t="s">
        <v>944</v>
      </c>
      <c r="AI1" s="993" t="s">
        <v>945</v>
      </c>
      <c r="AJ1" s="994" t="s">
        <v>946</v>
      </c>
      <c r="AK1" s="994" t="s">
        <v>947</v>
      </c>
      <c r="AL1" s="995" t="s">
        <v>4199</v>
      </c>
      <c r="AM1" s="995" t="s">
        <v>4200</v>
      </c>
      <c r="AN1" s="996" t="s">
        <v>121</v>
      </c>
      <c r="AO1" s="994" t="s">
        <v>464</v>
      </c>
      <c r="AP1" s="997" t="s">
        <v>948</v>
      </c>
      <c r="AQ1" s="995" t="s">
        <v>1167</v>
      </c>
    </row>
    <row r="2" spans="1:43" ht="17" thickTop="1">
      <c r="A2" s="171" t="s">
        <v>4201</v>
      </c>
      <c r="B2" s="998">
        <v>43800</v>
      </c>
      <c r="C2" s="816"/>
      <c r="D2" s="171" t="s">
        <v>1635</v>
      </c>
      <c r="Y2" s="999" t="e">
        <f>(S2/V2)*100</f>
        <v>#DIV/0!</v>
      </c>
      <c r="Z2" s="999" t="e">
        <f t="shared" ref="Z2:Z6" si="0">(S2/W2)*100</f>
        <v>#DIV/0!</v>
      </c>
      <c r="AA2" s="999">
        <v>33</v>
      </c>
      <c r="AB2" s="999"/>
      <c r="AC2" s="171">
        <v>10</v>
      </c>
      <c r="AJ2" s="1000"/>
      <c r="AK2" s="1000"/>
      <c r="AL2" s="1001">
        <f>58500*1.21</f>
        <v>70785</v>
      </c>
      <c r="AM2" s="1001">
        <v>0</v>
      </c>
      <c r="AN2" s="1000">
        <v>0</v>
      </c>
      <c r="AO2" s="1002">
        <f>0.21*(AL2+AM2)</f>
        <v>14864.849999999999</v>
      </c>
      <c r="AP2" s="1002">
        <f>(AL2+AM2)-AO2</f>
        <v>55920.15</v>
      </c>
      <c r="AQ2" s="171" t="s">
        <v>1433</v>
      </c>
    </row>
    <row r="3" spans="1:43">
      <c r="B3" s="998"/>
      <c r="C3" s="816"/>
      <c r="D3" s="171" t="s">
        <v>1635</v>
      </c>
      <c r="Y3" s="999"/>
      <c r="Z3" s="999"/>
      <c r="AA3" s="999"/>
      <c r="AB3" s="999"/>
      <c r="AJ3" s="1000"/>
      <c r="AK3" s="1000"/>
      <c r="AL3" s="1001"/>
      <c r="AM3" s="1001"/>
      <c r="AN3" s="1000"/>
      <c r="AO3" s="1002"/>
      <c r="AP3" s="1002">
        <v>61000</v>
      </c>
    </row>
    <row r="4" spans="1:43">
      <c r="A4" s="171" t="s">
        <v>4201</v>
      </c>
      <c r="B4" s="998" t="s">
        <v>4202</v>
      </c>
      <c r="C4" s="816"/>
      <c r="D4" s="171" t="s">
        <v>1637</v>
      </c>
      <c r="F4" s="719"/>
      <c r="G4" s="719"/>
      <c r="R4" s="742"/>
      <c r="W4" s="742"/>
      <c r="Y4" s="999" t="e">
        <f>(S4/V4)*100</f>
        <v>#DIV/0!</v>
      </c>
      <c r="Z4" s="999" t="e">
        <f t="shared" si="0"/>
        <v>#DIV/0!</v>
      </c>
      <c r="AA4" s="1003">
        <v>190</v>
      </c>
      <c r="AB4" s="999"/>
      <c r="AC4" s="171">
        <v>57</v>
      </c>
      <c r="AJ4" s="1000"/>
      <c r="AK4" s="1000"/>
      <c r="AL4" s="1001">
        <f>140000*1.21</f>
        <v>169400</v>
      </c>
      <c r="AM4" s="1001">
        <f>267500*1.21</f>
        <v>323675</v>
      </c>
      <c r="AN4" s="1000">
        <v>0</v>
      </c>
      <c r="AO4" s="1002">
        <f>0.21*(AL4+AM4)</f>
        <v>103545.75</v>
      </c>
      <c r="AP4" s="1002">
        <v>363200</v>
      </c>
      <c r="AQ4" s="171" t="s">
        <v>1433</v>
      </c>
    </row>
    <row r="5" spans="1:43">
      <c r="A5" s="171" t="s">
        <v>4201</v>
      </c>
      <c r="B5" s="998" t="s">
        <v>4203</v>
      </c>
      <c r="C5" s="816"/>
      <c r="D5" s="171" t="s">
        <v>1637</v>
      </c>
      <c r="F5" s="719"/>
      <c r="G5" s="719"/>
      <c r="R5" s="742"/>
      <c r="W5" s="742"/>
      <c r="Y5" s="999" t="e">
        <f>(S5/V5)*100</f>
        <v>#DIV/0!</v>
      </c>
      <c r="Z5" s="999" t="e">
        <f t="shared" si="0"/>
        <v>#DIV/0!</v>
      </c>
      <c r="AA5" s="1003">
        <v>190</v>
      </c>
      <c r="AB5" s="999"/>
      <c r="AC5" s="171">
        <v>57</v>
      </c>
      <c r="AJ5" s="1000"/>
      <c r="AK5" s="1000"/>
      <c r="AL5" s="1001">
        <f>140000*1.21</f>
        <v>169400</v>
      </c>
      <c r="AM5" s="1001">
        <f>209627*1.21</f>
        <v>253648.66999999998</v>
      </c>
      <c r="AN5" s="1000">
        <v>0</v>
      </c>
      <c r="AO5" s="1002">
        <f>0.21*(AL5+AM5)</f>
        <v>88840.220699999991</v>
      </c>
      <c r="AP5" s="1002">
        <v>318627</v>
      </c>
      <c r="AQ5" s="171" t="s">
        <v>1433</v>
      </c>
    </row>
    <row r="6" spans="1:43">
      <c r="A6" s="171" t="s">
        <v>4201</v>
      </c>
      <c r="B6" s="998" t="s">
        <v>4204</v>
      </c>
      <c r="C6" s="816"/>
      <c r="D6" s="964" t="s">
        <v>4272</v>
      </c>
      <c r="F6" s="719"/>
      <c r="G6" s="719"/>
      <c r="R6" s="742"/>
      <c r="W6" s="742"/>
      <c r="Y6" s="999" t="e">
        <f>(S6/V6)*100</f>
        <v>#DIV/0!</v>
      </c>
      <c r="Z6" s="999" t="e">
        <f t="shared" si="0"/>
        <v>#DIV/0!</v>
      </c>
      <c r="AA6" s="1003">
        <v>190</v>
      </c>
      <c r="AB6" s="999"/>
      <c r="AC6" s="171">
        <v>57</v>
      </c>
      <c r="AJ6" s="1000"/>
      <c r="AK6" s="1000"/>
      <c r="AL6" s="1001">
        <f>140000*1.21</f>
        <v>169400</v>
      </c>
      <c r="AM6" s="1001">
        <f>70000*1.21</f>
        <v>84700</v>
      </c>
      <c r="AN6" s="1000">
        <v>0</v>
      </c>
      <c r="AO6" s="1002">
        <f>0.21*(AL6+AM6)</f>
        <v>53361</v>
      </c>
      <c r="AP6" s="1002">
        <v>210000</v>
      </c>
      <c r="AQ6" s="171" t="s">
        <v>1433</v>
      </c>
    </row>
    <row r="7" spans="1:43">
      <c r="A7" s="171" t="s">
        <v>4201</v>
      </c>
      <c r="B7" s="998" t="s">
        <v>1638</v>
      </c>
      <c r="C7" s="171" t="s">
        <v>4269</v>
      </c>
      <c r="D7" s="171" t="s">
        <v>4268</v>
      </c>
      <c r="F7" s="719"/>
      <c r="G7" s="719"/>
      <c r="R7" s="742"/>
      <c r="W7" s="742"/>
      <c r="Y7" s="999"/>
      <c r="Z7" s="999"/>
      <c r="AA7" s="999">
        <v>0</v>
      </c>
      <c r="AB7" s="999">
        <v>11</v>
      </c>
      <c r="AD7" s="171">
        <v>6</v>
      </c>
      <c r="AJ7" s="1000"/>
      <c r="AK7" s="1000"/>
      <c r="AL7" s="1001">
        <f>319490*1.21</f>
        <v>386582.89999999997</v>
      </c>
      <c r="AM7" s="1001">
        <v>0</v>
      </c>
      <c r="AN7" s="1000">
        <v>1</v>
      </c>
      <c r="AO7" s="1002">
        <f t="shared" ref="AO7:AO9" si="1">0.21*(AL7+AM7)</f>
        <v>81182.408999999985</v>
      </c>
      <c r="AP7" s="1002">
        <f t="shared" ref="AP7:AP9" si="2">(AL7+AM7)-AO7</f>
        <v>305400.49099999998</v>
      </c>
      <c r="AQ7" s="171" t="s">
        <v>1433</v>
      </c>
    </row>
    <row r="8" spans="1:43">
      <c r="A8" s="171" t="s">
        <v>4201</v>
      </c>
      <c r="B8" s="998" t="s">
        <v>4205</v>
      </c>
      <c r="C8" s="171" t="s">
        <v>4270</v>
      </c>
      <c r="D8" s="171" t="s">
        <v>4271</v>
      </c>
      <c r="F8" s="719"/>
      <c r="G8" s="719"/>
      <c r="H8" s="171">
        <v>2000</v>
      </c>
      <c r="R8" s="742"/>
      <c r="W8" s="742"/>
      <c r="Y8" s="999"/>
      <c r="Z8" s="999"/>
      <c r="AA8" s="999">
        <v>0</v>
      </c>
      <c r="AB8" s="999">
        <v>26</v>
      </c>
      <c r="AD8" s="171">
        <v>12</v>
      </c>
      <c r="AJ8" s="1000"/>
      <c r="AK8" s="1000"/>
      <c r="AL8" s="1001">
        <f>285000*1.21</f>
        <v>344850</v>
      </c>
      <c r="AM8" s="1001">
        <v>0</v>
      </c>
      <c r="AN8" s="1000">
        <v>2</v>
      </c>
      <c r="AO8" s="1002">
        <f t="shared" si="1"/>
        <v>72418.5</v>
      </c>
      <c r="AP8" s="1002">
        <f t="shared" si="2"/>
        <v>272431.5</v>
      </c>
      <c r="AQ8" s="171" t="s">
        <v>1433</v>
      </c>
    </row>
    <row r="9" spans="1:43">
      <c r="A9" s="171" t="s">
        <v>4201</v>
      </c>
      <c r="B9" s="998" t="s">
        <v>4206</v>
      </c>
      <c r="C9" s="171" t="s">
        <v>4270</v>
      </c>
      <c r="D9" s="171" t="s">
        <v>4271</v>
      </c>
      <c r="F9" s="719"/>
      <c r="G9" s="719"/>
      <c r="H9" s="171">
        <v>4000</v>
      </c>
      <c r="R9" s="742"/>
      <c r="W9" s="742"/>
      <c r="Y9" s="999"/>
      <c r="Z9" s="999"/>
      <c r="AA9" s="999">
        <v>0</v>
      </c>
      <c r="AB9" s="999">
        <v>26</v>
      </c>
      <c r="AD9" s="171">
        <v>12</v>
      </c>
      <c r="AJ9" s="1000"/>
      <c r="AK9" s="1000"/>
      <c r="AL9" s="1001">
        <f>360000*1.21</f>
        <v>435600</v>
      </c>
      <c r="AM9" s="1001">
        <v>0</v>
      </c>
      <c r="AN9" s="1000">
        <v>3</v>
      </c>
      <c r="AO9" s="1002">
        <f t="shared" si="1"/>
        <v>91476</v>
      </c>
      <c r="AP9" s="1002">
        <f t="shared" si="2"/>
        <v>344124</v>
      </c>
      <c r="AQ9" s="171" t="s">
        <v>1433</v>
      </c>
    </row>
    <row r="10" spans="1:43">
      <c r="A10" s="1004"/>
      <c r="B10" s="1004"/>
      <c r="C10" s="1005"/>
      <c r="D10" s="1004"/>
      <c r="E10" s="1004"/>
      <c r="F10" s="1004"/>
      <c r="G10" s="1004"/>
      <c r="H10" s="1004"/>
      <c r="I10" s="1005"/>
      <c r="J10" s="1005"/>
      <c r="K10" s="1005"/>
      <c r="L10" s="1004"/>
      <c r="M10" s="1004"/>
      <c r="N10" s="1005"/>
      <c r="O10" s="1005"/>
    </row>
    <row r="11" spans="1:43">
      <c r="A11" s="1006"/>
      <c r="I11" s="822"/>
      <c r="K11" s="1001"/>
      <c r="L11" s="1007"/>
      <c r="M11" s="1008"/>
      <c r="N11" s="1001"/>
      <c r="O11" s="1009"/>
    </row>
    <row r="12" spans="1:43" ht="86" thickBot="1">
      <c r="A12" s="987" t="s">
        <v>1250</v>
      </c>
      <c r="B12" s="987"/>
      <c r="C12" s="987"/>
      <c r="D12" s="988" t="s">
        <v>112</v>
      </c>
      <c r="E12" s="988" t="s">
        <v>923</v>
      </c>
      <c r="F12" s="987" t="s">
        <v>924</v>
      </c>
      <c r="G12" s="987"/>
      <c r="H12" s="987" t="s">
        <v>925</v>
      </c>
      <c r="I12" s="987" t="s">
        <v>926</v>
      </c>
      <c r="J12" s="987" t="s">
        <v>927</v>
      </c>
      <c r="K12" s="987" t="s">
        <v>928</v>
      </c>
      <c r="L12" s="987" t="s">
        <v>929</v>
      </c>
      <c r="M12" s="987" t="s">
        <v>930</v>
      </c>
      <c r="N12" s="987" t="s">
        <v>931</v>
      </c>
      <c r="O12" s="989" t="s">
        <v>932</v>
      </c>
      <c r="P12" s="989" t="s">
        <v>933</v>
      </c>
      <c r="Q12" s="989" t="s">
        <v>934</v>
      </c>
      <c r="R12" s="989" t="s">
        <v>935</v>
      </c>
      <c r="S12" s="989" t="s">
        <v>936</v>
      </c>
      <c r="T12" s="989" t="s">
        <v>1062</v>
      </c>
      <c r="U12" s="989" t="s">
        <v>1063</v>
      </c>
      <c r="V12" s="987" t="s">
        <v>937</v>
      </c>
      <c r="W12" s="987" t="s">
        <v>938</v>
      </c>
      <c r="X12" s="987" t="s">
        <v>939</v>
      </c>
      <c r="Y12" s="990" t="s">
        <v>1064</v>
      </c>
      <c r="Z12" s="990" t="s">
        <v>1065</v>
      </c>
      <c r="AA12" s="990" t="s">
        <v>4195</v>
      </c>
      <c r="AB12" s="990" t="s">
        <v>4196</v>
      </c>
      <c r="AC12" s="989" t="s">
        <v>940</v>
      </c>
      <c r="AD12" s="989" t="s">
        <v>4198</v>
      </c>
      <c r="AE12" s="991" t="s">
        <v>941</v>
      </c>
      <c r="AF12" s="992" t="s">
        <v>942</v>
      </c>
      <c r="AG12" s="992" t="s">
        <v>943</v>
      </c>
      <c r="AH12" s="992" t="s">
        <v>944</v>
      </c>
      <c r="AI12" s="993" t="s">
        <v>945</v>
      </c>
      <c r="AJ12" s="994" t="s">
        <v>946</v>
      </c>
      <c r="AK12" s="994" t="s">
        <v>947</v>
      </c>
      <c r="AL12" s="995" t="s">
        <v>1066</v>
      </c>
      <c r="AM12" s="995"/>
      <c r="AN12" s="996" t="s">
        <v>121</v>
      </c>
      <c r="AO12" s="994" t="s">
        <v>464</v>
      </c>
      <c r="AP12" s="997" t="s">
        <v>948</v>
      </c>
    </row>
    <row r="13" spans="1:43" ht="17" thickTop="1">
      <c r="A13" s="171" t="s">
        <v>1642</v>
      </c>
      <c r="D13" s="171" t="str">
        <f>D2</f>
        <v>Veegvuilwagen (kipper)</v>
      </c>
      <c r="E13" s="171" t="e">
        <f t="shared" ref="E13:N15" si="3">AVERAGEIF($D$2:$D$9,$D13,E$2:E$9)</f>
        <v>#DIV/0!</v>
      </c>
      <c r="F13" s="171" t="e">
        <f t="shared" si="3"/>
        <v>#DIV/0!</v>
      </c>
      <c r="G13" s="171" t="e">
        <f t="shared" si="3"/>
        <v>#DIV/0!</v>
      </c>
      <c r="H13" s="171" t="e">
        <f t="shared" si="3"/>
        <v>#DIV/0!</v>
      </c>
      <c r="I13" s="171" t="e">
        <f t="shared" si="3"/>
        <v>#DIV/0!</v>
      </c>
      <c r="J13" s="171" t="e">
        <f t="shared" si="3"/>
        <v>#DIV/0!</v>
      </c>
      <c r="K13" s="171" t="e">
        <f t="shared" si="3"/>
        <v>#DIV/0!</v>
      </c>
      <c r="L13" s="171" t="e">
        <f t="shared" si="3"/>
        <v>#DIV/0!</v>
      </c>
      <c r="M13" s="171" t="e">
        <f t="shared" si="3"/>
        <v>#DIV/0!</v>
      </c>
      <c r="N13" s="171" t="e">
        <f t="shared" si="3"/>
        <v>#DIV/0!</v>
      </c>
      <c r="O13" s="171" t="e">
        <f t="shared" ref="O13:X15" si="4">AVERAGEIF($D$2:$D$9,$D13,O$2:O$9)</f>
        <v>#DIV/0!</v>
      </c>
      <c r="P13" s="171" t="e">
        <f t="shared" si="4"/>
        <v>#DIV/0!</v>
      </c>
      <c r="Q13" s="171" t="e">
        <f t="shared" si="4"/>
        <v>#DIV/0!</v>
      </c>
      <c r="R13" s="171" t="e">
        <f t="shared" si="4"/>
        <v>#DIV/0!</v>
      </c>
      <c r="S13" s="171" t="e">
        <f t="shared" si="4"/>
        <v>#DIV/0!</v>
      </c>
      <c r="T13" s="171" t="e">
        <f t="shared" si="4"/>
        <v>#DIV/0!</v>
      </c>
      <c r="U13" s="171" t="e">
        <f t="shared" si="4"/>
        <v>#DIV/0!</v>
      </c>
      <c r="V13" s="171" t="e">
        <f t="shared" si="4"/>
        <v>#DIV/0!</v>
      </c>
      <c r="W13" s="171" t="e">
        <f t="shared" si="4"/>
        <v>#DIV/0!</v>
      </c>
      <c r="X13" s="171" t="e">
        <f t="shared" si="4"/>
        <v>#DIV/0!</v>
      </c>
      <c r="Y13" s="1000" t="e">
        <f t="shared" ref="Y13:AH15" si="5">AVERAGEIF($D$2:$D$9,$D13,Y$2:Y$9)</f>
        <v>#DIV/0!</v>
      </c>
      <c r="Z13" s="1000" t="e">
        <f t="shared" si="5"/>
        <v>#DIV/0!</v>
      </c>
      <c r="AA13" s="1000">
        <f t="shared" si="5"/>
        <v>33</v>
      </c>
      <c r="AB13" s="1000" t="e">
        <f t="shared" si="5"/>
        <v>#DIV/0!</v>
      </c>
      <c r="AC13" s="171">
        <f t="shared" si="5"/>
        <v>10</v>
      </c>
      <c r="AD13" s="171" t="e">
        <f t="shared" si="5"/>
        <v>#DIV/0!</v>
      </c>
      <c r="AE13" s="171" t="e">
        <f t="shared" si="5"/>
        <v>#DIV/0!</v>
      </c>
      <c r="AF13" s="171" t="e">
        <f t="shared" si="5"/>
        <v>#DIV/0!</v>
      </c>
      <c r="AG13" s="171" t="e">
        <f t="shared" si="5"/>
        <v>#DIV/0!</v>
      </c>
      <c r="AH13" s="171" t="e">
        <f t="shared" si="5"/>
        <v>#DIV/0!</v>
      </c>
      <c r="AI13" s="171" t="e">
        <f t="shared" ref="AI13:AP15" si="6">AVERAGEIF($D$2:$D$9,$D13,AI$2:AI$9)</f>
        <v>#DIV/0!</v>
      </c>
      <c r="AJ13" s="1000" t="e">
        <f t="shared" si="6"/>
        <v>#DIV/0!</v>
      </c>
      <c r="AK13" s="1000" t="e">
        <f t="shared" si="6"/>
        <v>#DIV/0!</v>
      </c>
      <c r="AL13" s="1001">
        <f t="shared" si="6"/>
        <v>70785</v>
      </c>
      <c r="AM13" s="1001">
        <f t="shared" si="6"/>
        <v>0</v>
      </c>
      <c r="AN13" s="1000">
        <f t="shared" si="6"/>
        <v>0</v>
      </c>
      <c r="AO13" s="1002">
        <f t="shared" si="6"/>
        <v>14864.849999999999</v>
      </c>
      <c r="AP13" s="1002">
        <f t="shared" si="6"/>
        <v>58460.074999999997</v>
      </c>
    </row>
    <row r="14" spans="1:43">
      <c r="A14" s="171" t="s">
        <v>1643</v>
      </c>
      <c r="D14" s="171" t="s">
        <v>1637</v>
      </c>
      <c r="E14" s="171" t="e">
        <f t="shared" si="3"/>
        <v>#DIV/0!</v>
      </c>
      <c r="F14" s="171" t="e">
        <f t="shared" si="3"/>
        <v>#DIV/0!</v>
      </c>
      <c r="G14" s="171" t="e">
        <f t="shared" si="3"/>
        <v>#DIV/0!</v>
      </c>
      <c r="H14" s="171" t="e">
        <f t="shared" si="3"/>
        <v>#DIV/0!</v>
      </c>
      <c r="I14" s="171" t="e">
        <f t="shared" si="3"/>
        <v>#DIV/0!</v>
      </c>
      <c r="J14" s="171" t="e">
        <f t="shared" si="3"/>
        <v>#DIV/0!</v>
      </c>
      <c r="K14" s="171" t="e">
        <f t="shared" si="3"/>
        <v>#DIV/0!</v>
      </c>
      <c r="L14" s="171" t="e">
        <f t="shared" si="3"/>
        <v>#DIV/0!</v>
      </c>
      <c r="M14" s="171" t="e">
        <f t="shared" si="3"/>
        <v>#DIV/0!</v>
      </c>
      <c r="N14" s="171" t="e">
        <f t="shared" si="3"/>
        <v>#DIV/0!</v>
      </c>
      <c r="O14" s="171" t="e">
        <f t="shared" si="4"/>
        <v>#DIV/0!</v>
      </c>
      <c r="P14" s="171" t="e">
        <f t="shared" si="4"/>
        <v>#DIV/0!</v>
      </c>
      <c r="Q14" s="171" t="e">
        <f t="shared" si="4"/>
        <v>#DIV/0!</v>
      </c>
      <c r="R14" s="171" t="e">
        <f t="shared" si="4"/>
        <v>#DIV/0!</v>
      </c>
      <c r="S14" s="171" t="e">
        <f t="shared" si="4"/>
        <v>#DIV/0!</v>
      </c>
      <c r="T14" s="171" t="e">
        <f t="shared" si="4"/>
        <v>#DIV/0!</v>
      </c>
      <c r="U14" s="171" t="e">
        <f t="shared" si="4"/>
        <v>#DIV/0!</v>
      </c>
      <c r="V14" s="171" t="e">
        <f t="shared" si="4"/>
        <v>#DIV/0!</v>
      </c>
      <c r="W14" s="171" t="e">
        <f t="shared" si="4"/>
        <v>#DIV/0!</v>
      </c>
      <c r="X14" s="171" t="e">
        <f t="shared" si="4"/>
        <v>#DIV/0!</v>
      </c>
      <c r="Y14" s="1000" t="e">
        <f t="shared" si="5"/>
        <v>#DIV/0!</v>
      </c>
      <c r="Z14" s="1000" t="e">
        <f t="shared" si="5"/>
        <v>#DIV/0!</v>
      </c>
      <c r="AA14" s="1000">
        <f t="shared" si="5"/>
        <v>190</v>
      </c>
      <c r="AB14" s="1000" t="e">
        <f t="shared" si="5"/>
        <v>#DIV/0!</v>
      </c>
      <c r="AC14" s="171">
        <f t="shared" si="5"/>
        <v>57</v>
      </c>
      <c r="AD14" s="171" t="e">
        <f t="shared" si="5"/>
        <v>#DIV/0!</v>
      </c>
      <c r="AE14" s="171" t="e">
        <f t="shared" si="5"/>
        <v>#DIV/0!</v>
      </c>
      <c r="AF14" s="171" t="e">
        <f t="shared" si="5"/>
        <v>#DIV/0!</v>
      </c>
      <c r="AG14" s="171" t="e">
        <f t="shared" si="5"/>
        <v>#DIV/0!</v>
      </c>
      <c r="AH14" s="171" t="e">
        <f t="shared" si="5"/>
        <v>#DIV/0!</v>
      </c>
      <c r="AI14" s="171" t="e">
        <f t="shared" si="6"/>
        <v>#DIV/0!</v>
      </c>
      <c r="AJ14" s="1000" t="e">
        <f t="shared" si="6"/>
        <v>#DIV/0!</v>
      </c>
      <c r="AK14" s="1000" t="e">
        <f t="shared" si="6"/>
        <v>#DIV/0!</v>
      </c>
      <c r="AL14" s="1001">
        <f t="shared" si="6"/>
        <v>169400</v>
      </c>
      <c r="AM14" s="1001">
        <f t="shared" si="6"/>
        <v>288661.83499999996</v>
      </c>
      <c r="AN14" s="1000">
        <f t="shared" si="6"/>
        <v>0</v>
      </c>
      <c r="AO14" s="1002">
        <f t="shared" si="6"/>
        <v>96192.985350000003</v>
      </c>
      <c r="AP14" s="1002">
        <f t="shared" si="6"/>
        <v>340913.5</v>
      </c>
    </row>
    <row r="15" spans="1:43">
      <c r="A15" s="171" t="s">
        <v>1644</v>
      </c>
      <c r="D15" s="171" t="s">
        <v>4271</v>
      </c>
      <c r="E15" s="171" t="e">
        <f t="shared" si="3"/>
        <v>#DIV/0!</v>
      </c>
      <c r="F15" s="171" t="e">
        <f t="shared" si="3"/>
        <v>#DIV/0!</v>
      </c>
      <c r="G15" s="171" t="e">
        <f t="shared" si="3"/>
        <v>#DIV/0!</v>
      </c>
      <c r="H15" s="171">
        <f t="shared" si="3"/>
        <v>3000</v>
      </c>
      <c r="I15" s="171" t="e">
        <f t="shared" si="3"/>
        <v>#DIV/0!</v>
      </c>
      <c r="J15" s="171" t="e">
        <f t="shared" si="3"/>
        <v>#DIV/0!</v>
      </c>
      <c r="K15" s="171" t="e">
        <f t="shared" si="3"/>
        <v>#DIV/0!</v>
      </c>
      <c r="L15" s="171" t="e">
        <f t="shared" si="3"/>
        <v>#DIV/0!</v>
      </c>
      <c r="M15" s="171" t="e">
        <f t="shared" si="3"/>
        <v>#DIV/0!</v>
      </c>
      <c r="N15" s="171" t="e">
        <f t="shared" si="3"/>
        <v>#DIV/0!</v>
      </c>
      <c r="O15" s="171" t="e">
        <f t="shared" si="4"/>
        <v>#DIV/0!</v>
      </c>
      <c r="P15" s="171" t="e">
        <f t="shared" si="4"/>
        <v>#DIV/0!</v>
      </c>
      <c r="Q15" s="171" t="e">
        <f t="shared" si="4"/>
        <v>#DIV/0!</v>
      </c>
      <c r="R15" s="171" t="e">
        <f t="shared" si="4"/>
        <v>#DIV/0!</v>
      </c>
      <c r="S15" s="171" t="e">
        <f t="shared" si="4"/>
        <v>#DIV/0!</v>
      </c>
      <c r="T15" s="171" t="e">
        <f t="shared" si="4"/>
        <v>#DIV/0!</v>
      </c>
      <c r="U15" s="171" t="e">
        <f t="shared" si="4"/>
        <v>#DIV/0!</v>
      </c>
      <c r="V15" s="171" t="e">
        <f t="shared" si="4"/>
        <v>#DIV/0!</v>
      </c>
      <c r="W15" s="171" t="e">
        <f t="shared" si="4"/>
        <v>#DIV/0!</v>
      </c>
      <c r="X15" s="171" t="e">
        <f t="shared" si="4"/>
        <v>#DIV/0!</v>
      </c>
      <c r="Y15" s="1000" t="e">
        <f t="shared" si="5"/>
        <v>#DIV/0!</v>
      </c>
      <c r="Z15" s="1000" t="e">
        <f t="shared" si="5"/>
        <v>#DIV/0!</v>
      </c>
      <c r="AA15" s="1000">
        <f t="shared" si="5"/>
        <v>0</v>
      </c>
      <c r="AB15" s="1000">
        <f t="shared" si="5"/>
        <v>26</v>
      </c>
      <c r="AC15" s="171" t="e">
        <f t="shared" si="5"/>
        <v>#DIV/0!</v>
      </c>
      <c r="AD15" s="171">
        <f t="shared" si="5"/>
        <v>12</v>
      </c>
      <c r="AE15" s="171" t="e">
        <f t="shared" si="5"/>
        <v>#DIV/0!</v>
      </c>
      <c r="AF15" s="171" t="e">
        <f t="shared" si="5"/>
        <v>#DIV/0!</v>
      </c>
      <c r="AG15" s="171" t="e">
        <f t="shared" si="5"/>
        <v>#DIV/0!</v>
      </c>
      <c r="AH15" s="171" t="e">
        <f t="shared" si="5"/>
        <v>#DIV/0!</v>
      </c>
      <c r="AI15" s="171" t="e">
        <f t="shared" si="6"/>
        <v>#DIV/0!</v>
      </c>
      <c r="AJ15" s="1000" t="e">
        <f t="shared" si="6"/>
        <v>#DIV/0!</v>
      </c>
      <c r="AK15" s="1000" t="e">
        <f t="shared" si="6"/>
        <v>#DIV/0!</v>
      </c>
      <c r="AL15" s="1001">
        <f t="shared" si="6"/>
        <v>390225</v>
      </c>
      <c r="AM15" s="1001">
        <f t="shared" si="6"/>
        <v>0</v>
      </c>
      <c r="AN15" s="1000">
        <f t="shared" si="6"/>
        <v>2.5</v>
      </c>
      <c r="AO15" s="1002">
        <f t="shared" si="6"/>
        <v>81947.25</v>
      </c>
      <c r="AP15" s="1002">
        <f t="shared" si="6"/>
        <v>308277.75</v>
      </c>
    </row>
    <row r="16" spans="1:43">
      <c r="AL16" s="1001"/>
      <c r="AM16" s="1001"/>
      <c r="AN16" s="1000"/>
      <c r="AO16" s="1002"/>
      <c r="AP16" s="1002"/>
    </row>
  </sheetData>
  <sheetProtection algorithmName="SHA-512" hashValue="DtjYCE29HZHFFpYXkrf3ZZRb04JVKMVrKYw5gB8eF8nrjhKBa9e02o71vaS8yIRzkxgmoPEV1HHovGMJgkC5/A==" saltValue="IuRhuNYHkHieGAtUcxPEPA=="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5A9FC-9334-BE4C-AA3A-EEC4AF4E797A}">
  <sheetPr codeName="Blad3">
    <tabColor theme="4"/>
  </sheetPr>
  <dimension ref="A1:BJ73"/>
  <sheetViews>
    <sheetView workbookViewId="0">
      <selection sqref="A1:XFD1048576"/>
    </sheetView>
  </sheetViews>
  <sheetFormatPr baseColWidth="10" defaultRowHeight="16"/>
  <cols>
    <col min="1" max="1" width="10.83203125" style="171"/>
    <col min="2" max="2" width="31.6640625" style="171" customWidth="1"/>
    <col min="3" max="3" width="39" style="171" bestFit="1" customWidth="1"/>
    <col min="4" max="4" width="26.6640625" style="171" bestFit="1" customWidth="1"/>
    <col min="5" max="6" width="10.83203125" style="171"/>
    <col min="7" max="7" width="12.6640625" style="171" bestFit="1" customWidth="1"/>
    <col min="8" max="8" width="28.33203125" style="171" customWidth="1"/>
    <col min="9" max="9" width="26.5" style="171" customWidth="1"/>
    <col min="10" max="23" width="10.83203125" style="171"/>
    <col min="24" max="24" width="12.83203125" style="171" customWidth="1"/>
    <col min="25" max="33" width="10.83203125" style="171"/>
    <col min="34" max="34" width="13" style="171" customWidth="1"/>
    <col min="35" max="39" width="11" style="171" bestFit="1" customWidth="1"/>
    <col min="40" max="40" width="12.6640625" style="171" customWidth="1"/>
    <col min="41" max="46" width="11" style="171" bestFit="1" customWidth="1"/>
    <col min="47" max="47" width="11.6640625" style="171" bestFit="1" customWidth="1"/>
    <col min="48" max="48" width="13.6640625" style="171" bestFit="1" customWidth="1"/>
    <col min="49" max="49" width="11" style="171" bestFit="1" customWidth="1"/>
    <col min="50" max="50" width="13.6640625" style="171" bestFit="1" customWidth="1"/>
    <col min="51" max="51" width="17.33203125" style="171" bestFit="1" customWidth="1"/>
    <col min="52" max="53" width="10.83203125" style="171"/>
    <col min="54" max="54" width="15.5" style="171" customWidth="1"/>
    <col min="55" max="56" width="10.83203125" style="171"/>
    <col min="57" max="57" width="13.33203125" style="171" customWidth="1"/>
    <col min="58" max="58" width="40.1640625" style="171" customWidth="1"/>
    <col min="59" max="59" width="138.1640625" style="171" bestFit="1" customWidth="1"/>
    <col min="60" max="16384" width="10.83203125" style="171"/>
  </cols>
  <sheetData>
    <row r="1" spans="1:59" ht="17" thickBot="1">
      <c r="B1" s="1599" t="s">
        <v>1054</v>
      </c>
      <c r="C1" s="1600"/>
      <c r="D1" s="1600"/>
      <c r="E1" s="1600"/>
      <c r="F1" s="1600"/>
      <c r="G1" s="1600"/>
      <c r="H1" s="1600"/>
      <c r="I1" s="1601"/>
      <c r="J1" s="1605" t="s">
        <v>1203</v>
      </c>
      <c r="K1" s="1606"/>
      <c r="L1" s="1606"/>
      <c r="M1" s="1606"/>
      <c r="N1" s="1606"/>
      <c r="O1" s="1606"/>
      <c r="P1" s="1606"/>
      <c r="Q1" s="1606"/>
      <c r="R1" s="1606"/>
      <c r="S1" s="1606"/>
      <c r="T1" s="1606"/>
      <c r="U1" s="1606"/>
      <c r="V1" s="1606"/>
      <c r="W1" s="1606"/>
      <c r="X1" s="1606"/>
      <c r="Y1" s="1606"/>
      <c r="Z1" s="1606"/>
      <c r="AA1" s="1606"/>
      <c r="AB1" s="1607"/>
      <c r="AC1" s="1592" t="s">
        <v>1056</v>
      </c>
      <c r="AD1" s="1593"/>
      <c r="AE1" s="1593"/>
      <c r="AF1" s="1593"/>
      <c r="AG1" s="1593"/>
      <c r="AH1" s="1593"/>
      <c r="AI1" s="1593"/>
      <c r="AJ1" s="1593"/>
      <c r="AK1" s="1593"/>
      <c r="AL1" s="1593"/>
      <c r="AM1" s="1593"/>
      <c r="AN1" s="1593"/>
      <c r="AO1" s="1593"/>
      <c r="AP1" s="1593"/>
      <c r="AQ1" s="1593"/>
      <c r="AR1" s="1593"/>
      <c r="AS1" s="1593"/>
      <c r="AT1" s="1593"/>
      <c r="AU1" s="1593"/>
      <c r="AV1" s="1593"/>
      <c r="AW1" s="1593"/>
      <c r="AX1" s="1593"/>
      <c r="AY1" s="1593"/>
      <c r="AZ1" s="1593"/>
      <c r="BA1" s="1593"/>
      <c r="BB1" s="1594" t="s">
        <v>1057</v>
      </c>
      <c r="BC1" s="1595"/>
      <c r="BD1" s="1595"/>
      <c r="BE1" s="1595"/>
      <c r="BF1" s="1595"/>
      <c r="BG1" s="1010"/>
    </row>
    <row r="2" spans="1:59" ht="17" thickBot="1">
      <c r="B2" s="1602"/>
      <c r="C2" s="1603"/>
      <c r="D2" s="1603"/>
      <c r="E2" s="1603"/>
      <c r="F2" s="1603"/>
      <c r="G2" s="1603"/>
      <c r="H2" s="1603"/>
      <c r="I2" s="1604"/>
      <c r="J2" s="1596"/>
      <c r="K2" s="1597"/>
      <c r="L2" s="1597"/>
      <c r="M2" s="1597"/>
      <c r="N2" s="1597"/>
      <c r="O2" s="1597"/>
      <c r="P2" s="1597"/>
      <c r="Q2" s="1597"/>
      <c r="R2" s="1597"/>
      <c r="S2" s="1597"/>
      <c r="T2" s="1597"/>
      <c r="U2" s="1597"/>
      <c r="V2" s="1597"/>
      <c r="W2" s="1597"/>
      <c r="X2" s="1597"/>
      <c r="Y2" s="1597"/>
      <c r="Z2" s="1597"/>
      <c r="AA2" s="1597"/>
      <c r="AB2" s="1608"/>
      <c r="AC2" s="1590" t="s">
        <v>1202</v>
      </c>
      <c r="AD2" s="1591"/>
      <c r="AE2" s="1591"/>
      <c r="AF2" s="1598"/>
      <c r="AG2" s="1590" t="s">
        <v>1201</v>
      </c>
      <c r="AH2" s="1591"/>
      <c r="AI2" s="1591"/>
      <c r="AJ2" s="1591"/>
      <c r="AK2" s="1591"/>
      <c r="AL2" s="1591"/>
      <c r="AM2" s="1598"/>
      <c r="AN2" s="493"/>
      <c r="AO2" s="1590" t="s">
        <v>1200</v>
      </c>
      <c r="AP2" s="1591"/>
      <c r="AQ2" s="1591"/>
      <c r="AR2" s="1591"/>
      <c r="AS2" s="1591"/>
      <c r="AT2" s="1598"/>
      <c r="AU2" s="1590" t="s">
        <v>1199</v>
      </c>
      <c r="AV2" s="1591"/>
      <c r="AW2" s="1591"/>
      <c r="AX2" s="1591"/>
      <c r="AY2" s="1591"/>
      <c r="AZ2" s="1591"/>
      <c r="BA2" s="1591"/>
      <c r="BB2" s="1596"/>
      <c r="BC2" s="1597"/>
      <c r="BD2" s="1597"/>
      <c r="BE2" s="1597"/>
      <c r="BF2" s="1597"/>
      <c r="BG2" s="1010"/>
    </row>
    <row r="3" spans="1:59" ht="86" thickBot="1">
      <c r="A3" s="989" t="s">
        <v>1242</v>
      </c>
      <c r="B3" s="989" t="s">
        <v>921</v>
      </c>
      <c r="C3" s="989" t="s">
        <v>565</v>
      </c>
      <c r="D3" s="989" t="s">
        <v>1198</v>
      </c>
      <c r="E3" s="989" t="s">
        <v>1197</v>
      </c>
      <c r="F3" s="989" t="s">
        <v>1196</v>
      </c>
      <c r="G3" s="989" t="s">
        <v>1195</v>
      </c>
      <c r="H3" s="989" t="s">
        <v>112</v>
      </c>
      <c r="I3" s="989" t="s">
        <v>1909</v>
      </c>
      <c r="J3" s="989" t="s">
        <v>1194</v>
      </c>
      <c r="K3" s="989" t="s">
        <v>1193</v>
      </c>
      <c r="L3" s="989" t="s">
        <v>1192</v>
      </c>
      <c r="M3" s="989" t="s">
        <v>1191</v>
      </c>
      <c r="N3" s="989" t="s">
        <v>1190</v>
      </c>
      <c r="O3" s="989" t="s">
        <v>1189</v>
      </c>
      <c r="P3" s="989" t="s">
        <v>1188</v>
      </c>
      <c r="Q3" s="989" t="s">
        <v>1187</v>
      </c>
      <c r="R3" s="989" t="s">
        <v>1186</v>
      </c>
      <c r="S3" s="989" t="s">
        <v>1185</v>
      </c>
      <c r="T3" s="989" t="s">
        <v>1184</v>
      </c>
      <c r="U3" s="989" t="s">
        <v>932</v>
      </c>
      <c r="V3" s="989" t="s">
        <v>933</v>
      </c>
      <c r="W3" s="989" t="s">
        <v>934</v>
      </c>
      <c r="X3" s="989" t="s">
        <v>1183</v>
      </c>
      <c r="Y3" s="989" t="s">
        <v>927</v>
      </c>
      <c r="Z3" s="989" t="s">
        <v>928</v>
      </c>
      <c r="AA3" s="989" t="s">
        <v>929</v>
      </c>
      <c r="AB3" s="989" t="s">
        <v>931</v>
      </c>
      <c r="AC3" s="989" t="s">
        <v>935</v>
      </c>
      <c r="AD3" s="989" t="s">
        <v>936</v>
      </c>
      <c r="AE3" s="989" t="s">
        <v>1062</v>
      </c>
      <c r="AF3" s="989" t="s">
        <v>1182</v>
      </c>
      <c r="AG3" s="989" t="s">
        <v>1064</v>
      </c>
      <c r="AH3" s="989" t="s">
        <v>1065</v>
      </c>
      <c r="AI3" s="989" t="s">
        <v>1181</v>
      </c>
      <c r="AJ3" s="989" t="s">
        <v>1180</v>
      </c>
      <c r="AK3" s="989" t="s">
        <v>1179</v>
      </c>
      <c r="AL3" s="989" t="s">
        <v>1178</v>
      </c>
      <c r="AM3" s="989" t="s">
        <v>1177</v>
      </c>
      <c r="AN3" s="989" t="s">
        <v>1176</v>
      </c>
      <c r="AO3" s="989" t="s">
        <v>1175</v>
      </c>
      <c r="AP3" s="989" t="s">
        <v>1174</v>
      </c>
      <c r="AQ3" s="989" t="s">
        <v>1173</v>
      </c>
      <c r="AR3" s="989" t="s">
        <v>1172</v>
      </c>
      <c r="AS3" s="989" t="s">
        <v>1171</v>
      </c>
      <c r="AT3" s="989" t="s">
        <v>1170</v>
      </c>
      <c r="AU3" s="1011" t="s">
        <v>941</v>
      </c>
      <c r="AV3" s="1012" t="s">
        <v>942</v>
      </c>
      <c r="AW3" s="1012" t="s">
        <v>943</v>
      </c>
      <c r="AX3" s="1012" t="s">
        <v>944</v>
      </c>
      <c r="AY3" s="1011" t="s">
        <v>945</v>
      </c>
      <c r="AZ3" s="1011" t="s">
        <v>946</v>
      </c>
      <c r="BA3" s="1011" t="s">
        <v>947</v>
      </c>
      <c r="BB3" s="989" t="s">
        <v>1066</v>
      </c>
      <c r="BC3" s="989" t="s">
        <v>121</v>
      </c>
      <c r="BD3" s="989" t="s">
        <v>464</v>
      </c>
      <c r="BE3" s="989" t="s">
        <v>1169</v>
      </c>
      <c r="BF3" s="989" t="s">
        <v>1168</v>
      </c>
      <c r="BG3" s="1013" t="s">
        <v>1167</v>
      </c>
    </row>
    <row r="4" spans="1:59" ht="16" customHeight="1" thickTop="1">
      <c r="A4" s="171" t="s">
        <v>848</v>
      </c>
      <c r="B4" s="171" t="s">
        <v>1166</v>
      </c>
      <c r="C4" s="829" t="s">
        <v>1911</v>
      </c>
      <c r="D4" s="1014" t="s">
        <v>1091</v>
      </c>
      <c r="E4" s="719"/>
      <c r="F4" s="719"/>
      <c r="G4" s="1014" t="s">
        <v>1080</v>
      </c>
      <c r="H4" s="171" t="s">
        <v>1132</v>
      </c>
      <c r="I4" s="719" t="str">
        <f t="shared" ref="I4:I35" si="0">IF($A4="ja",H4,"")</f>
        <v xml:space="preserve">Large (&gt; 7m3 storage space) </v>
      </c>
      <c r="K4" s="719" t="s">
        <v>1165</v>
      </c>
      <c r="M4" s="813"/>
      <c r="N4" s="813"/>
      <c r="O4" s="813"/>
      <c r="P4" s="813"/>
      <c r="Q4" s="813"/>
      <c r="R4" s="813"/>
      <c r="S4" s="813"/>
      <c r="T4" s="813"/>
      <c r="U4" s="1015"/>
      <c r="V4" s="1015"/>
      <c r="W4" s="1015"/>
      <c r="X4" s="813"/>
      <c r="Y4" s="1016">
        <v>80</v>
      </c>
      <c r="Z4" s="742">
        <f>Z8/Y8*Y4</f>
        <v>108.80000000000001</v>
      </c>
      <c r="AA4" s="813"/>
      <c r="AB4" s="813"/>
      <c r="AC4" s="742"/>
      <c r="AD4" s="719">
        <v>56</v>
      </c>
      <c r="AE4" s="719"/>
      <c r="AF4" s="719"/>
      <c r="AG4" s="719"/>
      <c r="AH4" s="719"/>
      <c r="AI4" s="719">
        <v>120</v>
      </c>
      <c r="AJ4" s="719"/>
      <c r="AK4" s="719"/>
      <c r="AL4" s="719"/>
      <c r="AM4" s="1017"/>
      <c r="AN4" s="1017"/>
      <c r="AO4" s="742"/>
      <c r="AP4" s="813">
        <f>AD4/AI4*100</f>
        <v>46.666666666666664</v>
      </c>
      <c r="AQ4" s="742"/>
      <c r="AR4" s="742"/>
      <c r="AS4" s="742"/>
      <c r="AT4" s="742"/>
      <c r="AU4" s="171">
        <v>22</v>
      </c>
      <c r="AV4" s="732"/>
      <c r="AW4" s="829"/>
      <c r="AX4" s="829" t="s">
        <v>962</v>
      </c>
      <c r="AZ4" s="1018">
        <v>122</v>
      </c>
      <c r="BA4" s="742"/>
      <c r="BB4" s="1001">
        <f>BE4+BD4</f>
        <v>106480</v>
      </c>
      <c r="BC4" s="1019">
        <v>0</v>
      </c>
      <c r="BD4" s="1020">
        <f t="shared" ref="BD4:BD9" si="1">21%*BE4</f>
        <v>18480</v>
      </c>
      <c r="BE4" s="1019">
        <v>88000</v>
      </c>
      <c r="BG4" s="829" t="s">
        <v>1647</v>
      </c>
    </row>
    <row r="5" spans="1:59" ht="16" customHeight="1">
      <c r="A5" s="171" t="s">
        <v>848</v>
      </c>
      <c r="B5" s="171" t="s">
        <v>1166</v>
      </c>
      <c r="C5" s="829" t="s">
        <v>1648</v>
      </c>
      <c r="D5" s="1014" t="s">
        <v>1091</v>
      </c>
      <c r="E5" s="1021"/>
      <c r="F5" s="1021"/>
      <c r="G5" s="1014" t="s">
        <v>1080</v>
      </c>
      <c r="H5" s="171" t="s">
        <v>1132</v>
      </c>
      <c r="I5" s="719" t="str">
        <f t="shared" si="0"/>
        <v xml:space="preserve">Large (&gt; 7m3 storage space) </v>
      </c>
      <c r="J5" s="719"/>
      <c r="K5" s="719" t="s">
        <v>1165</v>
      </c>
      <c r="M5" s="1022"/>
      <c r="N5" s="1018"/>
      <c r="O5" s="1018"/>
      <c r="P5" s="1018"/>
      <c r="Q5" s="1018"/>
      <c r="R5" s="1018"/>
      <c r="S5" s="1018"/>
      <c r="T5" s="1018"/>
      <c r="U5" s="1015"/>
      <c r="V5" s="1015"/>
      <c r="W5" s="1015"/>
      <c r="X5" s="742"/>
      <c r="Y5" s="1016">
        <v>80</v>
      </c>
      <c r="Z5" s="742">
        <f>Z9/Y9*Y5</f>
        <v>108.80000000000001</v>
      </c>
      <c r="AA5" s="742"/>
      <c r="AB5" s="1018"/>
      <c r="AC5" s="742"/>
      <c r="AD5" s="829">
        <v>84</v>
      </c>
      <c r="AE5" s="719"/>
      <c r="AF5" s="1018"/>
      <c r="AG5" s="829"/>
      <c r="AH5" s="719"/>
      <c r="AI5" s="719">
        <v>200</v>
      </c>
      <c r="AJ5" s="719"/>
      <c r="AK5" s="719"/>
      <c r="AL5" s="719"/>
      <c r="AM5" s="1017"/>
      <c r="AN5" s="1017"/>
      <c r="AO5" s="742"/>
      <c r="AP5" s="813">
        <f>AD5/AI5*100</f>
        <v>42</v>
      </c>
      <c r="AQ5" s="742"/>
      <c r="AR5" s="742"/>
      <c r="AS5" s="742"/>
      <c r="AT5" s="742"/>
      <c r="AU5" s="719">
        <v>22</v>
      </c>
      <c r="AV5" s="732"/>
      <c r="AX5" s="829" t="s">
        <v>962</v>
      </c>
      <c r="AY5" s="829"/>
      <c r="AZ5" s="1016">
        <v>185</v>
      </c>
      <c r="BA5" s="742"/>
      <c r="BB5" s="1001">
        <f>BE5+BD5</f>
        <v>121000</v>
      </c>
      <c r="BC5" s="1019">
        <v>0</v>
      </c>
      <c r="BD5" s="1020">
        <f t="shared" si="1"/>
        <v>21000</v>
      </c>
      <c r="BE5" s="1019">
        <v>100000</v>
      </c>
      <c r="BF5" s="1023"/>
      <c r="BG5" s="829" t="s">
        <v>1647</v>
      </c>
    </row>
    <row r="6" spans="1:59" ht="16" customHeight="1">
      <c r="A6" s="171" t="s">
        <v>848</v>
      </c>
      <c r="B6" s="171" t="s">
        <v>1166</v>
      </c>
      <c r="C6" s="829" t="s">
        <v>1649</v>
      </c>
      <c r="D6" s="1014" t="s">
        <v>1091</v>
      </c>
      <c r="E6" s="719"/>
      <c r="F6" s="719"/>
      <c r="G6" s="1014" t="s">
        <v>1080</v>
      </c>
      <c r="H6" s="171" t="s">
        <v>1132</v>
      </c>
      <c r="I6" s="719" t="str">
        <f t="shared" si="0"/>
        <v xml:space="preserve">Large (&gt; 7m3 storage space) </v>
      </c>
      <c r="K6" s="719" t="s">
        <v>1165</v>
      </c>
      <c r="M6" s="813"/>
      <c r="N6" s="813"/>
      <c r="O6" s="813"/>
      <c r="P6" s="813"/>
      <c r="Q6" s="813"/>
      <c r="R6" s="813"/>
      <c r="S6" s="813"/>
      <c r="T6" s="813"/>
      <c r="U6" s="1015"/>
      <c r="V6" s="1015"/>
      <c r="W6" s="1015"/>
      <c r="X6" s="813"/>
      <c r="Y6" s="1016">
        <v>80</v>
      </c>
      <c r="Z6" s="742">
        <f>Z10/Y10*Y6</f>
        <v>109.1764705882353</v>
      </c>
      <c r="AA6" s="813"/>
      <c r="AB6" s="813"/>
      <c r="AC6" s="742"/>
      <c r="AD6" s="719">
        <v>56</v>
      </c>
      <c r="AE6" s="719"/>
      <c r="AF6" s="719"/>
      <c r="AG6" s="719"/>
      <c r="AH6" s="719"/>
      <c r="AI6" s="719">
        <v>120</v>
      </c>
      <c r="AJ6" s="719"/>
      <c r="AK6" s="719"/>
      <c r="AL6" s="719"/>
      <c r="AM6" s="1017"/>
      <c r="AN6" s="1017"/>
      <c r="AO6" s="742"/>
      <c r="AP6" s="813">
        <f>AD6/AI6*100</f>
        <v>46.666666666666664</v>
      </c>
      <c r="AQ6" s="742"/>
      <c r="AR6" s="742"/>
      <c r="AS6" s="742"/>
      <c r="AT6" s="742"/>
      <c r="AU6" s="171">
        <v>22</v>
      </c>
      <c r="AV6" s="732"/>
      <c r="AW6" s="829"/>
      <c r="AX6" s="829" t="s">
        <v>962</v>
      </c>
      <c r="AZ6" s="1018">
        <v>122</v>
      </c>
      <c r="BA6" s="742"/>
      <c r="BB6" s="1001">
        <f>BE6+BD6</f>
        <v>106480</v>
      </c>
      <c r="BC6" s="1019">
        <v>0</v>
      </c>
      <c r="BD6" s="1020">
        <f t="shared" si="1"/>
        <v>18480</v>
      </c>
      <c r="BE6" s="1019">
        <v>88000</v>
      </c>
      <c r="BG6" s="829" t="s">
        <v>1647</v>
      </c>
    </row>
    <row r="7" spans="1:59" ht="16" customHeight="1">
      <c r="A7" s="171" t="s">
        <v>848</v>
      </c>
      <c r="B7" s="171" t="s">
        <v>1166</v>
      </c>
      <c r="C7" s="829" t="s">
        <v>1650</v>
      </c>
      <c r="D7" s="1014" t="s">
        <v>1091</v>
      </c>
      <c r="E7" s="1021"/>
      <c r="F7" s="1021"/>
      <c r="G7" s="1014" t="s">
        <v>1080</v>
      </c>
      <c r="H7" s="1014" t="s">
        <v>1132</v>
      </c>
      <c r="I7" s="719" t="str">
        <f t="shared" si="0"/>
        <v xml:space="preserve">Large (&gt; 7m3 storage space) </v>
      </c>
      <c r="J7" s="719"/>
      <c r="K7" s="719" t="s">
        <v>1165</v>
      </c>
      <c r="M7" s="1022"/>
      <c r="N7" s="1018"/>
      <c r="O7" s="1018"/>
      <c r="P7" s="1018"/>
      <c r="Q7" s="1018"/>
      <c r="R7" s="1018"/>
      <c r="S7" s="1018"/>
      <c r="T7" s="1018"/>
      <c r="U7" s="1015"/>
      <c r="V7" s="1015"/>
      <c r="W7" s="1015"/>
      <c r="X7" s="742"/>
      <c r="Y7" s="1016">
        <v>80</v>
      </c>
      <c r="Z7" s="742">
        <f>Z11/Y11*Y7</f>
        <v>109.1764705882353</v>
      </c>
      <c r="AA7" s="742"/>
      <c r="AB7" s="1018"/>
      <c r="AC7" s="742"/>
      <c r="AD7" s="829">
        <v>84</v>
      </c>
      <c r="AE7" s="719"/>
      <c r="AF7" s="1018"/>
      <c r="AG7" s="829"/>
      <c r="AH7" s="719"/>
      <c r="AI7" s="719">
        <v>200</v>
      </c>
      <c r="AJ7" s="719"/>
      <c r="AK7" s="719"/>
      <c r="AL7" s="719"/>
      <c r="AM7" s="1017"/>
      <c r="AN7" s="1017"/>
      <c r="AO7" s="742"/>
      <c r="AP7" s="813">
        <f>AD7/AI7*100</f>
        <v>42</v>
      </c>
      <c r="AQ7" s="742"/>
      <c r="AR7" s="742"/>
      <c r="AS7" s="742"/>
      <c r="AT7" s="742"/>
      <c r="AU7" s="719">
        <v>22</v>
      </c>
      <c r="AV7" s="732"/>
      <c r="AX7" s="829" t="s">
        <v>962</v>
      </c>
      <c r="AY7" s="829"/>
      <c r="AZ7" s="1016">
        <v>185</v>
      </c>
      <c r="BA7" s="742"/>
      <c r="BB7" s="1001">
        <f>BE7+BD7</f>
        <v>121000</v>
      </c>
      <c r="BC7" s="1019">
        <v>0</v>
      </c>
      <c r="BD7" s="1020">
        <f t="shared" si="1"/>
        <v>21000</v>
      </c>
      <c r="BE7" s="1019">
        <v>100000</v>
      </c>
      <c r="BF7" s="1023"/>
      <c r="BG7" s="829" t="s">
        <v>1647</v>
      </c>
    </row>
    <row r="8" spans="1:59" ht="16" customHeight="1">
      <c r="A8" s="171" t="s">
        <v>848</v>
      </c>
      <c r="B8" s="171" t="s">
        <v>1164</v>
      </c>
      <c r="C8" s="829" t="s">
        <v>1651</v>
      </c>
      <c r="D8" s="829" t="s">
        <v>1091</v>
      </c>
      <c r="E8" s="1021">
        <v>43818</v>
      </c>
      <c r="F8" s="1021"/>
      <c r="G8" s="829" t="s">
        <v>1080</v>
      </c>
      <c r="H8" s="171" t="s">
        <v>1132</v>
      </c>
      <c r="I8" s="719" t="str">
        <f t="shared" si="0"/>
        <v xml:space="preserve">Large (&gt; 7m3 storage space) </v>
      </c>
      <c r="J8" s="719">
        <f>K8-L8</f>
        <v>3150</v>
      </c>
      <c r="K8" s="171">
        <v>4250</v>
      </c>
      <c r="L8" s="171">
        <v>1100</v>
      </c>
      <c r="M8" s="1022">
        <v>10.7</v>
      </c>
      <c r="N8" s="1018">
        <v>5986</v>
      </c>
      <c r="O8" s="1018">
        <v>2040</v>
      </c>
      <c r="P8" s="1018">
        <v>2590</v>
      </c>
      <c r="Q8" s="1018">
        <v>3640</v>
      </c>
      <c r="R8" s="1018">
        <v>3101</v>
      </c>
      <c r="S8" s="1018">
        <v>1832</v>
      </c>
      <c r="T8" s="1018">
        <v>2590</v>
      </c>
      <c r="U8" s="1015"/>
      <c r="V8" s="1015"/>
      <c r="W8" s="1015"/>
      <c r="X8" s="742">
        <v>90</v>
      </c>
      <c r="Y8" s="742">
        <v>100</v>
      </c>
      <c r="Z8" s="742">
        <v>136</v>
      </c>
      <c r="AA8" s="742">
        <v>290</v>
      </c>
      <c r="AB8" s="1018" t="s">
        <v>957</v>
      </c>
      <c r="AC8" s="742">
        <v>35.799999999999997</v>
      </c>
      <c r="AD8" s="171">
        <f>AC8*0.9</f>
        <v>32.22</v>
      </c>
      <c r="AE8" s="719"/>
      <c r="AF8" s="1018" t="s">
        <v>1090</v>
      </c>
      <c r="AG8" s="829">
        <v>143</v>
      </c>
      <c r="AH8" s="719"/>
      <c r="AI8" s="719"/>
      <c r="AJ8" s="719"/>
      <c r="AK8" s="719"/>
      <c r="AL8" s="719"/>
      <c r="AM8" s="1017"/>
      <c r="AN8" s="1017"/>
      <c r="AO8" s="742">
        <f>AC8/AG8*100</f>
        <v>25.034965034965033</v>
      </c>
      <c r="AP8" s="813">
        <f>AO8*Factor_WLTP_NEDC</f>
        <v>31.606675811759722</v>
      </c>
      <c r="AQ8" s="742"/>
      <c r="AR8" s="742"/>
      <c r="AS8" s="742"/>
      <c r="AT8" s="742"/>
      <c r="AU8" s="719">
        <v>7.2</v>
      </c>
      <c r="AV8" s="732" t="s">
        <v>953</v>
      </c>
      <c r="AW8" s="171">
        <v>40</v>
      </c>
      <c r="AX8" s="171" t="s">
        <v>944</v>
      </c>
      <c r="AY8" s="829" t="s">
        <v>1078</v>
      </c>
      <c r="AZ8" s="742" t="e">
        <f>((AC8*#REF!)/AW8)*60</f>
        <v>#REF!</v>
      </c>
      <c r="BA8" s="742" t="e">
        <f>(($AC8*#REF!)/$AU8)*60</f>
        <v>#REF!</v>
      </c>
      <c r="BB8" s="1001">
        <f>SUM(BC8:BE8)</f>
        <v>84095</v>
      </c>
      <c r="BC8" s="1001">
        <v>0</v>
      </c>
      <c r="BD8" s="1001">
        <f t="shared" si="1"/>
        <v>14595</v>
      </c>
      <c r="BE8" s="1001">
        <v>69500</v>
      </c>
      <c r="BF8" s="1023" t="s">
        <v>1163</v>
      </c>
      <c r="BG8" s="1024" t="s">
        <v>1162</v>
      </c>
    </row>
    <row r="9" spans="1:59" ht="16" customHeight="1">
      <c r="A9" s="171" t="s">
        <v>848</v>
      </c>
      <c r="B9" s="171" t="s">
        <v>1164</v>
      </c>
      <c r="C9" s="829" t="s">
        <v>1652</v>
      </c>
      <c r="D9" s="829" t="s">
        <v>1091</v>
      </c>
      <c r="E9" s="1021">
        <v>43818</v>
      </c>
      <c r="F9" s="1021"/>
      <c r="G9" s="829" t="s">
        <v>1080</v>
      </c>
      <c r="H9" s="171" t="s">
        <v>1132</v>
      </c>
      <c r="I9" s="719" t="str">
        <f t="shared" si="0"/>
        <v xml:space="preserve">Large (&gt; 7m3 storage space) </v>
      </c>
      <c r="J9" s="719">
        <f>K9-L9</f>
        <v>2511</v>
      </c>
      <c r="K9" s="171">
        <v>3500</v>
      </c>
      <c r="L9" s="171">
        <v>989</v>
      </c>
      <c r="M9" s="1022">
        <v>10.7</v>
      </c>
      <c r="N9" s="1018">
        <v>5986</v>
      </c>
      <c r="O9" s="1018">
        <v>2040</v>
      </c>
      <c r="P9" s="1018">
        <v>2590</v>
      </c>
      <c r="Q9" s="1018">
        <v>3640</v>
      </c>
      <c r="R9" s="1018">
        <v>3101</v>
      </c>
      <c r="S9" s="1018">
        <v>1832</v>
      </c>
      <c r="T9" s="1018">
        <v>2590</v>
      </c>
      <c r="U9" s="1015"/>
      <c r="V9" s="1015"/>
      <c r="W9" s="1015"/>
      <c r="X9" s="742">
        <v>90</v>
      </c>
      <c r="Y9" s="742">
        <v>100</v>
      </c>
      <c r="Z9" s="742">
        <v>136</v>
      </c>
      <c r="AA9" s="742">
        <v>290</v>
      </c>
      <c r="AB9" s="1018" t="s">
        <v>957</v>
      </c>
      <c r="AC9" s="742">
        <v>36</v>
      </c>
      <c r="AD9" s="171">
        <f>AC9*0.9</f>
        <v>32.4</v>
      </c>
      <c r="AE9" s="719"/>
      <c r="AF9" s="1018" t="s">
        <v>1090</v>
      </c>
      <c r="AG9" s="829">
        <v>143</v>
      </c>
      <c r="AH9" s="719"/>
      <c r="AI9" s="719"/>
      <c r="AJ9" s="719"/>
      <c r="AK9" s="719"/>
      <c r="AL9" s="719"/>
      <c r="AM9" s="1017"/>
      <c r="AN9" s="1017"/>
      <c r="AO9" s="742">
        <f>AC9/AG9*100</f>
        <v>25.174825174825177</v>
      </c>
      <c r="AP9" s="813">
        <f>AO9*Factor_WLTP_NEDC</f>
        <v>31.783249419646651</v>
      </c>
      <c r="AQ9" s="742"/>
      <c r="AR9" s="742"/>
      <c r="AS9" s="742"/>
      <c r="AT9" s="742"/>
      <c r="AU9" s="719">
        <v>7.2</v>
      </c>
      <c r="AV9" s="732" t="s">
        <v>953</v>
      </c>
      <c r="AW9" s="171">
        <v>40</v>
      </c>
      <c r="AX9" s="171" t="s">
        <v>944</v>
      </c>
      <c r="AY9" s="829" t="s">
        <v>1078</v>
      </c>
      <c r="AZ9" s="742" t="e">
        <f>((AC9*#REF!)/AW9)*60</f>
        <v>#REF!</v>
      </c>
      <c r="BA9" s="742" t="e">
        <f>(($AC9*#REF!)/$AU9)*60</f>
        <v>#REF!</v>
      </c>
      <c r="BB9" s="1001">
        <f>SUM(BC9:BE9)</f>
        <v>84095</v>
      </c>
      <c r="BC9" s="1001">
        <v>0</v>
      </c>
      <c r="BD9" s="1001">
        <f t="shared" si="1"/>
        <v>14595</v>
      </c>
      <c r="BE9" s="1001">
        <v>69500</v>
      </c>
      <c r="BF9" s="1023" t="s">
        <v>1163</v>
      </c>
      <c r="BG9" s="1024" t="s">
        <v>1162</v>
      </c>
    </row>
    <row r="10" spans="1:59" ht="16" customHeight="1">
      <c r="A10" s="171" t="s">
        <v>848</v>
      </c>
      <c r="B10" s="829" t="s">
        <v>622</v>
      </c>
      <c r="C10" s="829" t="s">
        <v>1129</v>
      </c>
      <c r="D10" s="829" t="s">
        <v>1091</v>
      </c>
      <c r="E10" s="1021">
        <v>43647</v>
      </c>
      <c r="F10" s="1021"/>
      <c r="G10" s="829" t="s">
        <v>1080</v>
      </c>
      <c r="H10" s="829" t="s">
        <v>1108</v>
      </c>
      <c r="I10" s="719" t="str">
        <f t="shared" si="0"/>
        <v>Medium (4.5 -  7 m3)</v>
      </c>
      <c r="J10" s="829">
        <v>2185</v>
      </c>
      <c r="K10" s="829">
        <v>3200</v>
      </c>
      <c r="L10" s="829">
        <v>1015</v>
      </c>
      <c r="M10" s="813">
        <v>6</v>
      </c>
      <c r="N10" s="742">
        <v>5140</v>
      </c>
      <c r="O10" s="742">
        <v>1750</v>
      </c>
      <c r="P10" s="742">
        <v>1800</v>
      </c>
      <c r="Q10" s="813"/>
      <c r="R10" s="742">
        <v>2831</v>
      </c>
      <c r="S10" s="813"/>
      <c r="T10" s="813"/>
      <c r="U10" s="1015" t="s">
        <v>961</v>
      </c>
      <c r="V10" s="1018" t="s">
        <v>118</v>
      </c>
      <c r="W10" s="1018" t="s">
        <v>118</v>
      </c>
      <c r="X10" s="742">
        <v>120</v>
      </c>
      <c r="Y10" s="742">
        <v>85</v>
      </c>
      <c r="Z10" s="742">
        <v>116</v>
      </c>
      <c r="AA10" s="742">
        <v>295</v>
      </c>
      <c r="AB10" s="1018" t="s">
        <v>957</v>
      </c>
      <c r="AC10" s="742">
        <v>41</v>
      </c>
      <c r="AD10" s="829">
        <v>35</v>
      </c>
      <c r="AE10" s="829"/>
      <c r="AF10" s="1018" t="s">
        <v>1090</v>
      </c>
      <c r="AG10" s="1025">
        <v>140</v>
      </c>
      <c r="AH10" s="719">
        <v>150</v>
      </c>
      <c r="AI10" s="829">
        <v>139</v>
      </c>
      <c r="AJ10" s="829">
        <v>101</v>
      </c>
      <c r="AK10" s="829"/>
      <c r="AL10" s="829"/>
      <c r="AM10" s="1026"/>
      <c r="AN10" s="1026"/>
      <c r="AP10" s="813">
        <f>AC10/AH10*100</f>
        <v>27.333333333333332</v>
      </c>
      <c r="AQ10" s="813">
        <f>$AC10/AI10*100</f>
        <v>29.496402877697843</v>
      </c>
      <c r="AR10" s="813">
        <f>$AC10/AJ10*100</f>
        <v>40.594059405940598</v>
      </c>
      <c r="AS10" s="813"/>
      <c r="AT10" s="813"/>
      <c r="AU10" s="719">
        <v>7.4</v>
      </c>
      <c r="AV10" s="732" t="s">
        <v>961</v>
      </c>
      <c r="AW10" s="719" t="s">
        <v>1089</v>
      </c>
      <c r="AX10" s="829" t="s">
        <v>962</v>
      </c>
      <c r="AY10" s="171" t="s">
        <v>1088</v>
      </c>
      <c r="AZ10" s="719" t="s">
        <v>118</v>
      </c>
      <c r="BA10" s="742" t="e">
        <f>(($AC10*#REF!)/$AU10)*60</f>
        <v>#REF!</v>
      </c>
      <c r="BB10" s="1001">
        <v>56531.199999999997</v>
      </c>
      <c r="BC10" s="1001">
        <v>0</v>
      </c>
      <c r="BD10" s="1001">
        <v>9811.2000000000007</v>
      </c>
      <c r="BE10" s="1001">
        <v>46720</v>
      </c>
      <c r="BF10" s="1023" t="s">
        <v>1127</v>
      </c>
      <c r="BG10" s="1027" t="s">
        <v>1126</v>
      </c>
    </row>
    <row r="11" spans="1:59" ht="16" customHeight="1">
      <c r="A11" s="171" t="s">
        <v>848</v>
      </c>
      <c r="B11" s="829" t="s">
        <v>622</v>
      </c>
      <c r="C11" s="829" t="s">
        <v>1128</v>
      </c>
      <c r="D11" s="829" t="s">
        <v>1091</v>
      </c>
      <c r="E11" s="1021">
        <v>43647</v>
      </c>
      <c r="F11" s="1021"/>
      <c r="G11" s="829" t="s">
        <v>1080</v>
      </c>
      <c r="H11" s="829" t="s">
        <v>1108</v>
      </c>
      <c r="I11" s="719" t="str">
        <f t="shared" si="0"/>
        <v>Medium (4.5 -  7 m3)</v>
      </c>
      <c r="J11" s="829">
        <f>K11-990</f>
        <v>2210</v>
      </c>
      <c r="K11" s="829">
        <v>3200</v>
      </c>
      <c r="L11" s="829">
        <v>990</v>
      </c>
      <c r="M11" s="813">
        <v>6.6</v>
      </c>
      <c r="N11" s="742">
        <v>5370</v>
      </c>
      <c r="O11" s="742">
        <v>1750</v>
      </c>
      <c r="P11" s="742">
        <v>1800</v>
      </c>
      <c r="Q11" s="813"/>
      <c r="R11" s="742">
        <v>3061</v>
      </c>
      <c r="S11" s="813"/>
      <c r="T11" s="813"/>
      <c r="U11" s="1015" t="s">
        <v>961</v>
      </c>
      <c r="V11" s="1018" t="s">
        <v>118</v>
      </c>
      <c r="W11" s="1018" t="s">
        <v>118</v>
      </c>
      <c r="X11" s="742">
        <v>120</v>
      </c>
      <c r="Y11" s="742">
        <v>85</v>
      </c>
      <c r="Z11" s="742">
        <v>116</v>
      </c>
      <c r="AA11" s="742">
        <v>295</v>
      </c>
      <c r="AB11" s="1018" t="s">
        <v>957</v>
      </c>
      <c r="AC11" s="742">
        <v>41</v>
      </c>
      <c r="AD11" s="829">
        <v>35</v>
      </c>
      <c r="AE11" s="829"/>
      <c r="AF11" s="1018" t="s">
        <v>1090</v>
      </c>
      <c r="AG11" s="1025">
        <v>140</v>
      </c>
      <c r="AH11" s="719">
        <v>150</v>
      </c>
      <c r="AI11" s="829">
        <v>139</v>
      </c>
      <c r="AJ11" s="829">
        <v>101</v>
      </c>
      <c r="AK11" s="829"/>
      <c r="AL11" s="829"/>
      <c r="AM11" s="1026"/>
      <c r="AN11" s="1026"/>
      <c r="AP11" s="813">
        <f>AC11/AH11*100</f>
        <v>27.333333333333332</v>
      </c>
      <c r="AQ11" s="813">
        <f>$AC11/AI11*100</f>
        <v>29.496402877697843</v>
      </c>
      <c r="AR11" s="813">
        <f>$AC11/AJ11*100</f>
        <v>40.594059405940598</v>
      </c>
      <c r="AS11" s="813"/>
      <c r="AT11" s="813"/>
      <c r="AU11" s="719">
        <v>7.4</v>
      </c>
      <c r="AV11" s="732" t="s">
        <v>961</v>
      </c>
      <c r="AW11" s="719" t="s">
        <v>1089</v>
      </c>
      <c r="AX11" s="829" t="s">
        <v>962</v>
      </c>
      <c r="AY11" s="171" t="s">
        <v>1088</v>
      </c>
      <c r="AZ11" s="719" t="s">
        <v>118</v>
      </c>
      <c r="BA11" s="742" t="e">
        <f>(($AC11*#REF!)/$AU11)*60</f>
        <v>#REF!</v>
      </c>
      <c r="BB11" s="1001">
        <v>57571.799999999996</v>
      </c>
      <c r="BC11" s="1001">
        <v>0</v>
      </c>
      <c r="BD11" s="1001">
        <v>9991.7999999999956</v>
      </c>
      <c r="BE11" s="1001">
        <v>47580</v>
      </c>
      <c r="BF11" s="1023" t="s">
        <v>1127</v>
      </c>
      <c r="BG11" s="1027" t="s">
        <v>1126</v>
      </c>
    </row>
    <row r="12" spans="1:59" ht="16" customHeight="1">
      <c r="A12" s="171" t="s">
        <v>848</v>
      </c>
      <c r="B12" s="829" t="s">
        <v>1125</v>
      </c>
      <c r="C12" s="829" t="s">
        <v>1951</v>
      </c>
      <c r="D12" s="829" t="s">
        <v>1081</v>
      </c>
      <c r="E12" s="1021">
        <v>43952</v>
      </c>
      <c r="F12" s="1021"/>
      <c r="G12" s="829" t="s">
        <v>1080</v>
      </c>
      <c r="H12" s="829" t="s">
        <v>1108</v>
      </c>
      <c r="I12" s="719" t="str">
        <f t="shared" si="0"/>
        <v>Medium (4.5 -  7 m3)</v>
      </c>
      <c r="J12" s="829"/>
      <c r="K12" s="829">
        <v>3500</v>
      </c>
      <c r="L12" s="829"/>
      <c r="M12" s="813">
        <f>M10</f>
        <v>6</v>
      </c>
      <c r="N12" s="813"/>
      <c r="O12" s="813"/>
      <c r="P12" s="813"/>
      <c r="Q12" s="813"/>
      <c r="R12" s="813"/>
      <c r="S12" s="813"/>
      <c r="T12" s="813"/>
      <c r="U12" s="1015"/>
      <c r="V12" s="1015"/>
      <c r="W12" s="1015"/>
      <c r="X12" s="813"/>
      <c r="Y12" s="813"/>
      <c r="Z12" s="813"/>
      <c r="AA12" s="813"/>
      <c r="AB12" s="813"/>
      <c r="AC12" s="813"/>
      <c r="AD12" s="813">
        <f>AG12*AP12/100</f>
        <v>0</v>
      </c>
      <c r="AE12" s="813"/>
      <c r="AF12" s="813"/>
      <c r="AG12" s="829"/>
      <c r="AH12" s="742">
        <v>300</v>
      </c>
      <c r="AI12" s="829"/>
      <c r="AJ12" s="829"/>
      <c r="AK12" s="829"/>
      <c r="AL12" s="829"/>
      <c r="AM12" s="1026"/>
      <c r="AN12" s="1026"/>
      <c r="AP12" s="813"/>
      <c r="AQ12" s="813"/>
      <c r="AR12" s="813"/>
      <c r="AS12" s="813"/>
      <c r="AT12" s="813"/>
      <c r="AU12" s="719"/>
      <c r="AV12" s="732"/>
      <c r="AW12" s="719"/>
      <c r="AX12" s="829"/>
      <c r="AY12" s="829"/>
      <c r="AZ12" s="719"/>
      <c r="BA12" s="813"/>
      <c r="BB12" s="829"/>
      <c r="BC12" s="829"/>
      <c r="BD12" s="829"/>
      <c r="BE12" s="719"/>
      <c r="BF12" s="829"/>
      <c r="BG12" s="829"/>
    </row>
    <row r="13" spans="1:59" ht="16" customHeight="1">
      <c r="A13" s="541" t="s">
        <v>848</v>
      </c>
      <c r="B13" s="829" t="s">
        <v>1125</v>
      </c>
      <c r="C13" s="829" t="s">
        <v>1161</v>
      </c>
      <c r="D13" s="829" t="s">
        <v>1091</v>
      </c>
      <c r="E13" s="1021">
        <v>43800</v>
      </c>
      <c r="F13" s="1021"/>
      <c r="G13" s="829" t="s">
        <v>1080</v>
      </c>
      <c r="H13" s="171" t="s">
        <v>1132</v>
      </c>
      <c r="I13" s="719" t="str">
        <f t="shared" si="0"/>
        <v xml:space="preserve">Large (&gt; 7m3 storage space) </v>
      </c>
      <c r="J13" s="829">
        <f>K13-L13</f>
        <v>2600</v>
      </c>
      <c r="K13" s="829">
        <v>3500</v>
      </c>
      <c r="L13" s="829">
        <v>900</v>
      </c>
      <c r="M13" s="1022">
        <v>10.5</v>
      </c>
      <c r="N13" s="1022"/>
      <c r="O13" s="1022"/>
      <c r="P13" s="1022"/>
      <c r="Q13" s="1022"/>
      <c r="R13" s="1022"/>
      <c r="S13" s="1022"/>
      <c r="T13" s="1022"/>
      <c r="U13" s="1015"/>
      <c r="V13" s="1015"/>
      <c r="W13" s="1015"/>
      <c r="X13" s="1018">
        <v>120</v>
      </c>
      <c r="Y13" s="1018">
        <v>85</v>
      </c>
      <c r="Z13" s="1018">
        <v>116</v>
      </c>
      <c r="AA13" s="1018">
        <v>300</v>
      </c>
      <c r="AB13" s="1018" t="s">
        <v>957</v>
      </c>
      <c r="AC13" s="742">
        <v>41</v>
      </c>
      <c r="AD13" s="1018">
        <f>AC13*0.9</f>
        <v>36.9</v>
      </c>
      <c r="AE13" s="1022"/>
      <c r="AF13" s="1018" t="s">
        <v>1090</v>
      </c>
      <c r="AG13" s="719" t="s">
        <v>118</v>
      </c>
      <c r="AH13" s="1018">
        <v>115</v>
      </c>
      <c r="AI13" s="829"/>
      <c r="AJ13" s="742">
        <f>($AH$14/$AH$15)*AJ14</f>
        <v>88.5</v>
      </c>
      <c r="AK13" s="829"/>
      <c r="AL13" s="829"/>
      <c r="AM13" s="1026"/>
      <c r="AN13" s="1026"/>
      <c r="AO13" s="1028" t="s">
        <v>118</v>
      </c>
      <c r="AP13" s="813">
        <f>$AC13/AH13*100</f>
        <v>35.652173913043477</v>
      </c>
      <c r="AQ13" s="813"/>
      <c r="AR13" s="813">
        <f>$AC13/AJ13*100</f>
        <v>46.327683615819211</v>
      </c>
      <c r="AS13" s="813"/>
      <c r="AT13" s="813"/>
      <c r="AU13" s="719">
        <v>7.4</v>
      </c>
      <c r="AV13" s="732" t="s">
        <v>953</v>
      </c>
      <c r="AW13" s="719">
        <v>50</v>
      </c>
      <c r="AX13" s="829" t="s">
        <v>1157</v>
      </c>
      <c r="AY13" s="829" t="s">
        <v>1078</v>
      </c>
      <c r="AZ13" s="742" t="e">
        <f>((AC13*#REF!)/AW13)*60</f>
        <v>#REF!</v>
      </c>
      <c r="BA13" s="742" t="e">
        <f>(($AC13*#REF!)/$AU13)*60</f>
        <v>#REF!</v>
      </c>
      <c r="BB13" s="1001">
        <v>60500</v>
      </c>
      <c r="BC13" s="1001">
        <v>0</v>
      </c>
      <c r="BD13" s="1001">
        <v>10500</v>
      </c>
      <c r="BE13" s="1001">
        <v>50000</v>
      </c>
      <c r="BF13" s="829"/>
      <c r="BG13" s="1024" t="s">
        <v>1160</v>
      </c>
    </row>
    <row r="14" spans="1:59" ht="16" customHeight="1">
      <c r="A14" s="541" t="s">
        <v>848</v>
      </c>
      <c r="B14" s="829" t="s">
        <v>1125</v>
      </c>
      <c r="C14" s="829" t="s">
        <v>1159</v>
      </c>
      <c r="D14" s="829" t="s">
        <v>1091</v>
      </c>
      <c r="E14" s="1021">
        <v>43800</v>
      </c>
      <c r="F14" s="1021"/>
      <c r="G14" s="829" t="s">
        <v>1080</v>
      </c>
      <c r="H14" s="171" t="s">
        <v>1132</v>
      </c>
      <c r="I14" s="719" t="str">
        <f t="shared" si="0"/>
        <v xml:space="preserve">Large (&gt; 7m3 storage space) </v>
      </c>
      <c r="J14" s="829">
        <f>K14-L14</f>
        <v>2460</v>
      </c>
      <c r="K14" s="829">
        <v>3500</v>
      </c>
      <c r="L14" s="829">
        <v>1040</v>
      </c>
      <c r="M14" s="1022">
        <v>10.5</v>
      </c>
      <c r="N14" s="1022"/>
      <c r="O14" s="1022"/>
      <c r="P14" s="1022"/>
      <c r="Q14" s="1022"/>
      <c r="R14" s="1022"/>
      <c r="S14" s="1022"/>
      <c r="T14" s="1022"/>
      <c r="U14" s="1015"/>
      <c r="V14" s="1015"/>
      <c r="W14" s="1015"/>
      <c r="X14" s="1018">
        <v>120</v>
      </c>
      <c r="Y14" s="1018">
        <v>85</v>
      </c>
      <c r="Z14" s="1018">
        <v>116</v>
      </c>
      <c r="AA14" s="1018">
        <v>300</v>
      </c>
      <c r="AB14" s="1018" t="s">
        <v>957</v>
      </c>
      <c r="AC14" s="742">
        <v>55</v>
      </c>
      <c r="AD14" s="1022">
        <v>53.4</v>
      </c>
      <c r="AE14" s="1022"/>
      <c r="AF14" s="1018" t="s">
        <v>1090</v>
      </c>
      <c r="AG14" s="719" t="s">
        <v>118</v>
      </c>
      <c r="AH14" s="1018">
        <v>150</v>
      </c>
      <c r="AI14" s="829"/>
      <c r="AJ14" s="829">
        <v>118</v>
      </c>
      <c r="AK14" s="829"/>
      <c r="AL14" s="829"/>
      <c r="AM14" s="1026"/>
      <c r="AN14" s="1026"/>
      <c r="AO14" s="719" t="s">
        <v>118</v>
      </c>
      <c r="AP14" s="813">
        <f>$AC14/AH14*100</f>
        <v>36.666666666666664</v>
      </c>
      <c r="AQ14" s="813"/>
      <c r="AR14" s="813">
        <f>$AC14/AJ14*100</f>
        <v>46.610169491525419</v>
      </c>
      <c r="AS14" s="813"/>
      <c r="AT14" s="813"/>
      <c r="AU14" s="719">
        <v>7.4</v>
      </c>
      <c r="AV14" s="732" t="s">
        <v>953</v>
      </c>
      <c r="AW14" s="719">
        <v>50</v>
      </c>
      <c r="AX14" s="829" t="s">
        <v>1157</v>
      </c>
      <c r="AY14" s="829" t="s">
        <v>1078</v>
      </c>
      <c r="AZ14" s="742">
        <f>((AC14*80%)/AW14)*60</f>
        <v>52.8</v>
      </c>
      <c r="BA14" s="742" t="e">
        <f>(($AC14*#REF!)/$AU14)*60</f>
        <v>#REF!</v>
      </c>
      <c r="BB14" s="1001">
        <v>67760</v>
      </c>
      <c r="BC14" s="1001">
        <v>0</v>
      </c>
      <c r="BD14" s="1001">
        <v>11760</v>
      </c>
      <c r="BE14" s="1001">
        <v>56000</v>
      </c>
      <c r="BF14" s="829"/>
      <c r="BG14" s="1024" t="s">
        <v>1156</v>
      </c>
    </row>
    <row r="15" spans="1:59" ht="16" customHeight="1">
      <c r="A15" s="171" t="s">
        <v>848</v>
      </c>
      <c r="B15" s="829" t="s">
        <v>654</v>
      </c>
      <c r="C15" s="829" t="s">
        <v>1107</v>
      </c>
      <c r="D15" s="829" t="s">
        <v>1091</v>
      </c>
      <c r="E15" s="1029">
        <v>43191</v>
      </c>
      <c r="F15" s="1029"/>
      <c r="G15" s="829" t="s">
        <v>1080</v>
      </c>
      <c r="H15" s="1014" t="s">
        <v>1079</v>
      </c>
      <c r="I15" s="719" t="str">
        <f t="shared" si="0"/>
        <v>Small (&lt; 4.5 m3 storage space)</v>
      </c>
      <c r="J15" s="829"/>
      <c r="K15" s="1030"/>
      <c r="L15" s="829">
        <v>742</v>
      </c>
      <c r="M15" s="813">
        <v>4.2</v>
      </c>
      <c r="N15" s="742">
        <v>4560</v>
      </c>
      <c r="O15" s="742">
        <v>1755</v>
      </c>
      <c r="P15" s="742">
        <v>1850</v>
      </c>
      <c r="Q15" s="742">
        <v>2725</v>
      </c>
      <c r="R15" s="742">
        <v>2040</v>
      </c>
      <c r="S15" s="1018" t="s">
        <v>1106</v>
      </c>
      <c r="T15" s="742">
        <v>1360</v>
      </c>
      <c r="U15" s="1015"/>
      <c r="V15" s="1015"/>
      <c r="W15" s="1015"/>
      <c r="X15" s="742">
        <v>120</v>
      </c>
      <c r="Y15" s="742">
        <v>80</v>
      </c>
      <c r="Z15" s="742">
        <v>109</v>
      </c>
      <c r="AA15" s="742">
        <v>254</v>
      </c>
      <c r="AB15" s="1018" t="s">
        <v>957</v>
      </c>
      <c r="AC15" s="742">
        <v>40</v>
      </c>
      <c r="AD15" s="829">
        <v>38</v>
      </c>
      <c r="AE15" s="829"/>
      <c r="AF15" s="1018" t="s">
        <v>1090</v>
      </c>
      <c r="AG15" s="719" t="s">
        <v>118</v>
      </c>
      <c r="AH15" s="829">
        <v>200</v>
      </c>
      <c r="AI15" s="829">
        <v>160</v>
      </c>
      <c r="AJ15" s="829">
        <v>215</v>
      </c>
      <c r="AK15" s="829"/>
      <c r="AL15" s="829"/>
      <c r="AM15" s="1026"/>
      <c r="AN15" s="1026"/>
      <c r="AO15" s="719" t="s">
        <v>118</v>
      </c>
      <c r="AP15" s="813">
        <f>$AC15/AH15*100</f>
        <v>20</v>
      </c>
      <c r="AQ15" s="813">
        <f>$AC15/AI15*100</f>
        <v>25</v>
      </c>
      <c r="AR15" s="813">
        <f>$AC15/AJ15*100</f>
        <v>18.604651162790699</v>
      </c>
      <c r="AS15" s="813"/>
      <c r="AT15" s="813"/>
      <c r="AU15" s="719">
        <v>6.6</v>
      </c>
      <c r="AV15" s="732" t="s">
        <v>953</v>
      </c>
      <c r="AW15" s="829">
        <v>50</v>
      </c>
      <c r="AX15" s="829" t="s">
        <v>944</v>
      </c>
      <c r="AY15" s="829" t="s">
        <v>954</v>
      </c>
      <c r="AZ15" s="742" t="e">
        <f>((AC15*#REF!)/AW15)*60</f>
        <v>#REF!</v>
      </c>
      <c r="BA15" s="742" t="e">
        <f>(($AC15*#REF!)/$AU15)*60</f>
        <v>#REF!</v>
      </c>
      <c r="BB15" s="1001">
        <v>39591.199999999997</v>
      </c>
      <c r="BC15" s="1001">
        <v>0</v>
      </c>
      <c r="BD15" s="1001">
        <v>6871.1999999999971</v>
      </c>
      <c r="BE15" s="1031">
        <v>32720</v>
      </c>
      <c r="BF15" s="704" t="s">
        <v>1105</v>
      </c>
      <c r="BG15" s="1027" t="s">
        <v>1104</v>
      </c>
    </row>
    <row r="16" spans="1:59" ht="16" customHeight="1">
      <c r="A16" s="1032" t="s">
        <v>849</v>
      </c>
      <c r="B16" s="829" t="s">
        <v>595</v>
      </c>
      <c r="C16" s="829" t="s">
        <v>1151</v>
      </c>
      <c r="D16" s="829" t="s">
        <v>1148</v>
      </c>
      <c r="E16" s="1029">
        <v>42036</v>
      </c>
      <c r="F16" s="829"/>
      <c r="G16" s="829" t="s">
        <v>1080</v>
      </c>
      <c r="H16" s="171" t="s">
        <v>1079</v>
      </c>
      <c r="I16" s="719" t="str">
        <f t="shared" si="0"/>
        <v/>
      </c>
      <c r="J16" s="829"/>
      <c r="K16" s="829"/>
      <c r="L16" s="829"/>
      <c r="M16" s="829"/>
      <c r="N16" s="829"/>
      <c r="O16" s="829"/>
      <c r="P16" s="829"/>
      <c r="Q16" s="742"/>
      <c r="R16" s="742"/>
      <c r="S16" s="742"/>
      <c r="T16" s="742"/>
      <c r="U16" s="1033"/>
      <c r="V16" s="1033"/>
      <c r="W16" s="1033"/>
      <c r="X16" s="829"/>
      <c r="Y16" s="829"/>
      <c r="Z16" s="829"/>
      <c r="AA16" s="829"/>
      <c r="AB16" s="829"/>
      <c r="AC16" s="829"/>
      <c r="AD16" s="829"/>
      <c r="AE16" s="829"/>
      <c r="AF16" s="829"/>
      <c r="AG16" s="829"/>
      <c r="AH16" s="829"/>
      <c r="AI16" s="829"/>
      <c r="AJ16" s="829"/>
      <c r="AK16" s="829"/>
      <c r="AL16" s="829"/>
      <c r="AM16" s="1026"/>
      <c r="AN16" s="1026"/>
      <c r="AO16" s="829"/>
      <c r="AP16" s="829"/>
      <c r="AQ16" s="829"/>
      <c r="AR16" s="829"/>
      <c r="AS16" s="829"/>
      <c r="AT16" s="829"/>
      <c r="AU16" s="829"/>
      <c r="AV16" s="732"/>
      <c r="AW16" s="829"/>
      <c r="AX16" s="829"/>
      <c r="AY16" s="829"/>
      <c r="AZ16" s="829"/>
      <c r="BA16" s="829"/>
      <c r="BB16" s="1034"/>
      <c r="BC16" s="1034"/>
      <c r="BD16" s="1034"/>
      <c r="BE16" s="1034"/>
      <c r="BF16" s="1034"/>
      <c r="BG16" s="1027" t="s">
        <v>1150</v>
      </c>
    </row>
    <row r="17" spans="1:59" ht="16" customHeight="1">
      <c r="A17" s="171" t="s">
        <v>848</v>
      </c>
      <c r="B17" s="829" t="s">
        <v>1147</v>
      </c>
      <c r="C17" s="1025" t="s">
        <v>1912</v>
      </c>
      <c r="D17" s="829" t="s">
        <v>1081</v>
      </c>
      <c r="E17" s="1025">
        <v>2020</v>
      </c>
      <c r="F17" s="829"/>
      <c r="G17" s="829" t="s">
        <v>1080</v>
      </c>
      <c r="H17" s="171" t="s">
        <v>1132</v>
      </c>
      <c r="I17" s="719" t="str">
        <f t="shared" si="0"/>
        <v xml:space="preserve">Large (&gt; 7m3 storage space) </v>
      </c>
      <c r="J17" s="829"/>
      <c r="K17" s="829"/>
      <c r="L17" s="829">
        <v>1215</v>
      </c>
      <c r="M17" s="829"/>
      <c r="N17" s="829"/>
      <c r="O17" s="829"/>
      <c r="P17" s="829"/>
      <c r="Q17" s="742"/>
      <c r="R17" s="742"/>
      <c r="S17" s="742"/>
      <c r="T17" s="742"/>
      <c r="U17" s="1033"/>
      <c r="V17" s="1033"/>
      <c r="W17" s="1033"/>
      <c r="X17" s="1016">
        <v>100</v>
      </c>
      <c r="Y17" s="829">
        <v>70.5</v>
      </c>
      <c r="Z17" s="1016">
        <v>96</v>
      </c>
      <c r="AA17" s="829"/>
      <c r="AB17" s="829"/>
      <c r="AC17" s="1016">
        <v>62</v>
      </c>
      <c r="AD17" s="829"/>
      <c r="AE17" s="829"/>
      <c r="AF17" s="829"/>
      <c r="AG17" s="829">
        <v>225</v>
      </c>
      <c r="AH17" s="829"/>
      <c r="AI17" s="829"/>
      <c r="AJ17" s="829"/>
      <c r="AK17" s="829"/>
      <c r="AL17" s="829"/>
      <c r="AM17" s="1026"/>
      <c r="AN17" s="1026"/>
      <c r="AO17" s="742">
        <f>AC17/AG17*100</f>
        <v>27.555555555555557</v>
      </c>
      <c r="AP17" s="813">
        <f>AO17*Factor_WLTP_NEDC</f>
        <v>34.78892461167743</v>
      </c>
      <c r="AQ17" s="829"/>
      <c r="AR17" s="829"/>
      <c r="AS17" s="829"/>
      <c r="AT17" s="829"/>
      <c r="AU17" s="829"/>
      <c r="AV17" s="732"/>
      <c r="AW17" s="829"/>
      <c r="AX17" s="829"/>
      <c r="AY17" s="829"/>
      <c r="AZ17" s="829"/>
      <c r="BA17" s="829"/>
      <c r="BB17" s="1034"/>
      <c r="BC17" s="1034"/>
      <c r="BD17" s="1034"/>
      <c r="BE17" s="1034"/>
      <c r="BF17" s="1034"/>
      <c r="BG17" s="1035" t="s">
        <v>1914</v>
      </c>
    </row>
    <row r="18" spans="1:59" ht="16" customHeight="1">
      <c r="A18" s="171" t="s">
        <v>848</v>
      </c>
      <c r="B18" s="829" t="s">
        <v>1147</v>
      </c>
      <c r="C18" s="1025" t="s">
        <v>1913</v>
      </c>
      <c r="D18" s="829" t="s">
        <v>1081</v>
      </c>
      <c r="E18" s="1025">
        <v>2020</v>
      </c>
      <c r="F18" s="829"/>
      <c r="G18" s="829" t="s">
        <v>1080</v>
      </c>
      <c r="H18" s="171" t="s">
        <v>1132</v>
      </c>
      <c r="I18" s="719" t="str">
        <f t="shared" si="0"/>
        <v xml:space="preserve">Large (&gt; 7m3 storage space) </v>
      </c>
      <c r="J18" s="829"/>
      <c r="K18" s="829"/>
      <c r="L18" s="829"/>
      <c r="M18" s="829"/>
      <c r="N18" s="829"/>
      <c r="O18" s="829"/>
      <c r="P18" s="829"/>
      <c r="Q18" s="742"/>
      <c r="R18" s="742"/>
      <c r="S18" s="742"/>
      <c r="T18" s="742"/>
      <c r="U18" s="1033"/>
      <c r="V18" s="1033"/>
      <c r="W18" s="1033"/>
      <c r="X18" s="829"/>
      <c r="Y18" s="829"/>
      <c r="Z18" s="829"/>
      <c r="AA18" s="829"/>
      <c r="AB18" s="829"/>
      <c r="AC18" s="1016"/>
      <c r="AD18" s="829"/>
      <c r="AE18" s="829"/>
      <c r="AF18" s="829"/>
      <c r="AG18" s="829">
        <v>270</v>
      </c>
      <c r="AH18" s="829"/>
      <c r="AI18" s="829"/>
      <c r="AJ18" s="829"/>
      <c r="AK18" s="829"/>
      <c r="AL18" s="829"/>
      <c r="AM18" s="1026"/>
      <c r="AN18" s="1026"/>
      <c r="AO18" s="742">
        <f>AC18/AG18*100</f>
        <v>0</v>
      </c>
      <c r="AP18" s="813"/>
      <c r="AQ18" s="829"/>
      <c r="AR18" s="829"/>
      <c r="AS18" s="829"/>
      <c r="AT18" s="829"/>
      <c r="AU18" s="829"/>
      <c r="AV18" s="732"/>
      <c r="AW18" s="829"/>
      <c r="AX18" s="829"/>
      <c r="AY18" s="829"/>
      <c r="AZ18" s="829"/>
      <c r="BA18" s="829"/>
      <c r="BB18" s="1034"/>
      <c r="BC18" s="1034"/>
      <c r="BD18" s="1034"/>
      <c r="BE18" s="1034"/>
      <c r="BF18" s="1034"/>
      <c r="BG18" s="1014"/>
    </row>
    <row r="19" spans="1:59" ht="16" customHeight="1">
      <c r="A19" s="171" t="s">
        <v>848</v>
      </c>
      <c r="B19" s="829" t="s">
        <v>1653</v>
      </c>
      <c r="C19" s="829" t="s">
        <v>1654</v>
      </c>
      <c r="D19" s="829" t="s">
        <v>1081</v>
      </c>
      <c r="E19" s="1025">
        <v>2020</v>
      </c>
      <c r="F19" s="1021"/>
      <c r="G19" s="829" t="s">
        <v>1080</v>
      </c>
      <c r="H19" s="829" t="s">
        <v>1108</v>
      </c>
      <c r="I19" s="719" t="str">
        <f t="shared" si="0"/>
        <v>Medium (4.5 -  7 m3)</v>
      </c>
      <c r="M19" s="813"/>
      <c r="N19" s="742"/>
      <c r="O19" s="742"/>
      <c r="P19" s="719"/>
      <c r="Q19" s="742"/>
      <c r="R19" s="742"/>
      <c r="S19" s="719"/>
      <c r="T19" s="742"/>
      <c r="U19" s="1033"/>
      <c r="V19" s="1033"/>
      <c r="W19" s="1033"/>
      <c r="X19" s="742"/>
      <c r="Y19" s="742"/>
      <c r="Z19" s="742"/>
      <c r="AA19" s="742"/>
      <c r="AB19" s="1018"/>
      <c r="AC19" s="829"/>
      <c r="AF19" s="1018"/>
      <c r="AH19" s="719"/>
      <c r="AM19" s="1032"/>
      <c r="AN19" s="1032"/>
      <c r="AO19" s="813"/>
      <c r="AP19" s="719"/>
      <c r="AQ19" s="813"/>
      <c r="AR19" s="813"/>
      <c r="AS19" s="813"/>
      <c r="AT19" s="813"/>
      <c r="AV19" s="732"/>
      <c r="AW19" s="719"/>
      <c r="AZ19" s="719"/>
      <c r="BA19" s="742"/>
      <c r="BB19" s="751"/>
      <c r="BC19" s="1001"/>
      <c r="BD19" s="1001"/>
      <c r="BE19" s="1036"/>
      <c r="BF19" s="829"/>
      <c r="BG19" s="829"/>
    </row>
    <row r="20" spans="1:59" ht="16" customHeight="1">
      <c r="A20" s="171" t="s">
        <v>848</v>
      </c>
      <c r="B20" s="171" t="s">
        <v>588</v>
      </c>
      <c r="C20" s="171" t="s">
        <v>1103</v>
      </c>
      <c r="D20" s="829" t="s">
        <v>1091</v>
      </c>
      <c r="E20" s="1021">
        <v>42917</v>
      </c>
      <c r="F20" s="1021"/>
      <c r="G20" s="829" t="s">
        <v>1080</v>
      </c>
      <c r="H20" s="171" t="s">
        <v>1079</v>
      </c>
      <c r="I20" s="719" t="str">
        <f t="shared" si="0"/>
        <v>Small (&lt; 4.5 m3 storage space)</v>
      </c>
      <c r="J20" s="171">
        <v>1405</v>
      </c>
      <c r="K20" s="171">
        <v>2130</v>
      </c>
      <c r="L20" s="171">
        <v>650</v>
      </c>
      <c r="M20" s="813">
        <v>3</v>
      </c>
      <c r="N20" s="742">
        <v>2697</v>
      </c>
      <c r="O20" s="742">
        <v>1829</v>
      </c>
      <c r="P20" s="719" t="s">
        <v>1102</v>
      </c>
      <c r="Q20" s="742">
        <v>2697</v>
      </c>
      <c r="R20" s="742">
        <v>1476</v>
      </c>
      <c r="S20" s="719" t="s">
        <v>1099</v>
      </c>
      <c r="T20" s="742">
        <v>1251</v>
      </c>
      <c r="U20" s="1033"/>
      <c r="V20" s="1033"/>
      <c r="W20" s="1033"/>
      <c r="X20" s="742">
        <v>130</v>
      </c>
      <c r="Y20" s="742">
        <v>44</v>
      </c>
      <c r="Z20" s="742">
        <v>60</v>
      </c>
      <c r="AA20" s="742">
        <v>225</v>
      </c>
      <c r="AB20" s="1018" t="s">
        <v>957</v>
      </c>
      <c r="AC20" s="829">
        <v>33</v>
      </c>
      <c r="AD20" s="171">
        <v>31</v>
      </c>
      <c r="AE20" s="171">
        <v>260</v>
      </c>
      <c r="AF20" s="1018" t="s">
        <v>1090</v>
      </c>
      <c r="AG20" s="171">
        <v>270</v>
      </c>
      <c r="AH20" s="719">
        <v>230</v>
      </c>
      <c r="AI20" s="171">
        <v>170</v>
      </c>
      <c r="AJ20" s="171">
        <v>146</v>
      </c>
      <c r="AM20" s="1032"/>
      <c r="AN20" s="1032"/>
      <c r="AO20" s="813">
        <v>13.3</v>
      </c>
      <c r="AP20" s="813">
        <f t="shared" ref="AP20:AP27" si="2">AO20*Factor_WLTP_NEDC</f>
        <v>16.791267242007212</v>
      </c>
      <c r="AQ20" s="813">
        <f t="shared" ref="AQ20:AR27" si="3">$AC20/AI20*100</f>
        <v>19.411764705882355</v>
      </c>
      <c r="AR20" s="813">
        <f t="shared" si="3"/>
        <v>22.602739726027394</v>
      </c>
      <c r="AS20" s="813"/>
      <c r="AT20" s="813"/>
      <c r="AU20" s="171">
        <v>7.4</v>
      </c>
      <c r="AV20" s="732" t="s">
        <v>961</v>
      </c>
      <c r="AW20" s="719" t="s">
        <v>1089</v>
      </c>
      <c r="AX20" s="171" t="s">
        <v>965</v>
      </c>
      <c r="AY20" s="171" t="s">
        <v>1088</v>
      </c>
      <c r="AZ20" s="719" t="s">
        <v>118</v>
      </c>
      <c r="BA20" s="742" t="e">
        <f>(($AC20*#REF!)/$AU20)*60</f>
        <v>#REF!</v>
      </c>
      <c r="BB20" s="751">
        <v>33.837649999999996</v>
      </c>
      <c r="BC20" s="1001">
        <v>0</v>
      </c>
      <c r="BD20" s="1001">
        <v>22965</v>
      </c>
      <c r="BE20" s="1036">
        <v>27.965</v>
      </c>
      <c r="BF20" s="829"/>
      <c r="BG20" s="829" t="s">
        <v>4354</v>
      </c>
    </row>
    <row r="21" spans="1:59" ht="16" customHeight="1">
      <c r="A21" s="171" t="s">
        <v>848</v>
      </c>
      <c r="B21" s="829" t="s">
        <v>588</v>
      </c>
      <c r="C21" s="829" t="s">
        <v>1101</v>
      </c>
      <c r="D21" s="829" t="s">
        <v>1091</v>
      </c>
      <c r="E21" s="1021">
        <v>42917</v>
      </c>
      <c r="F21" s="1021"/>
      <c r="G21" s="829" t="s">
        <v>1080</v>
      </c>
      <c r="H21" s="829" t="s">
        <v>1079</v>
      </c>
      <c r="I21" s="719" t="str">
        <f t="shared" si="0"/>
        <v>Small (&lt; 4.5 m3 storage space)</v>
      </c>
      <c r="J21" s="829">
        <v>1485</v>
      </c>
      <c r="K21" s="829">
        <v>2190</v>
      </c>
      <c r="L21" s="829">
        <v>650</v>
      </c>
      <c r="M21" s="813">
        <v>4</v>
      </c>
      <c r="N21" s="742">
        <v>3084</v>
      </c>
      <c r="O21" s="742">
        <v>1829</v>
      </c>
      <c r="P21" s="719" t="s">
        <v>1100</v>
      </c>
      <c r="Q21" s="742">
        <v>3081</v>
      </c>
      <c r="R21" s="742">
        <v>1862</v>
      </c>
      <c r="S21" s="719" t="s">
        <v>1099</v>
      </c>
      <c r="T21" s="742">
        <v>1252</v>
      </c>
      <c r="U21" s="1033"/>
      <c r="V21" s="1033"/>
      <c r="W21" s="1033"/>
      <c r="X21" s="742">
        <v>130</v>
      </c>
      <c r="Y21" s="742">
        <v>44</v>
      </c>
      <c r="Z21" s="742">
        <v>60</v>
      </c>
      <c r="AA21" s="742">
        <v>225</v>
      </c>
      <c r="AB21" s="1018" t="s">
        <v>957</v>
      </c>
      <c r="AC21" s="829">
        <v>33</v>
      </c>
      <c r="AD21" s="829">
        <v>31</v>
      </c>
      <c r="AE21" s="171">
        <v>260</v>
      </c>
      <c r="AF21" s="1018" t="s">
        <v>1090</v>
      </c>
      <c r="AG21" s="171">
        <v>270</v>
      </c>
      <c r="AH21" s="719">
        <v>230</v>
      </c>
      <c r="AI21" s="171">
        <v>169</v>
      </c>
      <c r="AJ21" s="171">
        <v>145</v>
      </c>
      <c r="AM21" s="1032"/>
      <c r="AN21" s="1032"/>
      <c r="AO21" s="1022">
        <v>15.2</v>
      </c>
      <c r="AP21" s="1037">
        <f t="shared" si="2"/>
        <v>19.190019705151098</v>
      </c>
      <c r="AQ21" s="813">
        <f t="shared" si="3"/>
        <v>19.526627218934912</v>
      </c>
      <c r="AR21" s="813">
        <f t="shared" si="3"/>
        <v>22.758620689655174</v>
      </c>
      <c r="AS21" s="813"/>
      <c r="AT21" s="813"/>
      <c r="AU21" s="829">
        <v>7.4</v>
      </c>
      <c r="AV21" s="732" t="s">
        <v>961</v>
      </c>
      <c r="AW21" s="719" t="s">
        <v>1089</v>
      </c>
      <c r="AX21" s="829" t="s">
        <v>965</v>
      </c>
      <c r="AY21" s="171" t="s">
        <v>1088</v>
      </c>
      <c r="AZ21" s="719" t="s">
        <v>118</v>
      </c>
      <c r="BA21" s="742" t="e">
        <f>(($AC21*#REF!)/$AU21)*60</f>
        <v>#REF!</v>
      </c>
      <c r="BB21" s="1001">
        <v>35532</v>
      </c>
      <c r="BC21" s="1001">
        <v>0</v>
      </c>
      <c r="BD21" s="1001">
        <v>29365</v>
      </c>
      <c r="BE21" s="1031">
        <v>29365.289256198346</v>
      </c>
      <c r="BF21" s="829"/>
      <c r="BG21" s="829" t="s">
        <v>4354</v>
      </c>
    </row>
    <row r="22" spans="1:59" ht="16" customHeight="1">
      <c r="A22" s="171" t="s">
        <v>848</v>
      </c>
      <c r="B22" s="829" t="s">
        <v>588</v>
      </c>
      <c r="C22" s="829" t="s">
        <v>1155</v>
      </c>
      <c r="D22" s="829" t="s">
        <v>1091</v>
      </c>
      <c r="E22" s="719" t="s">
        <v>1145</v>
      </c>
      <c r="F22" s="719"/>
      <c r="G22" s="829" t="s">
        <v>1080</v>
      </c>
      <c r="H22" s="171" t="s">
        <v>1132</v>
      </c>
      <c r="I22" s="719" t="str">
        <f t="shared" si="0"/>
        <v xml:space="preserve">Large (&gt; 7m3 storage space) </v>
      </c>
      <c r="J22" s="829">
        <v>1972</v>
      </c>
      <c r="K22" s="829">
        <v>3100</v>
      </c>
      <c r="L22" s="829">
        <v>1128</v>
      </c>
      <c r="M22" s="813">
        <v>8</v>
      </c>
      <c r="N22" s="829">
        <v>5040</v>
      </c>
      <c r="O22" s="742">
        <v>2070</v>
      </c>
      <c r="P22" s="742">
        <v>488</v>
      </c>
      <c r="Q22" s="742">
        <f t="shared" ref="Q22:Q27" si="4">N22-842-1024</f>
        <v>3174</v>
      </c>
      <c r="R22" s="742">
        <v>2530</v>
      </c>
      <c r="S22" s="742">
        <v>1765</v>
      </c>
      <c r="T22" s="742">
        <v>1700</v>
      </c>
      <c r="U22" s="1033"/>
      <c r="V22" s="1033"/>
      <c r="W22" s="1033"/>
      <c r="X22" s="742">
        <v>100</v>
      </c>
      <c r="Y22" s="742">
        <v>57</v>
      </c>
      <c r="Z22" s="742">
        <v>76</v>
      </c>
      <c r="AA22" s="742">
        <v>225</v>
      </c>
      <c r="AB22" s="1018" t="s">
        <v>957</v>
      </c>
      <c r="AC22" s="829">
        <v>33</v>
      </c>
      <c r="AD22" s="829">
        <v>31</v>
      </c>
      <c r="AE22" s="742">
        <v>255</v>
      </c>
      <c r="AF22" s="1018" t="s">
        <v>1090</v>
      </c>
      <c r="AG22" s="829">
        <v>120</v>
      </c>
      <c r="AH22" s="719" t="s">
        <v>118</v>
      </c>
      <c r="AI22" s="829">
        <v>114</v>
      </c>
      <c r="AJ22" s="829">
        <v>97</v>
      </c>
      <c r="AK22" s="829"/>
      <c r="AL22" s="829"/>
      <c r="AM22" s="1026"/>
      <c r="AN22" s="1026"/>
      <c r="AO22" s="813">
        <f>$AC22/AG22*100</f>
        <v>27.500000000000004</v>
      </c>
      <c r="AP22" s="813">
        <f t="shared" si="2"/>
        <v>34.718785650766797</v>
      </c>
      <c r="AQ22" s="813">
        <f t="shared" si="3"/>
        <v>28.947368421052634</v>
      </c>
      <c r="AR22" s="813">
        <f t="shared" si="3"/>
        <v>34.020618556701031</v>
      </c>
      <c r="AS22" s="813"/>
      <c r="AT22" s="813"/>
      <c r="AU22" s="829">
        <v>7.4</v>
      </c>
      <c r="AV22" s="732" t="s">
        <v>961</v>
      </c>
      <c r="AW22" s="719" t="s">
        <v>1089</v>
      </c>
      <c r="AX22" s="829" t="s">
        <v>962</v>
      </c>
      <c r="AY22" s="171" t="s">
        <v>1088</v>
      </c>
      <c r="AZ22" s="719" t="s">
        <v>118</v>
      </c>
      <c r="BA22" s="742" t="e">
        <f>(($AC22*#REF!)/$AU22)*60</f>
        <v>#REF!</v>
      </c>
      <c r="BB22" s="1001">
        <v>73084</v>
      </c>
      <c r="BC22" s="1001">
        <v>0</v>
      </c>
      <c r="BD22" s="1001" t="e">
        <f>BE22*#REF!</f>
        <v>#REF!</v>
      </c>
      <c r="BE22" s="1001">
        <v>60400</v>
      </c>
      <c r="BF22" s="829"/>
      <c r="BG22" s="829" t="s">
        <v>4355</v>
      </c>
    </row>
    <row r="23" spans="1:59" ht="16" customHeight="1">
      <c r="A23" s="171" t="s">
        <v>848</v>
      </c>
      <c r="B23" s="829" t="s">
        <v>588</v>
      </c>
      <c r="C23" s="829" t="s">
        <v>1154</v>
      </c>
      <c r="D23" s="829" t="s">
        <v>1091</v>
      </c>
      <c r="E23" s="719" t="s">
        <v>1145</v>
      </c>
      <c r="F23" s="719"/>
      <c r="G23" s="829" t="s">
        <v>1080</v>
      </c>
      <c r="H23" s="171" t="s">
        <v>1132</v>
      </c>
      <c r="I23" s="719" t="str">
        <f t="shared" si="0"/>
        <v xml:space="preserve">Large (&gt; 7m3 storage space) </v>
      </c>
      <c r="J23" s="829">
        <v>2000</v>
      </c>
      <c r="K23" s="829">
        <v>3100</v>
      </c>
      <c r="L23" s="829">
        <v>1100</v>
      </c>
      <c r="M23" s="813">
        <v>9</v>
      </c>
      <c r="N23" s="829">
        <v>5040</v>
      </c>
      <c r="O23" s="742">
        <v>2070</v>
      </c>
      <c r="P23" s="742">
        <v>499</v>
      </c>
      <c r="Q23" s="742">
        <f t="shared" si="4"/>
        <v>3174</v>
      </c>
      <c r="R23" s="742">
        <v>2530</v>
      </c>
      <c r="S23" s="742">
        <v>1765</v>
      </c>
      <c r="T23" s="742">
        <v>1894</v>
      </c>
      <c r="U23" s="1033"/>
      <c r="V23" s="1033"/>
      <c r="W23" s="1033"/>
      <c r="X23" s="742">
        <v>100</v>
      </c>
      <c r="Y23" s="742">
        <v>57</v>
      </c>
      <c r="Z23" s="742">
        <v>76</v>
      </c>
      <c r="AA23" s="742">
        <v>225</v>
      </c>
      <c r="AB23" s="1018" t="s">
        <v>957</v>
      </c>
      <c r="AC23" s="829">
        <v>33</v>
      </c>
      <c r="AD23" s="829">
        <v>31</v>
      </c>
      <c r="AE23" s="742">
        <v>255</v>
      </c>
      <c r="AF23" s="1018" t="s">
        <v>1090</v>
      </c>
      <c r="AG23" s="719">
        <v>120</v>
      </c>
      <c r="AH23" s="829">
        <v>100</v>
      </c>
      <c r="AI23" s="829">
        <v>111</v>
      </c>
      <c r="AJ23" s="829">
        <v>94</v>
      </c>
      <c r="AK23" s="829"/>
      <c r="AL23" s="829"/>
      <c r="AM23" s="1026"/>
      <c r="AN23" s="1026"/>
      <c r="AO23" s="813">
        <f>$AC23/AH23*100</f>
        <v>33</v>
      </c>
      <c r="AP23" s="813">
        <f t="shared" si="2"/>
        <v>41.662542780920148</v>
      </c>
      <c r="AQ23" s="813">
        <f t="shared" si="3"/>
        <v>29.72972972972973</v>
      </c>
      <c r="AR23" s="813">
        <f t="shared" si="3"/>
        <v>35.106382978723403</v>
      </c>
      <c r="AS23" s="813"/>
      <c r="AT23" s="813"/>
      <c r="AU23" s="829">
        <v>7.4</v>
      </c>
      <c r="AV23" s="732" t="s">
        <v>961</v>
      </c>
      <c r="AW23" s="719" t="s">
        <v>1089</v>
      </c>
      <c r="AX23" s="829" t="s">
        <v>962</v>
      </c>
      <c r="AY23" s="171" t="s">
        <v>1088</v>
      </c>
      <c r="AZ23" s="719" t="s">
        <v>118</v>
      </c>
      <c r="BA23" s="742" t="e">
        <f>(($AC23*#REF!)/$AU23)*60</f>
        <v>#REF!</v>
      </c>
      <c r="BB23" s="1001">
        <v>74173</v>
      </c>
      <c r="BC23" s="1001">
        <v>0</v>
      </c>
      <c r="BD23" s="1001" t="e">
        <f>BE23*#REF!</f>
        <v>#REF!</v>
      </c>
      <c r="BE23" s="1001">
        <v>61300</v>
      </c>
      <c r="BF23" s="829"/>
      <c r="BG23" s="829" t="s">
        <v>4355</v>
      </c>
    </row>
    <row r="24" spans="1:59" ht="16" customHeight="1">
      <c r="A24" s="171" t="s">
        <v>848</v>
      </c>
      <c r="B24" s="829" t="s">
        <v>588</v>
      </c>
      <c r="C24" s="829" t="s">
        <v>1153</v>
      </c>
      <c r="D24" s="829" t="s">
        <v>1091</v>
      </c>
      <c r="E24" s="719" t="s">
        <v>1145</v>
      </c>
      <c r="F24" s="719"/>
      <c r="G24" s="829" t="s">
        <v>1080</v>
      </c>
      <c r="H24" s="171" t="s">
        <v>1132</v>
      </c>
      <c r="I24" s="719" t="str">
        <f t="shared" si="0"/>
        <v xml:space="preserve">Large (&gt; 7m3 storage space) </v>
      </c>
      <c r="J24" s="829">
        <v>2044</v>
      </c>
      <c r="K24" s="829">
        <v>3100</v>
      </c>
      <c r="L24" s="829">
        <v>1056</v>
      </c>
      <c r="M24" s="813">
        <v>10.8</v>
      </c>
      <c r="N24" s="742">
        <v>5548</v>
      </c>
      <c r="O24" s="742">
        <v>2070</v>
      </c>
      <c r="P24" s="742">
        <v>499</v>
      </c>
      <c r="Q24" s="742">
        <f t="shared" si="4"/>
        <v>3682</v>
      </c>
      <c r="R24" s="742">
        <v>3030</v>
      </c>
      <c r="S24" s="742">
        <v>1765</v>
      </c>
      <c r="T24" s="742">
        <v>1894</v>
      </c>
      <c r="U24" s="1033"/>
      <c r="V24" s="1033"/>
      <c r="W24" s="1033"/>
      <c r="X24" s="742">
        <v>100</v>
      </c>
      <c r="Y24" s="742">
        <v>57</v>
      </c>
      <c r="Z24" s="742">
        <v>76</v>
      </c>
      <c r="AA24" s="742">
        <v>225</v>
      </c>
      <c r="AB24" s="1018" t="s">
        <v>957</v>
      </c>
      <c r="AC24" s="829">
        <v>33</v>
      </c>
      <c r="AD24" s="829">
        <v>31</v>
      </c>
      <c r="AE24" s="742">
        <v>255</v>
      </c>
      <c r="AF24" s="1018" t="s">
        <v>1090</v>
      </c>
      <c r="AG24" s="719">
        <v>120</v>
      </c>
      <c r="AH24" s="829">
        <v>100</v>
      </c>
      <c r="AI24" s="829">
        <v>107</v>
      </c>
      <c r="AJ24" s="829">
        <v>90</v>
      </c>
      <c r="AK24" s="829"/>
      <c r="AL24" s="829"/>
      <c r="AM24" s="1026"/>
      <c r="AN24" s="1026"/>
      <c r="AO24" s="813">
        <f>$AC24/AH24*100</f>
        <v>33</v>
      </c>
      <c r="AP24" s="813">
        <f t="shared" si="2"/>
        <v>41.662542780920148</v>
      </c>
      <c r="AQ24" s="813">
        <f t="shared" si="3"/>
        <v>30.841121495327101</v>
      </c>
      <c r="AR24" s="813">
        <f t="shared" si="3"/>
        <v>36.666666666666664</v>
      </c>
      <c r="AS24" s="813"/>
      <c r="AT24" s="813"/>
      <c r="AU24" s="829">
        <v>7.4</v>
      </c>
      <c r="AV24" s="732" t="s">
        <v>961</v>
      </c>
      <c r="AW24" s="719" t="s">
        <v>1089</v>
      </c>
      <c r="AX24" s="829" t="s">
        <v>962</v>
      </c>
      <c r="AY24" s="171" t="s">
        <v>1088</v>
      </c>
      <c r="AZ24" s="719" t="s">
        <v>118</v>
      </c>
      <c r="BA24" s="742" t="e">
        <f>(($AC24*#REF!)/$AU24)*60</f>
        <v>#REF!</v>
      </c>
      <c r="BB24" s="1001">
        <v>75262</v>
      </c>
      <c r="BC24" s="1001">
        <v>0</v>
      </c>
      <c r="BD24" s="1001" t="e">
        <f>BE24*#REF!</f>
        <v>#REF!</v>
      </c>
      <c r="BE24" s="1001">
        <v>62200</v>
      </c>
      <c r="BF24" s="829"/>
      <c r="BG24" s="829" t="s">
        <v>4355</v>
      </c>
    </row>
    <row r="25" spans="1:59" ht="16" customHeight="1">
      <c r="A25" s="171" t="s">
        <v>848</v>
      </c>
      <c r="B25" s="829" t="s">
        <v>588</v>
      </c>
      <c r="C25" s="1025" t="s">
        <v>1152</v>
      </c>
      <c r="D25" s="829" t="s">
        <v>1091</v>
      </c>
      <c r="E25" s="719" t="s">
        <v>1145</v>
      </c>
      <c r="F25" s="719"/>
      <c r="G25" s="829" t="s">
        <v>1080</v>
      </c>
      <c r="H25" s="171" t="s">
        <v>1132</v>
      </c>
      <c r="I25" s="719" t="str">
        <f t="shared" si="0"/>
        <v xml:space="preserve">Large (&gt; 7m3 storage space) </v>
      </c>
      <c r="J25" s="829">
        <v>2125</v>
      </c>
      <c r="K25" s="829">
        <v>3100</v>
      </c>
      <c r="L25" s="829">
        <v>975</v>
      </c>
      <c r="M25" s="813">
        <v>13</v>
      </c>
      <c r="N25" s="742">
        <v>6190</v>
      </c>
      <c r="O25" s="742">
        <v>2070</v>
      </c>
      <c r="P25" s="742">
        <v>500</v>
      </c>
      <c r="Q25" s="742">
        <f t="shared" si="4"/>
        <v>4324</v>
      </c>
      <c r="R25" s="742">
        <v>3680</v>
      </c>
      <c r="S25" s="742">
        <v>1765</v>
      </c>
      <c r="T25" s="742">
        <v>1894</v>
      </c>
      <c r="U25" s="1033"/>
      <c r="V25" s="1033"/>
      <c r="W25" s="1033"/>
      <c r="X25" s="742">
        <v>100</v>
      </c>
      <c r="Y25" s="742">
        <v>57</v>
      </c>
      <c r="Z25" s="742">
        <v>76</v>
      </c>
      <c r="AA25" s="742">
        <v>225</v>
      </c>
      <c r="AB25" s="1018" t="s">
        <v>957</v>
      </c>
      <c r="AC25" s="829">
        <v>33</v>
      </c>
      <c r="AD25" s="829">
        <v>31</v>
      </c>
      <c r="AE25" s="742">
        <v>255</v>
      </c>
      <c r="AF25" s="1018" t="s">
        <v>1090</v>
      </c>
      <c r="AG25" s="829">
        <v>120</v>
      </c>
      <c r="AH25" s="719" t="s">
        <v>118</v>
      </c>
      <c r="AI25" s="829">
        <v>104</v>
      </c>
      <c r="AJ25" s="829">
        <v>86</v>
      </c>
      <c r="AK25" s="742">
        <v>120</v>
      </c>
      <c r="AL25" s="742">
        <v>80</v>
      </c>
      <c r="AM25" s="1003"/>
      <c r="AN25" s="1003"/>
      <c r="AO25" s="813">
        <f t="shared" ref="AO25:AO36" si="5">$AC25/AG25*100</f>
        <v>27.500000000000004</v>
      </c>
      <c r="AP25" s="813">
        <f t="shared" si="2"/>
        <v>34.718785650766797</v>
      </c>
      <c r="AQ25" s="813">
        <f t="shared" si="3"/>
        <v>31.73076923076923</v>
      </c>
      <c r="AR25" s="813">
        <f t="shared" si="3"/>
        <v>38.372093023255815</v>
      </c>
      <c r="AS25" s="742">
        <f>AC25/AK25*100</f>
        <v>27.500000000000004</v>
      </c>
      <c r="AT25" s="742">
        <f>AD25/AL25*100</f>
        <v>38.75</v>
      </c>
      <c r="AU25" s="829">
        <v>7.4</v>
      </c>
      <c r="AV25" s="732" t="s">
        <v>961</v>
      </c>
      <c r="AW25" s="719" t="s">
        <v>1089</v>
      </c>
      <c r="AX25" s="829" t="s">
        <v>962</v>
      </c>
      <c r="AY25" s="171" t="s">
        <v>1088</v>
      </c>
      <c r="AZ25" s="719" t="s">
        <v>118</v>
      </c>
      <c r="BA25" s="742" t="e">
        <f>(($AC25*#REF!)/$AU25)*60</f>
        <v>#REF!</v>
      </c>
      <c r="BB25" s="1001">
        <v>76351</v>
      </c>
      <c r="BC25" s="1001">
        <v>0</v>
      </c>
      <c r="BD25" s="1001" t="e">
        <f>BE25*#REF!</f>
        <v>#REF!</v>
      </c>
      <c r="BE25" s="1001">
        <v>63100</v>
      </c>
      <c r="BF25" s="829"/>
      <c r="BG25" s="829" t="s">
        <v>4355</v>
      </c>
    </row>
    <row r="26" spans="1:59" ht="16" customHeight="1">
      <c r="A26" s="171" t="s">
        <v>848</v>
      </c>
      <c r="B26" s="829" t="s">
        <v>588</v>
      </c>
      <c r="C26" s="829" t="s">
        <v>1146</v>
      </c>
      <c r="D26" s="829" t="s">
        <v>1091</v>
      </c>
      <c r="E26" s="719" t="s">
        <v>1145</v>
      </c>
      <c r="F26" s="719"/>
      <c r="G26" s="829" t="s">
        <v>1080</v>
      </c>
      <c r="H26" s="171" t="s">
        <v>1132</v>
      </c>
      <c r="I26" s="719" t="str">
        <f t="shared" si="0"/>
        <v xml:space="preserve">Large (&gt; 7m3 storage space) </v>
      </c>
      <c r="J26" s="829">
        <v>1723</v>
      </c>
      <c r="K26" s="829">
        <v>3100</v>
      </c>
      <c r="L26" s="829">
        <v>1377</v>
      </c>
      <c r="M26" s="1022" t="s">
        <v>158</v>
      </c>
      <c r="N26" s="742">
        <v>5530</v>
      </c>
      <c r="O26" s="742">
        <v>2070</v>
      </c>
      <c r="P26" s="1018">
        <v>270</v>
      </c>
      <c r="Q26" s="742">
        <f t="shared" si="4"/>
        <v>3664</v>
      </c>
      <c r="R26" s="1018" t="s">
        <v>118</v>
      </c>
      <c r="S26" s="1018" t="s">
        <v>118</v>
      </c>
      <c r="T26" s="1018" t="s">
        <v>118</v>
      </c>
      <c r="U26" s="1033"/>
      <c r="V26" s="1033"/>
      <c r="W26" s="1033"/>
      <c r="X26" s="742">
        <v>100</v>
      </c>
      <c r="Y26" s="742">
        <v>57</v>
      </c>
      <c r="Z26" s="742">
        <v>76</v>
      </c>
      <c r="AA26" s="742">
        <v>225</v>
      </c>
      <c r="AB26" s="1018" t="s">
        <v>957</v>
      </c>
      <c r="AC26" s="829">
        <v>33</v>
      </c>
      <c r="AD26" s="829">
        <v>31</v>
      </c>
      <c r="AE26" s="742">
        <v>255</v>
      </c>
      <c r="AF26" s="1018" t="s">
        <v>1090</v>
      </c>
      <c r="AG26" s="829">
        <v>120</v>
      </c>
      <c r="AH26" s="719" t="s">
        <v>118</v>
      </c>
      <c r="AI26" s="829">
        <v>120</v>
      </c>
      <c r="AJ26" s="829">
        <v>80</v>
      </c>
      <c r="AK26" s="829"/>
      <c r="AL26" s="829"/>
      <c r="AM26" s="1026"/>
      <c r="AN26" s="1026"/>
      <c r="AO26" s="813">
        <f t="shared" si="5"/>
        <v>27.500000000000004</v>
      </c>
      <c r="AP26" s="813">
        <f t="shared" si="2"/>
        <v>34.718785650766797</v>
      </c>
      <c r="AQ26" s="813">
        <f t="shared" si="3"/>
        <v>27.500000000000004</v>
      </c>
      <c r="AR26" s="813">
        <f t="shared" si="3"/>
        <v>41.25</v>
      </c>
      <c r="AS26" s="813"/>
      <c r="AT26" s="813"/>
      <c r="AU26" s="829">
        <v>7.4</v>
      </c>
      <c r="AV26" s="732" t="s">
        <v>961</v>
      </c>
      <c r="AW26" s="719" t="s">
        <v>1089</v>
      </c>
      <c r="AX26" s="829" t="s">
        <v>962</v>
      </c>
      <c r="AY26" s="171" t="s">
        <v>1088</v>
      </c>
      <c r="AZ26" s="719" t="s">
        <v>118</v>
      </c>
      <c r="BA26" s="742" t="e">
        <f>(($AC26*#REF!)/$AU26)*60</f>
        <v>#REF!</v>
      </c>
      <c r="BB26" s="1001">
        <v>72963</v>
      </c>
      <c r="BC26" s="1001">
        <v>0</v>
      </c>
      <c r="BD26" s="1001" t="e">
        <f>BE26*#REF!</f>
        <v>#REF!</v>
      </c>
      <c r="BE26" s="1001">
        <v>60300</v>
      </c>
      <c r="BF26" s="829"/>
      <c r="BG26" s="829" t="s">
        <v>4355</v>
      </c>
    </row>
    <row r="27" spans="1:59" ht="16" customHeight="1">
      <c r="A27" s="171" t="s">
        <v>848</v>
      </c>
      <c r="B27" s="829" t="s">
        <v>588</v>
      </c>
      <c r="C27" s="829" t="s">
        <v>1146</v>
      </c>
      <c r="D27" s="829" t="s">
        <v>1091</v>
      </c>
      <c r="E27" s="719" t="s">
        <v>1145</v>
      </c>
      <c r="F27" s="719"/>
      <c r="G27" s="829" t="s">
        <v>1080</v>
      </c>
      <c r="H27" s="171" t="s">
        <v>1132</v>
      </c>
      <c r="I27" s="719" t="str">
        <f t="shared" si="0"/>
        <v xml:space="preserve">Large (&gt; 7m3 storage space) </v>
      </c>
      <c r="J27" s="829">
        <v>1753</v>
      </c>
      <c r="K27" s="829">
        <v>3100</v>
      </c>
      <c r="L27" s="829">
        <v>1345</v>
      </c>
      <c r="M27" s="1022" t="s">
        <v>158</v>
      </c>
      <c r="N27" s="742">
        <v>6180</v>
      </c>
      <c r="O27" s="742">
        <v>2070</v>
      </c>
      <c r="P27" s="1018">
        <v>264</v>
      </c>
      <c r="Q27" s="742">
        <f t="shared" si="4"/>
        <v>4314</v>
      </c>
      <c r="R27" s="1018" t="s">
        <v>118</v>
      </c>
      <c r="S27" s="1018" t="s">
        <v>118</v>
      </c>
      <c r="T27" s="1018" t="s">
        <v>118</v>
      </c>
      <c r="U27" s="1033"/>
      <c r="V27" s="1033"/>
      <c r="W27" s="1033"/>
      <c r="X27" s="742">
        <v>100</v>
      </c>
      <c r="Y27" s="742">
        <v>57</v>
      </c>
      <c r="Z27" s="742">
        <v>76</v>
      </c>
      <c r="AA27" s="742">
        <v>225</v>
      </c>
      <c r="AB27" s="1018" t="s">
        <v>957</v>
      </c>
      <c r="AC27" s="829">
        <v>33</v>
      </c>
      <c r="AD27" s="829">
        <v>31</v>
      </c>
      <c r="AE27" s="742">
        <v>255</v>
      </c>
      <c r="AF27" s="1018" t="s">
        <v>1090</v>
      </c>
      <c r="AG27" s="829">
        <v>120</v>
      </c>
      <c r="AH27" s="719" t="s">
        <v>118</v>
      </c>
      <c r="AI27" s="829">
        <v>120</v>
      </c>
      <c r="AJ27" s="829">
        <v>80</v>
      </c>
      <c r="AK27" s="829"/>
      <c r="AL27" s="829"/>
      <c r="AM27" s="1026"/>
      <c r="AN27" s="1026"/>
      <c r="AO27" s="813">
        <f t="shared" si="5"/>
        <v>27.500000000000004</v>
      </c>
      <c r="AP27" s="813">
        <f t="shared" si="2"/>
        <v>34.718785650766797</v>
      </c>
      <c r="AQ27" s="813">
        <f t="shared" si="3"/>
        <v>27.500000000000004</v>
      </c>
      <c r="AR27" s="813">
        <f t="shared" si="3"/>
        <v>41.25</v>
      </c>
      <c r="AS27" s="813"/>
      <c r="AT27" s="813"/>
      <c r="AU27" s="829">
        <v>7.4</v>
      </c>
      <c r="AV27" s="732" t="s">
        <v>961</v>
      </c>
      <c r="AW27" s="719" t="s">
        <v>1089</v>
      </c>
      <c r="AX27" s="829" t="s">
        <v>962</v>
      </c>
      <c r="AY27" s="171" t="s">
        <v>1088</v>
      </c>
      <c r="AZ27" s="719" t="s">
        <v>118</v>
      </c>
      <c r="BA27" s="742" t="e">
        <f>(($AC27*#REF!)/$AU27)*60</f>
        <v>#REF!</v>
      </c>
      <c r="BB27" s="1001">
        <v>74052</v>
      </c>
      <c r="BC27" s="1001">
        <v>0</v>
      </c>
      <c r="BD27" s="1001" t="e">
        <f>BE27*#REF!</f>
        <v>#REF!</v>
      </c>
      <c r="BE27" s="1001">
        <v>61200</v>
      </c>
      <c r="BF27" s="829"/>
      <c r="BG27" s="829" t="s">
        <v>4355</v>
      </c>
    </row>
    <row r="28" spans="1:59" ht="16" customHeight="1">
      <c r="A28" s="171" t="s">
        <v>848</v>
      </c>
      <c r="B28" s="829" t="s">
        <v>1142</v>
      </c>
      <c r="C28" s="829" t="s">
        <v>1144</v>
      </c>
      <c r="D28" s="829" t="s">
        <v>1091</v>
      </c>
      <c r="E28" s="1021">
        <v>43525</v>
      </c>
      <c r="F28" s="1021"/>
      <c r="G28" s="829" t="s">
        <v>1080</v>
      </c>
      <c r="H28" s="171" t="s">
        <v>1132</v>
      </c>
      <c r="I28" s="719" t="str">
        <f t="shared" si="0"/>
        <v xml:space="preserve">Large (&gt; 7m3 storage space) </v>
      </c>
      <c r="J28" s="719">
        <v>2595</v>
      </c>
      <c r="K28" s="829">
        <v>3500</v>
      </c>
      <c r="L28" s="829">
        <v>955</v>
      </c>
      <c r="M28" s="1022">
        <v>10.199999999999999</v>
      </c>
      <c r="N28" s="1018">
        <v>5700</v>
      </c>
      <c r="O28" s="1018">
        <v>1998</v>
      </c>
      <c r="P28" s="1018">
        <v>2345</v>
      </c>
      <c r="Q28" s="1018">
        <v>3850</v>
      </c>
      <c r="R28" s="742">
        <v>3150</v>
      </c>
      <c r="S28" s="1018">
        <v>3150</v>
      </c>
      <c r="T28" s="1018">
        <v>1735</v>
      </c>
      <c r="U28" s="1015" t="s">
        <v>953</v>
      </c>
      <c r="V28" s="1033">
        <v>750</v>
      </c>
      <c r="W28" s="1033">
        <v>1200</v>
      </c>
      <c r="X28" s="829"/>
      <c r="Y28" s="742">
        <v>100</v>
      </c>
      <c r="Z28" s="1018">
        <v>136</v>
      </c>
      <c r="AA28" s="1018">
        <v>320</v>
      </c>
      <c r="AB28" s="1018" t="s">
        <v>957</v>
      </c>
      <c r="AC28" s="1018">
        <v>56</v>
      </c>
      <c r="AD28" s="742" t="e">
        <f>$AD$16/$AC$16*AC28</f>
        <v>#DIV/0!</v>
      </c>
      <c r="AE28" s="742"/>
      <c r="AF28" s="719" t="s">
        <v>1140</v>
      </c>
      <c r="AG28" s="719">
        <v>200</v>
      </c>
      <c r="AH28" s="719"/>
      <c r="AI28" s="719"/>
      <c r="AJ28" s="719"/>
      <c r="AK28" s="719">
        <v>150</v>
      </c>
      <c r="AL28" s="719"/>
      <c r="AM28" s="1017"/>
      <c r="AN28" s="1017"/>
      <c r="AO28" s="719">
        <f t="shared" si="5"/>
        <v>28.000000000000004</v>
      </c>
      <c r="AP28" s="719"/>
      <c r="AQ28" s="742"/>
      <c r="AR28" s="742"/>
      <c r="AS28" s="742"/>
      <c r="AT28" s="742"/>
      <c r="AU28" s="829">
        <v>7.4</v>
      </c>
      <c r="AV28" s="1033" t="s">
        <v>953</v>
      </c>
      <c r="AW28" s="829">
        <v>40</v>
      </c>
      <c r="AX28" s="829" t="s">
        <v>962</v>
      </c>
      <c r="AY28" s="829" t="s">
        <v>1078</v>
      </c>
      <c r="AZ28" s="742" t="e">
        <f>((AC28*#REF!)/AW28)*60</f>
        <v>#REF!</v>
      </c>
      <c r="BA28" s="742" t="e">
        <f>(($AC28*#REF!)/$AU28)*60</f>
        <v>#REF!</v>
      </c>
      <c r="BB28" s="1001">
        <v>59895</v>
      </c>
      <c r="BC28" s="1001">
        <v>0</v>
      </c>
      <c r="BD28" s="1001" t="e">
        <f>BE28*#REF!</f>
        <v>#REF!</v>
      </c>
      <c r="BE28" s="1001">
        <v>49500</v>
      </c>
      <c r="BF28" s="704" t="s">
        <v>1139</v>
      </c>
      <c r="BG28" s="1038" t="s">
        <v>1138</v>
      </c>
    </row>
    <row r="29" spans="1:59" ht="16" customHeight="1">
      <c r="A29" s="171" t="s">
        <v>848</v>
      </c>
      <c r="B29" s="829" t="s">
        <v>1142</v>
      </c>
      <c r="C29" s="829" t="s">
        <v>1143</v>
      </c>
      <c r="D29" s="829" t="s">
        <v>1091</v>
      </c>
      <c r="E29" s="1021">
        <v>43525</v>
      </c>
      <c r="F29" s="1021"/>
      <c r="G29" s="829" t="s">
        <v>1080</v>
      </c>
      <c r="H29" s="171" t="s">
        <v>1132</v>
      </c>
      <c r="I29" s="719" t="str">
        <f t="shared" si="0"/>
        <v xml:space="preserve">Large (&gt; 7m3 storage space) </v>
      </c>
      <c r="J29" s="719">
        <v>2615</v>
      </c>
      <c r="K29" s="829">
        <v>3500</v>
      </c>
      <c r="L29" s="829">
        <v>885</v>
      </c>
      <c r="M29" s="1022">
        <v>11.5</v>
      </c>
      <c r="N29" s="1018">
        <v>5700</v>
      </c>
      <c r="O29" s="1018">
        <v>1998</v>
      </c>
      <c r="P29" s="1018">
        <v>2552</v>
      </c>
      <c r="Q29" s="1018">
        <v>3850</v>
      </c>
      <c r="R29" s="742">
        <v>3150</v>
      </c>
      <c r="S29" s="1018">
        <v>3150</v>
      </c>
      <c r="T29" s="1018">
        <v>1940</v>
      </c>
      <c r="U29" s="1015" t="s">
        <v>953</v>
      </c>
      <c r="V29" s="1033">
        <v>750</v>
      </c>
      <c r="W29" s="1033">
        <v>1200</v>
      </c>
      <c r="X29" s="829"/>
      <c r="Y29" s="742">
        <v>100</v>
      </c>
      <c r="Z29" s="1018">
        <v>136</v>
      </c>
      <c r="AA29" s="1018">
        <v>320</v>
      </c>
      <c r="AB29" s="1018" t="s">
        <v>957</v>
      </c>
      <c r="AC29" s="1018">
        <v>56</v>
      </c>
      <c r="AD29" s="742" t="e">
        <f>$AD$16/$AC$16*AC29</f>
        <v>#DIV/0!</v>
      </c>
      <c r="AE29" s="742"/>
      <c r="AF29" s="719" t="s">
        <v>1140</v>
      </c>
      <c r="AG29" s="719">
        <v>200</v>
      </c>
      <c r="AH29" s="719"/>
      <c r="AI29" s="719"/>
      <c r="AJ29" s="719"/>
      <c r="AK29" s="719"/>
      <c r="AL29" s="719"/>
      <c r="AM29" s="1017"/>
      <c r="AN29" s="1017"/>
      <c r="AO29" s="719">
        <f t="shared" si="5"/>
        <v>28.000000000000004</v>
      </c>
      <c r="AP29" s="719"/>
      <c r="AQ29" s="742"/>
      <c r="AR29" s="742"/>
      <c r="AS29" s="742"/>
      <c r="AT29" s="742"/>
      <c r="AU29" s="829">
        <v>7.4</v>
      </c>
      <c r="AV29" s="1033" t="s">
        <v>953</v>
      </c>
      <c r="AW29" s="829">
        <v>40</v>
      </c>
      <c r="AX29" s="829" t="s">
        <v>962</v>
      </c>
      <c r="AY29" s="829" t="s">
        <v>1078</v>
      </c>
      <c r="AZ29" s="742" t="e">
        <f>((AC29*#REF!)/AW29)*60</f>
        <v>#REF!</v>
      </c>
      <c r="BA29" s="742" t="e">
        <f>(($AC29*#REF!)/$AU29)*60</f>
        <v>#REF!</v>
      </c>
      <c r="BB29" s="1001">
        <v>61044.5</v>
      </c>
      <c r="BC29" s="1001">
        <v>0</v>
      </c>
      <c r="BD29" s="1001" t="e">
        <f>BE29*#REF!</f>
        <v>#REF!</v>
      </c>
      <c r="BE29" s="1001">
        <v>50450</v>
      </c>
      <c r="BF29" s="704" t="s">
        <v>1139</v>
      </c>
      <c r="BG29" s="1038" t="s">
        <v>1138</v>
      </c>
    </row>
    <row r="30" spans="1:59" ht="16" customHeight="1">
      <c r="A30" s="171" t="s">
        <v>848</v>
      </c>
      <c r="B30" s="829" t="s">
        <v>1142</v>
      </c>
      <c r="C30" s="829" t="s">
        <v>1141</v>
      </c>
      <c r="D30" s="829" t="s">
        <v>1091</v>
      </c>
      <c r="E30" s="1021">
        <v>43525</v>
      </c>
      <c r="F30" s="1021"/>
      <c r="G30" s="829" t="s">
        <v>1080</v>
      </c>
      <c r="H30" s="171" t="s">
        <v>1132</v>
      </c>
      <c r="I30" s="719" t="str">
        <f t="shared" si="0"/>
        <v xml:space="preserve">Large (&gt; 7m3 storage space) </v>
      </c>
      <c r="J30" s="719">
        <v>2235</v>
      </c>
      <c r="K30" s="829">
        <v>3500</v>
      </c>
      <c r="L30" s="829">
        <f>K30-J30</f>
        <v>1265</v>
      </c>
      <c r="M30" s="1018" t="s">
        <v>118</v>
      </c>
      <c r="N30" s="1018">
        <v>5620</v>
      </c>
      <c r="O30" s="1018">
        <v>1996</v>
      </c>
      <c r="P30" s="1018">
        <v>2136</v>
      </c>
      <c r="Q30" s="1018">
        <v>3850</v>
      </c>
      <c r="R30" s="1018" t="s">
        <v>118</v>
      </c>
      <c r="S30" s="1018" t="s">
        <v>118</v>
      </c>
      <c r="T30" s="1018" t="s">
        <v>118</v>
      </c>
      <c r="U30" s="1015" t="s">
        <v>953</v>
      </c>
      <c r="V30" s="1033">
        <v>750</v>
      </c>
      <c r="W30" s="1033">
        <v>1200</v>
      </c>
      <c r="X30" s="829"/>
      <c r="Y30" s="742">
        <v>100</v>
      </c>
      <c r="Z30" s="1018">
        <v>136</v>
      </c>
      <c r="AA30" s="1018">
        <v>320</v>
      </c>
      <c r="AB30" s="1018" t="s">
        <v>957</v>
      </c>
      <c r="AC30" s="1018">
        <v>56</v>
      </c>
      <c r="AD30" s="742" t="e">
        <f>$AD$16/$AC$16*AC30</f>
        <v>#DIV/0!</v>
      </c>
      <c r="AE30" s="742"/>
      <c r="AF30" s="719" t="s">
        <v>1140</v>
      </c>
      <c r="AG30" s="719">
        <v>200</v>
      </c>
      <c r="AH30" s="719"/>
      <c r="AI30" s="719"/>
      <c r="AJ30" s="719"/>
      <c r="AK30" s="719"/>
      <c r="AL30" s="719"/>
      <c r="AM30" s="1017"/>
      <c r="AN30" s="1017"/>
      <c r="AO30" s="719">
        <f t="shared" si="5"/>
        <v>28.000000000000004</v>
      </c>
      <c r="AP30" s="719"/>
      <c r="AQ30" s="742"/>
      <c r="AR30" s="742"/>
      <c r="AS30" s="742"/>
      <c r="AT30" s="742"/>
      <c r="AU30" s="829">
        <v>7.4</v>
      </c>
      <c r="AV30" s="1033" t="s">
        <v>953</v>
      </c>
      <c r="AW30" s="829">
        <v>40</v>
      </c>
      <c r="AX30" s="829" t="s">
        <v>962</v>
      </c>
      <c r="AY30" s="829" t="s">
        <v>1078</v>
      </c>
      <c r="AZ30" s="742" t="e">
        <f>((AC30*#REF!)/AW30)*60</f>
        <v>#REF!</v>
      </c>
      <c r="BA30" s="742" t="e">
        <f>(($AC30*#REF!)/$AU30)*60</f>
        <v>#REF!</v>
      </c>
      <c r="BB30" s="1001">
        <v>67760</v>
      </c>
      <c r="BC30" s="1001">
        <v>0</v>
      </c>
      <c r="BD30" s="1001" t="e">
        <f>BE30*#REF!</f>
        <v>#REF!</v>
      </c>
      <c r="BE30" s="1001">
        <v>48000</v>
      </c>
      <c r="BF30" s="704" t="s">
        <v>1139</v>
      </c>
      <c r="BG30" s="1038" t="s">
        <v>1138</v>
      </c>
    </row>
    <row r="31" spans="1:59" ht="16" customHeight="1">
      <c r="A31" s="541" t="s">
        <v>848</v>
      </c>
      <c r="B31" s="829" t="s">
        <v>1123</v>
      </c>
      <c r="C31" s="829" t="s">
        <v>1124</v>
      </c>
      <c r="D31" s="829" t="s">
        <v>1081</v>
      </c>
      <c r="E31" s="1021">
        <v>43891</v>
      </c>
      <c r="F31" s="719"/>
      <c r="G31" s="829" t="s">
        <v>1080</v>
      </c>
      <c r="H31" s="829" t="s">
        <v>1108</v>
      </c>
      <c r="I31" s="719" t="str">
        <f t="shared" si="0"/>
        <v>Medium (4.5 -  7 m3)</v>
      </c>
      <c r="J31" s="829"/>
      <c r="K31" s="829">
        <v>3000</v>
      </c>
      <c r="L31" s="719" t="s">
        <v>1121</v>
      </c>
      <c r="M31" s="1022"/>
      <c r="N31" s="742"/>
      <c r="O31" s="742"/>
      <c r="P31" s="1018"/>
      <c r="Q31" s="742"/>
      <c r="R31" s="1018"/>
      <c r="S31" s="1018"/>
      <c r="T31" s="1018"/>
      <c r="U31" s="1033"/>
      <c r="V31" s="1033"/>
      <c r="W31" s="1033"/>
      <c r="X31" s="742"/>
      <c r="Y31" s="742"/>
      <c r="Z31" s="742"/>
      <c r="AA31" s="742"/>
      <c r="AB31" s="1018"/>
      <c r="AC31" s="829">
        <v>35</v>
      </c>
      <c r="AD31" s="742" t="e">
        <f>$AD$16/$AC$16*AC31</f>
        <v>#DIV/0!</v>
      </c>
      <c r="AE31" s="742"/>
      <c r="AF31" s="1018"/>
      <c r="AG31" s="829">
        <v>205</v>
      </c>
      <c r="AH31" s="719"/>
      <c r="AI31" s="829"/>
      <c r="AJ31" s="829"/>
      <c r="AK31" s="829"/>
      <c r="AL31" s="829"/>
      <c r="AM31" s="1026"/>
      <c r="AN31" s="1026"/>
      <c r="AO31" s="1018">
        <f t="shared" si="5"/>
        <v>17.073170731707318</v>
      </c>
      <c r="AP31" s="1022">
        <f t="shared" ref="AP31:AP36" si="6">AO31*Factor_WLTP_NEDC</f>
        <v>21.55490018229424</v>
      </c>
      <c r="AQ31" s="813"/>
      <c r="AR31" s="813"/>
      <c r="AS31" s="813"/>
      <c r="AT31" s="813"/>
      <c r="AU31" s="829"/>
      <c r="AV31" s="732"/>
      <c r="AW31" s="719"/>
      <c r="AX31" s="829"/>
      <c r="AZ31" s="719"/>
      <c r="BA31" s="742"/>
      <c r="BB31" s="1001"/>
      <c r="BC31" s="1001"/>
      <c r="BD31" s="1001"/>
      <c r="BE31" s="1001">
        <v>25000</v>
      </c>
      <c r="BF31" s="829"/>
      <c r="BG31" s="1027" t="s">
        <v>1120</v>
      </c>
    </row>
    <row r="32" spans="1:59" ht="16" customHeight="1">
      <c r="A32" s="541" t="s">
        <v>848</v>
      </c>
      <c r="B32" s="829" t="s">
        <v>1123</v>
      </c>
      <c r="C32" s="829" t="s">
        <v>1122</v>
      </c>
      <c r="D32" s="829" t="s">
        <v>1081</v>
      </c>
      <c r="E32" s="1021">
        <v>43891</v>
      </c>
      <c r="F32" s="719"/>
      <c r="G32" s="829" t="s">
        <v>1080</v>
      </c>
      <c r="H32" s="829" t="s">
        <v>1108</v>
      </c>
      <c r="I32" s="719" t="str">
        <f t="shared" si="0"/>
        <v>Medium (4.5 -  7 m3)</v>
      </c>
      <c r="J32" s="829"/>
      <c r="K32" s="829">
        <v>3000</v>
      </c>
      <c r="L32" s="719" t="s">
        <v>1121</v>
      </c>
      <c r="M32" s="1022"/>
      <c r="N32" s="742"/>
      <c r="O32" s="742"/>
      <c r="P32" s="1018"/>
      <c r="Q32" s="742"/>
      <c r="R32" s="1018"/>
      <c r="S32" s="1018"/>
      <c r="T32" s="1018"/>
      <c r="U32" s="1033"/>
      <c r="V32" s="1033"/>
      <c r="W32" s="1033"/>
      <c r="X32" s="742"/>
      <c r="Y32" s="742"/>
      <c r="Z32" s="742"/>
      <c r="AA32" s="742"/>
      <c r="AB32" s="1018"/>
      <c r="AC32" s="829">
        <v>53</v>
      </c>
      <c r="AD32" s="742" t="e">
        <f>$AD$16/$AC$16*AC32</f>
        <v>#DIV/0!</v>
      </c>
      <c r="AE32" s="742"/>
      <c r="AF32" s="1018"/>
      <c r="AG32" s="829">
        <v>320</v>
      </c>
      <c r="AH32" s="719"/>
      <c r="AI32" s="829"/>
      <c r="AJ32" s="829"/>
      <c r="AK32" s="829"/>
      <c r="AL32" s="829"/>
      <c r="AM32" s="1026"/>
      <c r="AN32" s="1026"/>
      <c r="AO32" s="1018">
        <f t="shared" si="5"/>
        <v>16.5625</v>
      </c>
      <c r="AP32" s="1022">
        <f t="shared" si="6"/>
        <v>20.910177721484544</v>
      </c>
      <c r="AQ32" s="813"/>
      <c r="AR32" s="813"/>
      <c r="AS32" s="813"/>
      <c r="AT32" s="813"/>
      <c r="AU32" s="829"/>
      <c r="AV32" s="732"/>
      <c r="AW32" s="719"/>
      <c r="AX32" s="829"/>
      <c r="AZ32" s="719"/>
      <c r="BA32" s="742"/>
      <c r="BB32" s="1001"/>
      <c r="BC32" s="1001"/>
      <c r="BD32" s="1001"/>
      <c r="BE32" s="1001">
        <v>25000</v>
      </c>
      <c r="BF32" s="829"/>
      <c r="BG32" s="1027" t="s">
        <v>1120</v>
      </c>
    </row>
    <row r="33" spans="1:59" ht="16" customHeight="1">
      <c r="A33" s="171" t="s">
        <v>848</v>
      </c>
      <c r="B33" s="829" t="s">
        <v>1123</v>
      </c>
      <c r="C33" s="829" t="s">
        <v>1137</v>
      </c>
      <c r="D33" s="829" t="s">
        <v>1081</v>
      </c>
      <c r="E33" s="1021">
        <v>44166</v>
      </c>
      <c r="F33" s="719"/>
      <c r="G33" s="829" t="s">
        <v>1080</v>
      </c>
      <c r="H33" s="171" t="s">
        <v>1132</v>
      </c>
      <c r="I33" s="719" t="str">
        <f t="shared" si="0"/>
        <v xml:space="preserve">Large (&gt; 7m3 storage space) </v>
      </c>
      <c r="J33" s="829"/>
      <c r="K33" s="829"/>
      <c r="L33" s="829"/>
      <c r="M33" s="1022">
        <v>9</v>
      </c>
      <c r="N33" s="742"/>
      <c r="O33" s="742"/>
      <c r="P33" s="1018"/>
      <c r="Q33" s="742"/>
      <c r="R33" s="1018"/>
      <c r="S33" s="1018"/>
      <c r="T33" s="1018"/>
      <c r="U33" s="1033"/>
      <c r="V33" s="1033"/>
      <c r="W33" s="1033"/>
      <c r="X33" s="742"/>
      <c r="Y33" s="742">
        <v>150</v>
      </c>
      <c r="Z33" s="742">
        <v>204</v>
      </c>
      <c r="AA33" s="742">
        <v>310</v>
      </c>
      <c r="AB33" s="1018"/>
      <c r="AC33" s="1018">
        <v>52</v>
      </c>
      <c r="AD33" s="829"/>
      <c r="AE33" s="742"/>
      <c r="AF33" s="1018"/>
      <c r="AG33" s="719">
        <v>200</v>
      </c>
      <c r="AH33" s="719"/>
      <c r="AI33" s="829"/>
      <c r="AJ33" s="829"/>
      <c r="AK33" s="829"/>
      <c r="AL33" s="829"/>
      <c r="AM33" s="1026"/>
      <c r="AN33" s="1026"/>
      <c r="AO33" s="813">
        <f t="shared" si="5"/>
        <v>26</v>
      </c>
      <c r="AP33" s="1022">
        <f t="shared" si="6"/>
        <v>32.825033706179511</v>
      </c>
      <c r="AQ33" s="813"/>
      <c r="AR33" s="813"/>
      <c r="AS33" s="813"/>
      <c r="AT33" s="813"/>
      <c r="AU33" s="829"/>
      <c r="AV33" s="732"/>
      <c r="AW33" s="719"/>
      <c r="AX33" s="829"/>
      <c r="AZ33" s="719"/>
      <c r="BA33" s="742"/>
      <c r="BB33" s="1001"/>
      <c r="BC33" s="1001"/>
      <c r="BD33" s="1001"/>
      <c r="BE33" s="1001"/>
      <c r="BF33" s="829"/>
      <c r="BG33" s="703" t="s">
        <v>1135</v>
      </c>
    </row>
    <row r="34" spans="1:59" ht="16" customHeight="1">
      <c r="A34" s="171" t="s">
        <v>848</v>
      </c>
      <c r="B34" s="829" t="s">
        <v>1123</v>
      </c>
      <c r="C34" s="829" t="s">
        <v>1916</v>
      </c>
      <c r="D34" s="829" t="s">
        <v>1081</v>
      </c>
      <c r="E34" s="1021">
        <v>44166</v>
      </c>
      <c r="F34" s="719"/>
      <c r="G34" s="829" t="s">
        <v>1080</v>
      </c>
      <c r="H34" s="171" t="s">
        <v>1132</v>
      </c>
      <c r="I34" s="719" t="str">
        <f t="shared" si="0"/>
        <v xml:space="preserve">Large (&gt; 7m3 storage space) </v>
      </c>
      <c r="J34" s="829"/>
      <c r="K34" s="829"/>
      <c r="L34" s="829"/>
      <c r="M34" s="1022">
        <v>9</v>
      </c>
      <c r="N34" s="742"/>
      <c r="O34" s="742"/>
      <c r="P34" s="1018"/>
      <c r="Q34" s="742"/>
      <c r="R34" s="1018"/>
      <c r="S34" s="1018"/>
      <c r="T34" s="1018"/>
      <c r="U34" s="1033"/>
      <c r="V34" s="1033"/>
      <c r="W34" s="1033"/>
      <c r="X34" s="742"/>
      <c r="Y34" s="742">
        <v>150</v>
      </c>
      <c r="Z34" s="742">
        <v>204</v>
      </c>
      <c r="AA34" s="742">
        <v>310</v>
      </c>
      <c r="AB34" s="1018"/>
      <c r="AC34" s="1018">
        <v>72</v>
      </c>
      <c r="AD34" s="829"/>
      <c r="AE34" s="742"/>
      <c r="AF34" s="1018"/>
      <c r="AG34" s="719">
        <v>260</v>
      </c>
      <c r="AH34" s="719"/>
      <c r="AI34" s="829"/>
      <c r="AJ34" s="829"/>
      <c r="AK34" s="829"/>
      <c r="AL34" s="829"/>
      <c r="AM34" s="1026"/>
      <c r="AN34" s="1026"/>
      <c r="AO34" s="813">
        <f t="shared" si="5"/>
        <v>27.692307692307693</v>
      </c>
      <c r="AP34" s="1022">
        <f t="shared" si="6"/>
        <v>34.961574361611312</v>
      </c>
      <c r="AQ34" s="813"/>
      <c r="AR34" s="813"/>
      <c r="AS34" s="813"/>
      <c r="AT34" s="813"/>
      <c r="AU34" s="829"/>
      <c r="AV34" s="732"/>
      <c r="AW34" s="719"/>
      <c r="AX34" s="829"/>
      <c r="AZ34" s="719"/>
      <c r="BA34" s="742"/>
      <c r="BB34" s="1001"/>
      <c r="BC34" s="1001"/>
      <c r="BD34" s="1001"/>
      <c r="BE34" s="1001"/>
      <c r="BF34" s="829"/>
      <c r="BG34" s="1027" t="s">
        <v>1135</v>
      </c>
    </row>
    <row r="35" spans="1:59" ht="16" customHeight="1">
      <c r="A35" s="171" t="s">
        <v>848</v>
      </c>
      <c r="B35" s="829" t="s">
        <v>1123</v>
      </c>
      <c r="C35" s="829" t="s">
        <v>1915</v>
      </c>
      <c r="D35" s="829" t="s">
        <v>1081</v>
      </c>
      <c r="E35" s="1021">
        <v>44166</v>
      </c>
      <c r="F35" s="719"/>
      <c r="G35" s="829" t="s">
        <v>1080</v>
      </c>
      <c r="H35" s="171" t="s">
        <v>1132</v>
      </c>
      <c r="I35" s="719" t="str">
        <f t="shared" si="0"/>
        <v xml:space="preserve">Large (&gt; 7m3 storage space) </v>
      </c>
      <c r="J35" s="829"/>
      <c r="K35" s="829"/>
      <c r="L35" s="829"/>
      <c r="M35" s="1022">
        <v>11</v>
      </c>
      <c r="N35" s="742"/>
      <c r="O35" s="742"/>
      <c r="P35" s="1018"/>
      <c r="Q35" s="742"/>
      <c r="R35" s="1018"/>
      <c r="S35" s="1018"/>
      <c r="T35" s="1018"/>
      <c r="U35" s="1033"/>
      <c r="V35" s="1033"/>
      <c r="W35" s="1033"/>
      <c r="X35" s="742"/>
      <c r="Y35" s="742">
        <v>150</v>
      </c>
      <c r="Z35" s="742">
        <v>204</v>
      </c>
      <c r="AA35" s="742">
        <v>310</v>
      </c>
      <c r="AB35" s="1018"/>
      <c r="AC35" s="1018">
        <v>52</v>
      </c>
      <c r="AD35" s="829"/>
      <c r="AE35" s="742"/>
      <c r="AF35" s="1018"/>
      <c r="AG35" s="719">
        <v>200</v>
      </c>
      <c r="AH35" s="719"/>
      <c r="AI35" s="829"/>
      <c r="AJ35" s="829"/>
      <c r="AK35" s="829"/>
      <c r="AL35" s="829"/>
      <c r="AM35" s="1026"/>
      <c r="AN35" s="1026"/>
      <c r="AO35" s="813">
        <f t="shared" si="5"/>
        <v>26</v>
      </c>
      <c r="AP35" s="1022">
        <f t="shared" si="6"/>
        <v>32.825033706179511</v>
      </c>
      <c r="AQ35" s="813"/>
      <c r="AR35" s="813"/>
      <c r="AS35" s="813"/>
      <c r="AT35" s="813"/>
      <c r="AU35" s="829"/>
      <c r="AV35" s="732"/>
      <c r="AW35" s="719"/>
      <c r="AX35" s="829"/>
      <c r="AZ35" s="719"/>
      <c r="BA35" s="742"/>
      <c r="BB35" s="1001"/>
      <c r="BC35" s="1001"/>
      <c r="BD35" s="1001"/>
      <c r="BE35" s="1001"/>
      <c r="BF35" s="829"/>
      <c r="BG35" s="1027" t="s">
        <v>1135</v>
      </c>
    </row>
    <row r="36" spans="1:59" ht="16" customHeight="1">
      <c r="A36" s="171" t="s">
        <v>848</v>
      </c>
      <c r="B36" s="829" t="s">
        <v>1123</v>
      </c>
      <c r="C36" s="829" t="s">
        <v>1136</v>
      </c>
      <c r="D36" s="829" t="s">
        <v>1081</v>
      </c>
      <c r="E36" s="1021">
        <v>44166</v>
      </c>
      <c r="F36" s="719"/>
      <c r="G36" s="829" t="s">
        <v>1080</v>
      </c>
      <c r="H36" s="171" t="s">
        <v>1132</v>
      </c>
      <c r="I36" s="719" t="str">
        <f t="shared" ref="I36:I58" si="7">IF($A36="ja",H36,"")</f>
        <v xml:space="preserve">Large (&gt; 7m3 storage space) </v>
      </c>
      <c r="J36" s="829"/>
      <c r="K36" s="829"/>
      <c r="L36" s="829"/>
      <c r="M36" s="1022">
        <v>11</v>
      </c>
      <c r="N36" s="742"/>
      <c r="O36" s="742"/>
      <c r="P36" s="1018"/>
      <c r="Q36" s="742"/>
      <c r="R36" s="1018"/>
      <c r="S36" s="1018"/>
      <c r="T36" s="1018"/>
      <c r="U36" s="1033"/>
      <c r="V36" s="1033"/>
      <c r="W36" s="1033"/>
      <c r="X36" s="742"/>
      <c r="Y36" s="742">
        <v>150</v>
      </c>
      <c r="Z36" s="742">
        <v>204</v>
      </c>
      <c r="AA36" s="742">
        <v>310</v>
      </c>
      <c r="AB36" s="1018"/>
      <c r="AC36" s="1018">
        <v>72</v>
      </c>
      <c r="AD36" s="829"/>
      <c r="AE36" s="742"/>
      <c r="AF36" s="1018"/>
      <c r="AG36" s="719">
        <v>260</v>
      </c>
      <c r="AH36" s="719"/>
      <c r="AI36" s="829"/>
      <c r="AJ36" s="829"/>
      <c r="AK36" s="829"/>
      <c r="AL36" s="829"/>
      <c r="AM36" s="1026"/>
      <c r="AN36" s="1026"/>
      <c r="AO36" s="813">
        <f t="shared" si="5"/>
        <v>27.692307692307693</v>
      </c>
      <c r="AP36" s="1022">
        <f t="shared" si="6"/>
        <v>34.961574361611312</v>
      </c>
      <c r="AQ36" s="813"/>
      <c r="AR36" s="813"/>
      <c r="AS36" s="813"/>
      <c r="AT36" s="813"/>
      <c r="AU36" s="829"/>
      <c r="AV36" s="732"/>
      <c r="AW36" s="719"/>
      <c r="AX36" s="829"/>
      <c r="AZ36" s="719"/>
      <c r="BA36" s="742"/>
      <c r="BB36" s="1001"/>
      <c r="BC36" s="1001"/>
      <c r="BD36" s="1001"/>
      <c r="BE36" s="1001"/>
      <c r="BF36" s="829"/>
      <c r="BG36" s="1027" t="s">
        <v>1135</v>
      </c>
    </row>
    <row r="37" spans="1:59" ht="16" customHeight="1">
      <c r="A37" s="171" t="s">
        <v>848</v>
      </c>
      <c r="B37" s="171" t="s">
        <v>1093</v>
      </c>
      <c r="C37" s="171" t="s">
        <v>1098</v>
      </c>
      <c r="D37" s="171" t="s">
        <v>1091</v>
      </c>
      <c r="E37" s="719">
        <v>2014</v>
      </c>
      <c r="F37" s="719"/>
      <c r="G37" s="171" t="s">
        <v>1080</v>
      </c>
      <c r="H37" s="171" t="s">
        <v>1079</v>
      </c>
      <c r="I37" s="719" t="str">
        <f t="shared" si="7"/>
        <v>Small (&lt; 4.5 m3 storage space)</v>
      </c>
      <c r="J37" s="171">
        <v>1595</v>
      </c>
      <c r="K37" s="171">
        <v>2180</v>
      </c>
      <c r="L37" s="171">
        <v>585</v>
      </c>
      <c r="M37" s="171">
        <v>4.3</v>
      </c>
      <c r="N37" s="171">
        <v>4709</v>
      </c>
      <c r="O37" s="171">
        <v>1925</v>
      </c>
      <c r="P37" s="171">
        <v>2039</v>
      </c>
      <c r="R37" s="171">
        <v>2050</v>
      </c>
      <c r="S37" s="171">
        <v>1665</v>
      </c>
      <c r="T37" s="171">
        <v>1195</v>
      </c>
      <c r="U37" s="732"/>
      <c r="V37" s="732"/>
      <c r="W37" s="732"/>
      <c r="X37" s="171">
        <v>85</v>
      </c>
      <c r="Y37" s="742">
        <v>48</v>
      </c>
      <c r="Z37" s="171">
        <v>65</v>
      </c>
      <c r="AA37" s="742">
        <v>200</v>
      </c>
      <c r="AB37" s="1018" t="s">
        <v>957</v>
      </c>
      <c r="AC37" s="719">
        <v>40</v>
      </c>
      <c r="AE37" s="719"/>
      <c r="AF37" s="1018" t="s">
        <v>1090</v>
      </c>
      <c r="AG37" s="719">
        <v>205</v>
      </c>
      <c r="AH37" s="719"/>
      <c r="AI37" s="719"/>
      <c r="AJ37" s="719"/>
      <c r="AK37" s="719"/>
      <c r="AL37" s="719"/>
      <c r="AM37" s="1017"/>
      <c r="AN37" s="1017"/>
      <c r="AU37" s="171">
        <v>2.7</v>
      </c>
      <c r="AV37" s="732" t="s">
        <v>961</v>
      </c>
      <c r="AW37" s="719" t="s">
        <v>1089</v>
      </c>
      <c r="AX37" s="171" t="s">
        <v>962</v>
      </c>
      <c r="AY37" s="171" t="s">
        <v>1088</v>
      </c>
      <c r="AZ37" s="719" t="s">
        <v>118</v>
      </c>
      <c r="BA37" s="742" t="e">
        <f>(($AC37*#REF!)/$AU37)*60</f>
        <v>#REF!</v>
      </c>
      <c r="BB37" s="1001">
        <v>44770</v>
      </c>
      <c r="BC37" s="1001">
        <v>0</v>
      </c>
      <c r="BD37" s="1001">
        <v>7770</v>
      </c>
      <c r="BE37" s="1039">
        <v>37000</v>
      </c>
      <c r="BG37" s="1027" t="s">
        <v>1087</v>
      </c>
    </row>
    <row r="38" spans="1:59" ht="16" customHeight="1">
      <c r="A38" s="171" t="s">
        <v>848</v>
      </c>
      <c r="B38" s="171" t="s">
        <v>1093</v>
      </c>
      <c r="C38" s="171" t="s">
        <v>1097</v>
      </c>
      <c r="D38" s="171" t="s">
        <v>1091</v>
      </c>
      <c r="E38" s="719">
        <v>2014</v>
      </c>
      <c r="F38" s="719"/>
      <c r="G38" s="171" t="s">
        <v>1080</v>
      </c>
      <c r="H38" s="171" t="s">
        <v>1079</v>
      </c>
      <c r="I38" s="719" t="str">
        <f t="shared" si="7"/>
        <v>Small (&lt; 4.5 m3 storage space)</v>
      </c>
      <c r="J38" s="171">
        <v>1595</v>
      </c>
      <c r="K38" s="171">
        <v>2180</v>
      </c>
      <c r="L38" s="171">
        <v>585</v>
      </c>
      <c r="M38" s="1018" t="s">
        <v>118</v>
      </c>
      <c r="N38" s="171">
        <v>4741</v>
      </c>
      <c r="O38" s="171">
        <v>2087</v>
      </c>
      <c r="P38" s="171">
        <v>814</v>
      </c>
      <c r="R38" s="171">
        <v>2087</v>
      </c>
      <c r="S38" s="171">
        <v>1759</v>
      </c>
      <c r="T38" s="1018">
        <v>400</v>
      </c>
      <c r="U38" s="732"/>
      <c r="V38" s="732"/>
      <c r="W38" s="732"/>
      <c r="X38" s="171">
        <v>85</v>
      </c>
      <c r="Y38" s="742">
        <v>48</v>
      </c>
      <c r="Z38" s="171">
        <v>65</v>
      </c>
      <c r="AA38" s="742">
        <v>200</v>
      </c>
      <c r="AB38" s="1018" t="s">
        <v>957</v>
      </c>
      <c r="AC38" s="719">
        <v>40</v>
      </c>
      <c r="AE38" s="719"/>
      <c r="AF38" s="1018" t="s">
        <v>1090</v>
      </c>
      <c r="AG38" s="719">
        <v>205</v>
      </c>
      <c r="AH38" s="719"/>
      <c r="AI38" s="719"/>
      <c r="AJ38" s="719"/>
      <c r="AK38" s="719"/>
      <c r="AL38" s="719"/>
      <c r="AM38" s="1017"/>
      <c r="AN38" s="1017"/>
      <c r="AU38" s="171">
        <v>2.7</v>
      </c>
      <c r="AV38" s="732" t="s">
        <v>961</v>
      </c>
      <c r="AW38" s="719" t="s">
        <v>1089</v>
      </c>
      <c r="AX38" s="171" t="s">
        <v>962</v>
      </c>
      <c r="AY38" s="171" t="s">
        <v>1088</v>
      </c>
      <c r="AZ38" s="719" t="s">
        <v>118</v>
      </c>
      <c r="BA38" s="742" t="e">
        <f>(($AC38*#REF!)/$AU38)*60</f>
        <v>#REF!</v>
      </c>
      <c r="BB38" s="1001">
        <v>44770</v>
      </c>
      <c r="BC38" s="1001">
        <v>0</v>
      </c>
      <c r="BD38" s="1001">
        <v>7770</v>
      </c>
      <c r="BE38" s="1039">
        <v>37000</v>
      </c>
      <c r="BG38" s="1027" t="s">
        <v>1087</v>
      </c>
    </row>
    <row r="39" spans="1:59" ht="16" customHeight="1">
      <c r="A39" s="171" t="s">
        <v>848</v>
      </c>
      <c r="B39" s="171" t="s">
        <v>1093</v>
      </c>
      <c r="C39" s="171" t="s">
        <v>1096</v>
      </c>
      <c r="D39" s="171" t="s">
        <v>1091</v>
      </c>
      <c r="E39" s="719">
        <v>2014</v>
      </c>
      <c r="F39" s="719"/>
      <c r="G39" s="171" t="s">
        <v>1080</v>
      </c>
      <c r="H39" s="171" t="s">
        <v>1079</v>
      </c>
      <c r="I39" s="719" t="str">
        <f t="shared" si="7"/>
        <v>Small (&lt; 4.5 m3 storage space)</v>
      </c>
      <c r="J39" s="171">
        <v>1415</v>
      </c>
      <c r="K39" s="171">
        <v>2180</v>
      </c>
      <c r="L39" s="171">
        <v>765</v>
      </c>
      <c r="M39" s="1018" t="s">
        <v>118</v>
      </c>
      <c r="N39" s="171">
        <v>4676</v>
      </c>
      <c r="O39" s="171">
        <v>2087</v>
      </c>
      <c r="P39" s="171">
        <v>1796</v>
      </c>
      <c r="R39" s="1018" t="s">
        <v>118</v>
      </c>
      <c r="S39" s="1018" t="s">
        <v>118</v>
      </c>
      <c r="T39" s="1018" t="s">
        <v>118</v>
      </c>
      <c r="U39" s="732"/>
      <c r="V39" s="732"/>
      <c r="W39" s="732"/>
      <c r="X39" s="171">
        <v>85</v>
      </c>
      <c r="Y39" s="742">
        <v>48</v>
      </c>
      <c r="Z39" s="171">
        <v>65</v>
      </c>
      <c r="AA39" s="742">
        <v>200</v>
      </c>
      <c r="AB39" s="1018" t="s">
        <v>957</v>
      </c>
      <c r="AC39" s="719">
        <v>40</v>
      </c>
      <c r="AE39" s="719"/>
      <c r="AF39" s="1018" t="s">
        <v>1090</v>
      </c>
      <c r="AG39" s="719">
        <v>205</v>
      </c>
      <c r="AH39" s="719"/>
      <c r="AI39" s="719"/>
      <c r="AJ39" s="719"/>
      <c r="AK39" s="719"/>
      <c r="AL39" s="719"/>
      <c r="AM39" s="1017"/>
      <c r="AN39" s="1017"/>
      <c r="AU39" s="171">
        <v>2.7</v>
      </c>
      <c r="AV39" s="732" t="s">
        <v>961</v>
      </c>
      <c r="AW39" s="719" t="s">
        <v>1089</v>
      </c>
      <c r="AX39" s="171" t="s">
        <v>962</v>
      </c>
      <c r="AY39" s="171" t="s">
        <v>1088</v>
      </c>
      <c r="AZ39" s="719" t="s">
        <v>118</v>
      </c>
      <c r="BA39" s="742" t="e">
        <f>(($AC39*#REF!)/$AU39)*60</f>
        <v>#REF!</v>
      </c>
      <c r="BB39" s="1001">
        <v>44770</v>
      </c>
      <c r="BC39" s="1001">
        <v>0</v>
      </c>
      <c r="BD39" s="1001">
        <v>7770</v>
      </c>
      <c r="BE39" s="1039">
        <v>37000</v>
      </c>
      <c r="BG39" s="1027" t="s">
        <v>1087</v>
      </c>
    </row>
    <row r="40" spans="1:59" ht="16" customHeight="1">
      <c r="A40" s="171" t="s">
        <v>848</v>
      </c>
      <c r="B40" s="171" t="s">
        <v>1093</v>
      </c>
      <c r="C40" s="171" t="s">
        <v>1095</v>
      </c>
      <c r="D40" s="171" t="s">
        <v>1091</v>
      </c>
      <c r="E40" s="719">
        <v>2014</v>
      </c>
      <c r="F40" s="719"/>
      <c r="G40" s="171" t="s">
        <v>1080</v>
      </c>
      <c r="H40" s="171" t="s">
        <v>1079</v>
      </c>
      <c r="I40" s="719" t="str">
        <f t="shared" si="7"/>
        <v>Small (&lt; 4.5 m3 storage space)</v>
      </c>
      <c r="J40" s="171">
        <v>1460</v>
      </c>
      <c r="K40" s="171">
        <v>2180</v>
      </c>
      <c r="L40" s="171">
        <v>720</v>
      </c>
      <c r="M40" s="171">
        <v>4.3</v>
      </c>
      <c r="N40" s="171">
        <v>4709</v>
      </c>
      <c r="O40" s="171">
        <v>1925</v>
      </c>
      <c r="P40" s="171">
        <v>2039</v>
      </c>
      <c r="R40" s="171">
        <v>2050</v>
      </c>
      <c r="S40" s="171">
        <v>1665</v>
      </c>
      <c r="T40" s="171">
        <v>1195</v>
      </c>
      <c r="U40" s="732"/>
      <c r="V40" s="732"/>
      <c r="W40" s="732"/>
      <c r="X40" s="171">
        <v>85</v>
      </c>
      <c r="Y40" s="742">
        <v>48</v>
      </c>
      <c r="Z40" s="171">
        <v>65</v>
      </c>
      <c r="AA40" s="742">
        <v>200</v>
      </c>
      <c r="AB40" s="1018" t="s">
        <v>957</v>
      </c>
      <c r="AC40" s="719">
        <v>20</v>
      </c>
      <c r="AE40" s="719"/>
      <c r="AF40" s="1018" t="s">
        <v>1090</v>
      </c>
      <c r="AG40" s="719">
        <v>101</v>
      </c>
      <c r="AH40" s="719"/>
      <c r="AI40" s="719"/>
      <c r="AJ40" s="719"/>
      <c r="AK40" s="719"/>
      <c r="AL40" s="719"/>
      <c r="AM40" s="1017"/>
      <c r="AN40" s="1017"/>
      <c r="AU40" s="171">
        <v>2.7</v>
      </c>
      <c r="AV40" s="732" t="s">
        <v>961</v>
      </c>
      <c r="AW40" s="719" t="s">
        <v>1089</v>
      </c>
      <c r="AX40" s="171" t="s">
        <v>962</v>
      </c>
      <c r="AY40" s="171" t="s">
        <v>1088</v>
      </c>
      <c r="AZ40" s="719" t="s">
        <v>118</v>
      </c>
      <c r="BA40" s="742" t="e">
        <f>(($AC40*#REF!)/$AU40)*60</f>
        <v>#REF!</v>
      </c>
      <c r="BB40" s="1001">
        <v>38720</v>
      </c>
      <c r="BC40" s="1001">
        <v>0</v>
      </c>
      <c r="BD40" s="1001">
        <v>6720</v>
      </c>
      <c r="BE40" s="1039">
        <v>32000</v>
      </c>
      <c r="BG40" s="1027" t="s">
        <v>1087</v>
      </c>
    </row>
    <row r="41" spans="1:59" ht="16" customHeight="1">
      <c r="A41" s="171" t="s">
        <v>848</v>
      </c>
      <c r="B41" s="171" t="s">
        <v>1093</v>
      </c>
      <c r="C41" s="171" t="s">
        <v>1094</v>
      </c>
      <c r="D41" s="171" t="s">
        <v>1091</v>
      </c>
      <c r="E41" s="719">
        <v>2014</v>
      </c>
      <c r="F41" s="719"/>
      <c r="G41" s="171" t="s">
        <v>1080</v>
      </c>
      <c r="H41" s="171" t="s">
        <v>1079</v>
      </c>
      <c r="I41" s="719" t="str">
        <f t="shared" si="7"/>
        <v>Small (&lt; 4.5 m3 storage space)</v>
      </c>
      <c r="J41" s="171">
        <v>1460</v>
      </c>
      <c r="K41" s="171">
        <v>2180</v>
      </c>
      <c r="L41" s="171">
        <v>720</v>
      </c>
      <c r="M41" s="1018" t="s">
        <v>118</v>
      </c>
      <c r="N41" s="171">
        <v>4741</v>
      </c>
      <c r="O41" s="171">
        <v>2087</v>
      </c>
      <c r="P41" s="171">
        <v>814</v>
      </c>
      <c r="R41" s="171">
        <v>2087</v>
      </c>
      <c r="S41" s="171">
        <v>1759</v>
      </c>
      <c r="T41" s="1018" t="s">
        <v>118</v>
      </c>
      <c r="U41" s="732"/>
      <c r="V41" s="732"/>
      <c r="W41" s="732"/>
      <c r="X41" s="171">
        <v>85</v>
      </c>
      <c r="Y41" s="742">
        <v>48</v>
      </c>
      <c r="Z41" s="171">
        <v>65</v>
      </c>
      <c r="AA41" s="742">
        <v>200</v>
      </c>
      <c r="AB41" s="1018" t="s">
        <v>957</v>
      </c>
      <c r="AC41" s="719">
        <v>20</v>
      </c>
      <c r="AE41" s="719"/>
      <c r="AF41" s="1018" t="s">
        <v>1090</v>
      </c>
      <c r="AG41" s="719">
        <v>101</v>
      </c>
      <c r="AH41" s="719"/>
      <c r="AI41" s="719"/>
      <c r="AJ41" s="719"/>
      <c r="AK41" s="719"/>
      <c r="AL41" s="719"/>
      <c r="AM41" s="1017"/>
      <c r="AN41" s="1017"/>
      <c r="AU41" s="171">
        <v>2.7</v>
      </c>
      <c r="AV41" s="732" t="s">
        <v>961</v>
      </c>
      <c r="AW41" s="719" t="s">
        <v>1089</v>
      </c>
      <c r="AX41" s="171" t="s">
        <v>962</v>
      </c>
      <c r="AY41" s="171" t="s">
        <v>1088</v>
      </c>
      <c r="AZ41" s="719" t="s">
        <v>118</v>
      </c>
      <c r="BA41" s="742" t="e">
        <f>(($AC41*#REF!)/$AU41)*60</f>
        <v>#REF!</v>
      </c>
      <c r="BB41" s="1001">
        <v>38720</v>
      </c>
      <c r="BC41" s="1001">
        <v>0</v>
      </c>
      <c r="BD41" s="1001">
        <v>6720</v>
      </c>
      <c r="BE41" s="1039">
        <v>32000</v>
      </c>
      <c r="BG41" s="1027" t="s">
        <v>1087</v>
      </c>
    </row>
    <row r="42" spans="1:59" ht="16" customHeight="1">
      <c r="A42" s="171" t="s">
        <v>848</v>
      </c>
      <c r="B42" s="171" t="s">
        <v>1093</v>
      </c>
      <c r="C42" s="171" t="s">
        <v>1092</v>
      </c>
      <c r="D42" s="171" t="s">
        <v>1091</v>
      </c>
      <c r="E42" s="719">
        <v>2014</v>
      </c>
      <c r="F42" s="719"/>
      <c r="G42" s="171" t="s">
        <v>1080</v>
      </c>
      <c r="H42" s="171" t="s">
        <v>1079</v>
      </c>
      <c r="I42" s="719" t="str">
        <f t="shared" si="7"/>
        <v>Small (&lt; 4.5 m3 storage space)</v>
      </c>
      <c r="J42" s="171">
        <v>1280</v>
      </c>
      <c r="K42" s="171">
        <v>2180</v>
      </c>
      <c r="L42" s="171">
        <v>900</v>
      </c>
      <c r="M42" s="1018" t="s">
        <v>118</v>
      </c>
      <c r="N42" s="171">
        <v>4676</v>
      </c>
      <c r="O42" s="171">
        <v>2087</v>
      </c>
      <c r="P42" s="171">
        <v>1796</v>
      </c>
      <c r="R42" s="1018" t="s">
        <v>118</v>
      </c>
      <c r="S42" s="1018" t="s">
        <v>118</v>
      </c>
      <c r="T42" s="1018" t="s">
        <v>118</v>
      </c>
      <c r="U42" s="732"/>
      <c r="V42" s="732"/>
      <c r="W42" s="732"/>
      <c r="X42" s="171">
        <v>85</v>
      </c>
      <c r="Y42" s="742">
        <v>48</v>
      </c>
      <c r="Z42" s="171">
        <v>65</v>
      </c>
      <c r="AA42" s="742">
        <v>200</v>
      </c>
      <c r="AB42" s="1018" t="s">
        <v>957</v>
      </c>
      <c r="AC42" s="719">
        <v>20</v>
      </c>
      <c r="AE42" s="719"/>
      <c r="AF42" s="1018" t="s">
        <v>1090</v>
      </c>
      <c r="AG42" s="719">
        <v>101</v>
      </c>
      <c r="AH42" s="719"/>
      <c r="AI42" s="719"/>
      <c r="AJ42" s="719"/>
      <c r="AK42" s="719"/>
      <c r="AL42" s="719"/>
      <c r="AM42" s="1017"/>
      <c r="AN42" s="1017"/>
      <c r="AU42" s="171">
        <v>2.7</v>
      </c>
      <c r="AV42" s="732" t="s">
        <v>961</v>
      </c>
      <c r="AW42" s="719" t="s">
        <v>1089</v>
      </c>
      <c r="AX42" s="171" t="s">
        <v>962</v>
      </c>
      <c r="AY42" s="171" t="s">
        <v>1088</v>
      </c>
      <c r="AZ42" s="719" t="s">
        <v>118</v>
      </c>
      <c r="BA42" s="742" t="e">
        <f>(($AC42*#REF!)/$AU42)*60</f>
        <v>#REF!</v>
      </c>
      <c r="BB42" s="1001">
        <v>38720</v>
      </c>
      <c r="BC42" s="1001">
        <v>0</v>
      </c>
      <c r="BD42" s="1001">
        <v>6720</v>
      </c>
      <c r="BE42" s="1039">
        <v>32000</v>
      </c>
      <c r="BG42" s="1027" t="s">
        <v>1087</v>
      </c>
    </row>
    <row r="43" spans="1:59" ht="16" customHeight="1">
      <c r="A43" s="171" t="s">
        <v>848</v>
      </c>
      <c r="B43" s="171" t="s">
        <v>1093</v>
      </c>
      <c r="C43" s="171" t="s">
        <v>1119</v>
      </c>
      <c r="D43" s="171" t="s">
        <v>1091</v>
      </c>
      <c r="E43" s="719">
        <v>2014</v>
      </c>
      <c r="F43" s="719"/>
      <c r="G43" s="171" t="s">
        <v>1080</v>
      </c>
      <c r="H43" s="829" t="s">
        <v>1108</v>
      </c>
      <c r="I43" s="719" t="str">
        <f t="shared" si="7"/>
        <v>Medium (4.5 -  7 m3)</v>
      </c>
      <c r="J43" s="171">
        <v>1695</v>
      </c>
      <c r="K43" s="171">
        <v>2600</v>
      </c>
      <c r="L43" s="171">
        <v>905</v>
      </c>
      <c r="M43" s="813">
        <v>8</v>
      </c>
      <c r="N43" s="171">
        <v>5784</v>
      </c>
      <c r="O43" s="171">
        <v>2087</v>
      </c>
      <c r="P43" s="171">
        <v>2347</v>
      </c>
      <c r="R43" s="171">
        <v>3150</v>
      </c>
      <c r="S43" s="171">
        <v>1675</v>
      </c>
      <c r="T43" s="171">
        <v>1407</v>
      </c>
      <c r="U43" s="732"/>
      <c r="V43" s="732"/>
      <c r="W43" s="732"/>
      <c r="X43" s="171">
        <v>85</v>
      </c>
      <c r="Y43" s="742">
        <v>48</v>
      </c>
      <c r="Z43" s="171">
        <v>65</v>
      </c>
      <c r="AA43" s="742">
        <v>200</v>
      </c>
      <c r="AB43" s="1018" t="s">
        <v>957</v>
      </c>
      <c r="AC43" s="171">
        <v>40</v>
      </c>
      <c r="AF43" s="1018" t="s">
        <v>1090</v>
      </c>
      <c r="AG43" s="719">
        <v>187</v>
      </c>
      <c r="AI43" s="171">
        <v>150</v>
      </c>
      <c r="AM43" s="1032"/>
      <c r="AN43" s="1032"/>
      <c r="AO43" s="1018">
        <f>$AC43/AG43*100</f>
        <v>21.390374331550802</v>
      </c>
      <c r="AP43" s="1022">
        <f>AO43*Factor_WLTP_NEDC</f>
        <v>27.005375323882774</v>
      </c>
      <c r="AU43" s="171">
        <v>2.7</v>
      </c>
      <c r="AV43" s="732" t="s">
        <v>961</v>
      </c>
      <c r="AW43" s="719" t="s">
        <v>1089</v>
      </c>
      <c r="AX43" s="171" t="s">
        <v>962</v>
      </c>
      <c r="AY43" s="171" t="s">
        <v>1088</v>
      </c>
      <c r="AZ43" s="719" t="s">
        <v>118</v>
      </c>
      <c r="BA43" s="742" t="e">
        <f>(($AC43*#REF!)/$AU43)*60</f>
        <v>#REF!</v>
      </c>
      <c r="BB43" s="1001">
        <v>49610</v>
      </c>
      <c r="BC43" s="1001">
        <v>0</v>
      </c>
      <c r="BD43" s="1001">
        <v>8610</v>
      </c>
      <c r="BE43" s="1039">
        <v>41000</v>
      </c>
      <c r="BG43" s="1027" t="s">
        <v>1116</v>
      </c>
    </row>
    <row r="44" spans="1:59" ht="16" customHeight="1">
      <c r="A44" s="171" t="s">
        <v>848</v>
      </c>
      <c r="B44" s="171" t="s">
        <v>1093</v>
      </c>
      <c r="C44" s="171" t="s">
        <v>1118</v>
      </c>
      <c r="D44" s="171" t="s">
        <v>1091</v>
      </c>
      <c r="E44" s="719">
        <v>2014</v>
      </c>
      <c r="F44" s="719"/>
      <c r="G44" s="171" t="s">
        <v>1080</v>
      </c>
      <c r="H44" s="829" t="s">
        <v>1108</v>
      </c>
      <c r="I44" s="719" t="str">
        <f t="shared" si="7"/>
        <v>Medium (4.5 -  7 m3)</v>
      </c>
      <c r="J44" s="171">
        <v>1710</v>
      </c>
      <c r="K44" s="171">
        <v>2600</v>
      </c>
      <c r="L44" s="171">
        <v>890</v>
      </c>
      <c r="M44" s="1018" t="s">
        <v>118</v>
      </c>
      <c r="N44" s="171">
        <v>5840</v>
      </c>
      <c r="O44" s="171">
        <v>2087</v>
      </c>
      <c r="P44" s="171">
        <v>1859</v>
      </c>
      <c r="R44" s="171">
        <v>3177</v>
      </c>
      <c r="S44" s="171">
        <v>1757</v>
      </c>
      <c r="T44" s="171">
        <v>400</v>
      </c>
      <c r="U44" s="732"/>
      <c r="V44" s="732"/>
      <c r="W44" s="732"/>
      <c r="X44" s="171">
        <v>85</v>
      </c>
      <c r="Y44" s="742">
        <v>48</v>
      </c>
      <c r="Z44" s="171">
        <v>65</v>
      </c>
      <c r="AA44" s="742">
        <v>200</v>
      </c>
      <c r="AB44" s="1018" t="s">
        <v>957</v>
      </c>
      <c r="AC44" s="171">
        <v>40</v>
      </c>
      <c r="AF44" s="1018" t="s">
        <v>1090</v>
      </c>
      <c r="AG44" s="719">
        <v>187</v>
      </c>
      <c r="AI44" s="171">
        <v>150</v>
      </c>
      <c r="AM44" s="1032"/>
      <c r="AN44" s="1032"/>
      <c r="AO44" s="1018">
        <f>$AC44/AG44*100</f>
        <v>21.390374331550802</v>
      </c>
      <c r="AP44" s="1022">
        <f>AO44*Factor_WLTP_NEDC</f>
        <v>27.005375323882774</v>
      </c>
      <c r="AU44" s="171">
        <v>2.7</v>
      </c>
      <c r="AV44" s="732" t="s">
        <v>961</v>
      </c>
      <c r="AW44" s="719" t="s">
        <v>1089</v>
      </c>
      <c r="AX44" s="171" t="s">
        <v>962</v>
      </c>
      <c r="AY44" s="171" t="s">
        <v>1088</v>
      </c>
      <c r="AZ44" s="719" t="s">
        <v>118</v>
      </c>
      <c r="BA44" s="742" t="e">
        <f>(($AC44*#REF!)/$AU44)*60</f>
        <v>#REF!</v>
      </c>
      <c r="BB44" s="1001">
        <v>49610</v>
      </c>
      <c r="BC44" s="1001">
        <v>0</v>
      </c>
      <c r="BD44" s="1001">
        <v>8610</v>
      </c>
      <c r="BE44" s="1039">
        <v>41000</v>
      </c>
      <c r="BG44" s="1027" t="s">
        <v>1116</v>
      </c>
    </row>
    <row r="45" spans="1:59" ht="16" customHeight="1">
      <c r="A45" s="171" t="s">
        <v>848</v>
      </c>
      <c r="B45" s="171" t="s">
        <v>1093</v>
      </c>
      <c r="C45" s="171" t="s">
        <v>1117</v>
      </c>
      <c r="D45" s="171" t="s">
        <v>1091</v>
      </c>
      <c r="E45" s="719">
        <v>2014</v>
      </c>
      <c r="F45" s="719"/>
      <c r="G45" s="171" t="s">
        <v>1080</v>
      </c>
      <c r="H45" s="829" t="s">
        <v>1108</v>
      </c>
      <c r="I45" s="719" t="str">
        <f t="shared" si="7"/>
        <v>Medium (4.5 -  7 m3)</v>
      </c>
      <c r="J45" s="171">
        <v>1465</v>
      </c>
      <c r="K45" s="171">
        <v>2600</v>
      </c>
      <c r="L45" s="171">
        <v>1135</v>
      </c>
      <c r="M45" s="1018" t="s">
        <v>118</v>
      </c>
      <c r="N45" s="171">
        <v>5784</v>
      </c>
      <c r="O45" s="171">
        <v>2087</v>
      </c>
      <c r="P45" s="171">
        <v>1867</v>
      </c>
      <c r="R45" s="1018" t="s">
        <v>118</v>
      </c>
      <c r="S45" s="1018" t="s">
        <v>118</v>
      </c>
      <c r="T45" s="1018" t="s">
        <v>118</v>
      </c>
      <c r="U45" s="732"/>
      <c r="V45" s="732"/>
      <c r="W45" s="732"/>
      <c r="X45" s="171">
        <v>85</v>
      </c>
      <c r="Y45" s="742">
        <v>48</v>
      </c>
      <c r="Z45" s="171">
        <v>65</v>
      </c>
      <c r="AA45" s="742">
        <v>200</v>
      </c>
      <c r="AB45" s="1018" t="s">
        <v>957</v>
      </c>
      <c r="AC45" s="171">
        <v>40</v>
      </c>
      <c r="AF45" s="1018" t="s">
        <v>1090</v>
      </c>
      <c r="AG45" s="719">
        <v>187</v>
      </c>
      <c r="AI45" s="171">
        <v>150</v>
      </c>
      <c r="AM45" s="1032"/>
      <c r="AN45" s="1032"/>
      <c r="AO45" s="1018">
        <f>$AC45/AG45*100</f>
        <v>21.390374331550802</v>
      </c>
      <c r="AP45" s="1022">
        <f>AO45*Factor_WLTP_NEDC</f>
        <v>27.005375323882774</v>
      </c>
      <c r="AU45" s="171">
        <v>2.7</v>
      </c>
      <c r="AV45" s="732" t="s">
        <v>961</v>
      </c>
      <c r="AW45" s="719" t="s">
        <v>1089</v>
      </c>
      <c r="AX45" s="171" t="s">
        <v>962</v>
      </c>
      <c r="AY45" s="171" t="s">
        <v>1088</v>
      </c>
      <c r="AZ45" s="719" t="s">
        <v>118</v>
      </c>
      <c r="BA45" s="742" t="e">
        <f>(($AC45*#REF!)/$AU45)*60</f>
        <v>#REF!</v>
      </c>
      <c r="BB45" s="1001">
        <v>49610</v>
      </c>
      <c r="BC45" s="1001">
        <v>0</v>
      </c>
      <c r="BD45" s="1001">
        <v>8610</v>
      </c>
      <c r="BE45" s="1039">
        <v>41000</v>
      </c>
      <c r="BG45" s="1027" t="s">
        <v>1116</v>
      </c>
    </row>
    <row r="46" spans="1:59" ht="16" customHeight="1">
      <c r="A46" s="541" t="s">
        <v>848</v>
      </c>
      <c r="B46" s="829" t="s">
        <v>1086</v>
      </c>
      <c r="C46" s="829" t="s">
        <v>1115</v>
      </c>
      <c r="D46" s="829" t="s">
        <v>1081</v>
      </c>
      <c r="E46" s="1018">
        <v>2020</v>
      </c>
      <c r="F46" s="829"/>
      <c r="G46" s="829" t="s">
        <v>1080</v>
      </c>
      <c r="H46" s="829" t="s">
        <v>1108</v>
      </c>
      <c r="I46" s="719" t="str">
        <f t="shared" si="7"/>
        <v>Medium (4.5 -  7 m3)</v>
      </c>
      <c r="J46" s="829"/>
      <c r="K46" s="829"/>
      <c r="L46" s="829"/>
      <c r="M46" s="829"/>
      <c r="N46" s="829"/>
      <c r="O46" s="829"/>
      <c r="P46" s="829"/>
      <c r="Q46" s="742"/>
      <c r="R46" s="742"/>
      <c r="S46" s="742"/>
      <c r="T46" s="742"/>
      <c r="U46" s="1033"/>
      <c r="V46" s="1033"/>
      <c r="W46" s="1033"/>
      <c r="X46" s="829"/>
      <c r="Y46" s="829"/>
      <c r="Z46" s="829"/>
      <c r="AA46" s="829"/>
      <c r="AB46" s="829"/>
      <c r="AC46" s="829"/>
      <c r="AD46" s="829"/>
      <c r="AE46" s="829"/>
      <c r="AF46" s="829"/>
      <c r="AG46" s="829"/>
      <c r="AH46" s="829"/>
      <c r="AI46" s="829"/>
      <c r="AJ46" s="829"/>
      <c r="AK46" s="829"/>
      <c r="AL46" s="829"/>
      <c r="AM46" s="1026"/>
      <c r="AN46" s="1026"/>
      <c r="AQ46" s="829"/>
      <c r="AR46" s="829"/>
      <c r="AS46" s="829"/>
      <c r="AT46" s="829"/>
      <c r="AU46" s="829"/>
      <c r="AV46" s="732"/>
      <c r="AW46" s="829"/>
      <c r="AX46" s="829"/>
      <c r="AY46" s="829"/>
      <c r="AZ46" s="829"/>
      <c r="BA46" s="829"/>
      <c r="BB46" s="1034"/>
      <c r="BC46" s="1034"/>
      <c r="BD46" s="1034"/>
      <c r="BE46" s="1034"/>
      <c r="BF46" s="1034"/>
      <c r="BG46" s="703" t="s">
        <v>1910</v>
      </c>
    </row>
    <row r="47" spans="1:59" ht="16" customHeight="1">
      <c r="A47" s="541" t="s">
        <v>848</v>
      </c>
      <c r="B47" s="829" t="s">
        <v>1086</v>
      </c>
      <c r="C47" s="829" t="s">
        <v>1114</v>
      </c>
      <c r="D47" s="829" t="s">
        <v>1081</v>
      </c>
      <c r="E47" s="1018">
        <v>2020</v>
      </c>
      <c r="F47" s="829"/>
      <c r="G47" s="829" t="s">
        <v>1080</v>
      </c>
      <c r="H47" s="829" t="s">
        <v>1108</v>
      </c>
      <c r="I47" s="719" t="str">
        <f t="shared" si="7"/>
        <v>Medium (4.5 -  7 m3)</v>
      </c>
      <c r="J47" s="829"/>
      <c r="K47" s="829"/>
      <c r="L47" s="829"/>
      <c r="M47" s="829"/>
      <c r="N47" s="829"/>
      <c r="O47" s="829"/>
      <c r="P47" s="829"/>
      <c r="Q47" s="742"/>
      <c r="R47" s="742"/>
      <c r="S47" s="742"/>
      <c r="T47" s="742"/>
      <c r="U47" s="1033"/>
      <c r="V47" s="1033"/>
      <c r="W47" s="1033"/>
      <c r="X47" s="829"/>
      <c r="Y47" s="829"/>
      <c r="Z47" s="829"/>
      <c r="AA47" s="829"/>
      <c r="AB47" s="829"/>
      <c r="AC47" s="829"/>
      <c r="AD47" s="829"/>
      <c r="AE47" s="829"/>
      <c r="AF47" s="829"/>
      <c r="AG47" s="829"/>
      <c r="AH47" s="829"/>
      <c r="AI47" s="829"/>
      <c r="AJ47" s="829"/>
      <c r="AK47" s="829"/>
      <c r="AL47" s="829"/>
      <c r="AM47" s="1026"/>
      <c r="AN47" s="1026"/>
      <c r="AO47" s="829"/>
      <c r="AP47" s="829"/>
      <c r="AQ47" s="829"/>
      <c r="AR47" s="829"/>
      <c r="AS47" s="829"/>
      <c r="AT47" s="829"/>
      <c r="AU47" s="829"/>
      <c r="AV47" s="732"/>
      <c r="AW47" s="829"/>
      <c r="AX47" s="829"/>
      <c r="AY47" s="829"/>
      <c r="AZ47" s="829"/>
      <c r="BA47" s="829"/>
      <c r="BB47" s="1034"/>
      <c r="BC47" s="1034"/>
      <c r="BD47" s="1034"/>
      <c r="BE47" s="1034"/>
      <c r="BF47" s="1034"/>
      <c r="BG47" s="703" t="s">
        <v>1910</v>
      </c>
    </row>
    <row r="48" spans="1:59" ht="16" customHeight="1">
      <c r="A48" s="541" t="s">
        <v>848</v>
      </c>
      <c r="B48" s="829" t="s">
        <v>1086</v>
      </c>
      <c r="C48" s="829" t="s">
        <v>1113</v>
      </c>
      <c r="D48" s="829" t="s">
        <v>1081</v>
      </c>
      <c r="E48" s="1018">
        <v>2020</v>
      </c>
      <c r="F48" s="829"/>
      <c r="G48" s="829" t="s">
        <v>1112</v>
      </c>
      <c r="H48" s="829" t="s">
        <v>1108</v>
      </c>
      <c r="I48" s="719" t="str">
        <f t="shared" si="7"/>
        <v>Medium (4.5 -  7 m3)</v>
      </c>
      <c r="J48" s="829"/>
      <c r="K48" s="829"/>
      <c r="L48" s="829"/>
      <c r="M48" s="829"/>
      <c r="N48" s="829"/>
      <c r="O48" s="829"/>
      <c r="P48" s="829"/>
      <c r="Q48" s="742"/>
      <c r="R48" s="742"/>
      <c r="S48" s="742"/>
      <c r="T48" s="742"/>
      <c r="U48" s="1033"/>
      <c r="V48" s="1033"/>
      <c r="W48" s="1033"/>
      <c r="X48" s="829"/>
      <c r="Y48" s="829"/>
      <c r="Z48" s="829"/>
      <c r="AA48" s="829"/>
      <c r="AB48" s="829"/>
      <c r="AC48" s="829"/>
      <c r="AD48" s="829"/>
      <c r="AE48" s="829"/>
      <c r="AF48" s="829"/>
      <c r="AG48" s="829"/>
      <c r="AH48" s="829"/>
      <c r="AI48" s="829"/>
      <c r="AJ48" s="829"/>
      <c r="AK48" s="829"/>
      <c r="AL48" s="829"/>
      <c r="AM48" s="1026"/>
      <c r="AN48" s="1026"/>
      <c r="AO48" s="829"/>
      <c r="AP48" s="829"/>
      <c r="AQ48" s="829"/>
      <c r="AR48" s="829"/>
      <c r="AS48" s="829"/>
      <c r="AT48" s="829"/>
      <c r="AU48" s="829"/>
      <c r="AV48" s="732"/>
      <c r="AW48" s="829"/>
      <c r="AX48" s="829"/>
      <c r="AY48" s="829"/>
      <c r="AZ48" s="829"/>
      <c r="BA48" s="829"/>
      <c r="BB48" s="1034"/>
      <c r="BC48" s="1034"/>
      <c r="BD48" s="1034"/>
      <c r="BE48" s="1034"/>
      <c r="BF48" s="1034"/>
      <c r="BG48" s="703" t="s">
        <v>1910</v>
      </c>
    </row>
    <row r="49" spans="1:62" ht="16" customHeight="1">
      <c r="A49" s="541" t="s">
        <v>848</v>
      </c>
      <c r="B49" s="829" t="s">
        <v>1086</v>
      </c>
      <c r="C49" s="829" t="s">
        <v>1111</v>
      </c>
      <c r="D49" s="829" t="s">
        <v>1081</v>
      </c>
      <c r="E49" s="1018">
        <v>2020</v>
      </c>
      <c r="F49" s="829"/>
      <c r="G49" s="829" t="s">
        <v>1080</v>
      </c>
      <c r="H49" s="829" t="s">
        <v>1108</v>
      </c>
      <c r="I49" s="719" t="str">
        <f t="shared" si="7"/>
        <v>Medium (4.5 -  7 m3)</v>
      </c>
      <c r="J49" s="829"/>
      <c r="K49" s="829"/>
      <c r="L49" s="829"/>
      <c r="M49" s="829"/>
      <c r="N49" s="829"/>
      <c r="O49" s="829"/>
      <c r="P49" s="829"/>
      <c r="Q49" s="742"/>
      <c r="R49" s="742"/>
      <c r="S49" s="742"/>
      <c r="T49" s="742"/>
      <c r="U49" s="1033"/>
      <c r="V49" s="1033"/>
      <c r="W49" s="1033"/>
      <c r="X49" s="829"/>
      <c r="Y49" s="829"/>
      <c r="Z49" s="829"/>
      <c r="AA49" s="829"/>
      <c r="AB49" s="829"/>
      <c r="AC49" s="829"/>
      <c r="AD49" s="829"/>
      <c r="AE49" s="829"/>
      <c r="AF49" s="829"/>
      <c r="AG49" s="829"/>
      <c r="AH49" s="829"/>
      <c r="AI49" s="829"/>
      <c r="AJ49" s="829"/>
      <c r="AK49" s="829"/>
      <c r="AL49" s="829"/>
      <c r="AM49" s="1026"/>
      <c r="AN49" s="1026"/>
      <c r="AO49" s="829"/>
      <c r="AP49" s="829"/>
      <c r="AQ49" s="829"/>
      <c r="AR49" s="829"/>
      <c r="AS49" s="829"/>
      <c r="AT49" s="829"/>
      <c r="AU49" s="829"/>
      <c r="AV49" s="732"/>
      <c r="AW49" s="829"/>
      <c r="AX49" s="829"/>
      <c r="AY49" s="829"/>
      <c r="AZ49" s="829"/>
      <c r="BA49" s="829"/>
      <c r="BB49" s="1034"/>
      <c r="BC49" s="1034"/>
      <c r="BD49" s="1034"/>
      <c r="BE49" s="1034"/>
      <c r="BF49" s="1034"/>
      <c r="BG49" s="703" t="s">
        <v>1910</v>
      </c>
    </row>
    <row r="50" spans="1:62" ht="16" customHeight="1">
      <c r="A50" s="541" t="s">
        <v>848</v>
      </c>
      <c r="B50" s="829" t="s">
        <v>1086</v>
      </c>
      <c r="C50" s="829" t="s">
        <v>1085</v>
      </c>
      <c r="D50" s="829" t="s">
        <v>1081</v>
      </c>
      <c r="E50" s="1018">
        <v>2021</v>
      </c>
      <c r="F50" s="829"/>
      <c r="G50" s="829" t="s">
        <v>1080</v>
      </c>
      <c r="H50" s="171" t="s">
        <v>1079</v>
      </c>
      <c r="I50" s="719" t="str">
        <f t="shared" si="7"/>
        <v>Small (&lt; 4.5 m3 storage space)</v>
      </c>
      <c r="J50" s="829"/>
      <c r="K50" s="829"/>
      <c r="L50" s="829"/>
      <c r="M50" s="829"/>
      <c r="N50" s="829"/>
      <c r="O50" s="829"/>
      <c r="P50" s="829"/>
      <c r="Q50" s="742"/>
      <c r="R50" s="742"/>
      <c r="S50" s="742"/>
      <c r="T50" s="742"/>
      <c r="U50" s="1033"/>
      <c r="V50" s="1033"/>
      <c r="W50" s="1033"/>
      <c r="X50" s="829"/>
      <c r="Y50" s="829"/>
      <c r="Z50" s="829"/>
      <c r="AA50" s="829"/>
      <c r="AB50" s="829"/>
      <c r="AC50" s="829"/>
      <c r="AD50" s="829"/>
      <c r="AE50" s="829"/>
      <c r="AF50" s="829"/>
      <c r="AG50" s="829"/>
      <c r="AH50" s="829"/>
      <c r="AI50" s="829"/>
      <c r="AJ50" s="829"/>
      <c r="AK50" s="829"/>
      <c r="AL50" s="829"/>
      <c r="AM50" s="1026"/>
      <c r="AN50" s="1026"/>
      <c r="AO50" s="829"/>
      <c r="AP50" s="829"/>
      <c r="AQ50" s="829"/>
      <c r="AR50" s="829"/>
      <c r="AS50" s="829"/>
      <c r="AT50" s="829"/>
      <c r="AU50" s="829"/>
      <c r="AV50" s="732"/>
      <c r="AW50" s="829"/>
      <c r="AX50" s="829"/>
      <c r="AY50" s="829"/>
      <c r="AZ50" s="829"/>
      <c r="BA50" s="829"/>
      <c r="BB50" s="1034"/>
      <c r="BC50" s="1034"/>
      <c r="BD50" s="1034"/>
      <c r="BE50" s="1034"/>
      <c r="BF50" s="1034"/>
      <c r="BG50" s="1024" t="s">
        <v>1084</v>
      </c>
    </row>
    <row r="51" spans="1:62" ht="16" customHeight="1">
      <c r="A51" s="171" t="s">
        <v>848</v>
      </c>
      <c r="B51" s="171" t="s">
        <v>578</v>
      </c>
      <c r="C51" s="171" t="s">
        <v>1134</v>
      </c>
      <c r="D51" s="829" t="s">
        <v>1091</v>
      </c>
      <c r="E51" s="1021">
        <v>43374</v>
      </c>
      <c r="F51" s="1021"/>
      <c r="G51" s="829" t="s">
        <v>1080</v>
      </c>
      <c r="H51" s="171" t="s">
        <v>1132</v>
      </c>
      <c r="I51" s="719" t="str">
        <f t="shared" si="7"/>
        <v xml:space="preserve">Large (&gt; 7m3 storage space) </v>
      </c>
      <c r="J51" s="171">
        <v>2455</v>
      </c>
      <c r="K51" s="171">
        <v>3500</v>
      </c>
      <c r="L51" s="829">
        <v>955</v>
      </c>
      <c r="M51" s="813">
        <v>10.7</v>
      </c>
      <c r="N51" s="742">
        <v>5986</v>
      </c>
      <c r="O51" s="742">
        <v>2040</v>
      </c>
      <c r="P51" s="742">
        <v>2590</v>
      </c>
      <c r="Q51" s="742">
        <v>3640</v>
      </c>
      <c r="R51" s="742">
        <v>3201</v>
      </c>
      <c r="S51" s="742">
        <v>1380</v>
      </c>
      <c r="T51" s="742">
        <v>1861</v>
      </c>
      <c r="U51" s="1033"/>
      <c r="V51" s="1033"/>
      <c r="W51" s="1033"/>
      <c r="X51" s="742">
        <v>90</v>
      </c>
      <c r="Y51" s="742">
        <v>100</v>
      </c>
      <c r="Z51" s="742">
        <v>136</v>
      </c>
      <c r="AA51" s="742">
        <v>290</v>
      </c>
      <c r="AB51" s="1018" t="s">
        <v>957</v>
      </c>
      <c r="AC51" s="171">
        <v>35.799999999999997</v>
      </c>
      <c r="AD51" s="813">
        <f>AC51*($AD$22/$AC$22)</f>
        <v>33.630303030303033</v>
      </c>
      <c r="AE51" s="171">
        <v>344</v>
      </c>
      <c r="AF51" s="1018" t="s">
        <v>1090</v>
      </c>
      <c r="AG51" s="829">
        <v>173</v>
      </c>
      <c r="AH51" s="719" t="s">
        <v>118</v>
      </c>
      <c r="AI51" s="742">
        <f>($AI$21/$AG$21)*AG51</f>
        <v>108.28518518518518</v>
      </c>
      <c r="AJ51" s="742">
        <f>AG51*($AJ$21/$AG$21)</f>
        <v>92.907407407407419</v>
      </c>
      <c r="AK51" s="742"/>
      <c r="AL51" s="742"/>
      <c r="AM51" s="1003"/>
      <c r="AN51" s="1003"/>
      <c r="AO51" s="813">
        <f>$AC$51/AG$51*100</f>
        <v>20.693641618497107</v>
      </c>
      <c r="AP51" s="1022">
        <f>AO51*Factor_WLTP_NEDC</f>
        <v>26.125749370414102</v>
      </c>
      <c r="AQ51" s="813">
        <f>$AC51/AI51*100</f>
        <v>33.060847556178814</v>
      </c>
      <c r="AR51" s="813">
        <f>$AC51/AJ51*100</f>
        <v>38.532987841339441</v>
      </c>
      <c r="AS51" s="813"/>
      <c r="AT51" s="813"/>
      <c r="AU51" s="171">
        <v>7.2</v>
      </c>
      <c r="AV51" s="732" t="s">
        <v>953</v>
      </c>
      <c r="AW51" s="171">
        <v>40</v>
      </c>
      <c r="AX51" s="171" t="s">
        <v>944</v>
      </c>
      <c r="AY51" s="829" t="s">
        <v>1078</v>
      </c>
      <c r="AZ51" s="742" t="e">
        <f>((AC51*#REF!)/AW51)*60</f>
        <v>#REF!</v>
      </c>
      <c r="BA51" s="742" t="e">
        <f>((AC51*#REF!)/AU51)*60</f>
        <v>#REF!</v>
      </c>
      <c r="BB51" s="1001">
        <v>87906.5</v>
      </c>
      <c r="BC51" s="1001">
        <v>0</v>
      </c>
      <c r="BD51" s="1001">
        <v>18806.5</v>
      </c>
      <c r="BE51" s="1001">
        <v>69100</v>
      </c>
      <c r="BF51" s="1023" t="s">
        <v>1131</v>
      </c>
      <c r="BG51" s="829" t="s">
        <v>1130</v>
      </c>
    </row>
    <row r="52" spans="1:62" ht="16" customHeight="1">
      <c r="A52" s="171" t="s">
        <v>848</v>
      </c>
      <c r="B52" s="829" t="s">
        <v>578</v>
      </c>
      <c r="C52" s="829" t="s">
        <v>1133</v>
      </c>
      <c r="D52" s="829" t="s">
        <v>1091</v>
      </c>
      <c r="E52" s="1021">
        <v>43374</v>
      </c>
      <c r="F52" s="1021"/>
      <c r="G52" s="829" t="s">
        <v>1080</v>
      </c>
      <c r="H52" s="171" t="s">
        <v>1132</v>
      </c>
      <c r="I52" s="719" t="str">
        <f t="shared" si="7"/>
        <v xml:space="preserve">Large (&gt; 7m3 storage space) </v>
      </c>
      <c r="J52" s="829">
        <v>2455</v>
      </c>
      <c r="K52" s="829">
        <v>4250</v>
      </c>
      <c r="L52" s="829">
        <v>1795</v>
      </c>
      <c r="M52" s="813">
        <v>10.7</v>
      </c>
      <c r="N52" s="742">
        <v>5986</v>
      </c>
      <c r="O52" s="742">
        <v>2040</v>
      </c>
      <c r="P52" s="742">
        <v>2590</v>
      </c>
      <c r="Q52" s="742">
        <v>3640</v>
      </c>
      <c r="R52" s="742">
        <v>3201</v>
      </c>
      <c r="S52" s="742">
        <v>1380</v>
      </c>
      <c r="T52" s="742">
        <v>1861</v>
      </c>
      <c r="U52" s="1033"/>
      <c r="V52" s="1033"/>
      <c r="W52" s="1033"/>
      <c r="X52" s="742">
        <v>90</v>
      </c>
      <c r="Y52" s="742">
        <v>100</v>
      </c>
      <c r="Z52" s="742">
        <v>136</v>
      </c>
      <c r="AA52" s="742">
        <v>290</v>
      </c>
      <c r="AB52" s="1018" t="s">
        <v>957</v>
      </c>
      <c r="AC52" s="829">
        <v>35.799999999999997</v>
      </c>
      <c r="AD52" s="813">
        <f>AC52*($AD$22/$AC$22)</f>
        <v>33.630303030303033</v>
      </c>
      <c r="AE52" s="829">
        <v>344</v>
      </c>
      <c r="AF52" s="1018" t="s">
        <v>1090</v>
      </c>
      <c r="AG52" s="829">
        <v>173</v>
      </c>
      <c r="AH52" s="719" t="s">
        <v>118</v>
      </c>
      <c r="AI52" s="742">
        <f>($AI$21/$AG$21)*AG52*0.9</f>
        <v>97.456666666666663</v>
      </c>
      <c r="AJ52" s="742">
        <f>AG52*($AJ$21/$AG$21)*0.9</f>
        <v>83.616666666666674</v>
      </c>
      <c r="AK52" s="742"/>
      <c r="AL52" s="742"/>
      <c r="AM52" s="1003"/>
      <c r="AN52" s="1003"/>
      <c r="AO52" s="813">
        <f>$AC$52/AG$52*100</f>
        <v>20.693641618497107</v>
      </c>
      <c r="AP52" s="1022">
        <f>AO52*Factor_WLTP_NEDC</f>
        <v>26.125749370414102</v>
      </c>
      <c r="AQ52" s="813">
        <f>$AC52/AI52*100</f>
        <v>36.734275062420899</v>
      </c>
      <c r="AR52" s="813">
        <f>$AC52/AJ52*100</f>
        <v>42.814430934821601</v>
      </c>
      <c r="AS52" s="813"/>
      <c r="AT52" s="813"/>
      <c r="AU52" s="829">
        <v>7.2</v>
      </c>
      <c r="AV52" s="732" t="s">
        <v>953</v>
      </c>
      <c r="AW52" s="829">
        <v>40</v>
      </c>
      <c r="AX52" s="171" t="s">
        <v>944</v>
      </c>
      <c r="AY52" s="829" t="s">
        <v>1078</v>
      </c>
      <c r="AZ52" s="742">
        <f>((AC52*80%)/AW52)*60</f>
        <v>42.96</v>
      </c>
      <c r="BA52" s="742" t="e">
        <f>((AC52*#REF!)/AU52)*60</f>
        <v>#REF!</v>
      </c>
      <c r="BB52" s="1001">
        <v>83611</v>
      </c>
      <c r="BC52" s="1001">
        <v>0</v>
      </c>
      <c r="BD52" s="1001">
        <v>10961</v>
      </c>
      <c r="BE52" s="1001">
        <v>72650</v>
      </c>
      <c r="BF52" s="1023" t="s">
        <v>1131</v>
      </c>
      <c r="BG52" s="829" t="s">
        <v>1130</v>
      </c>
    </row>
    <row r="53" spans="1:62" ht="16" customHeight="1">
      <c r="A53" s="1032" t="s">
        <v>849</v>
      </c>
      <c r="B53" s="829" t="s">
        <v>1083</v>
      </c>
      <c r="C53" s="829" t="s">
        <v>1110</v>
      </c>
      <c r="D53" s="829" t="s">
        <v>1081</v>
      </c>
      <c r="E53" s="829"/>
      <c r="F53" s="829"/>
      <c r="G53" s="829" t="s">
        <v>1080</v>
      </c>
      <c r="H53" s="829" t="s">
        <v>1108</v>
      </c>
      <c r="I53" s="719" t="str">
        <f t="shared" si="7"/>
        <v/>
      </c>
      <c r="J53" s="829">
        <v>2150</v>
      </c>
      <c r="K53" s="829">
        <v>3200</v>
      </c>
      <c r="L53" s="829">
        <v>1050</v>
      </c>
      <c r="M53" s="829">
        <v>6.7</v>
      </c>
      <c r="N53" s="829">
        <v>5410</v>
      </c>
      <c r="O53" s="829"/>
      <c r="P53" s="829"/>
      <c r="Q53" s="742">
        <v>3400</v>
      </c>
      <c r="R53" s="742"/>
      <c r="S53" s="742"/>
      <c r="T53" s="742"/>
      <c r="U53" s="1033"/>
      <c r="V53" s="1033"/>
      <c r="W53" s="1033"/>
      <c r="X53" s="829">
        <v>120</v>
      </c>
      <c r="Y53" s="829"/>
      <c r="Z53" s="829"/>
      <c r="AA53" s="829"/>
      <c r="AB53" s="829"/>
      <c r="AC53" s="829">
        <v>37.299999999999997</v>
      </c>
      <c r="AD53" s="829"/>
      <c r="AE53" s="829"/>
      <c r="AF53" s="829"/>
      <c r="AG53" s="829">
        <v>208</v>
      </c>
      <c r="AH53" s="829"/>
      <c r="AI53" s="829"/>
      <c r="AJ53" s="829"/>
      <c r="AK53" s="829"/>
      <c r="AL53" s="829"/>
      <c r="AM53" s="1026"/>
      <c r="AN53" s="1026"/>
      <c r="AO53" s="829"/>
      <c r="AP53" s="829"/>
      <c r="AQ53" s="829"/>
      <c r="AR53" s="829"/>
      <c r="AS53" s="829"/>
      <c r="AT53" s="829"/>
      <c r="AU53" s="829">
        <v>7.2</v>
      </c>
      <c r="AV53" s="732" t="s">
        <v>953</v>
      </c>
      <c r="AW53" s="171">
        <v>40</v>
      </c>
      <c r="AX53" s="171" t="s">
        <v>944</v>
      </c>
      <c r="AY53" s="829" t="s">
        <v>1078</v>
      </c>
      <c r="AZ53" s="742" t="e">
        <f>((AC53*#REF!)/AW53)*60</f>
        <v>#REF!</v>
      </c>
      <c r="BA53" s="742" t="e">
        <f>((AC53*#REF!)/AU53)*60</f>
        <v>#REF!</v>
      </c>
      <c r="BB53" s="1034"/>
      <c r="BC53" s="1034"/>
      <c r="BD53" s="1034"/>
      <c r="BE53" s="1034"/>
      <c r="BF53" s="1034"/>
      <c r="BG53" s="1027" t="s">
        <v>1077</v>
      </c>
    </row>
    <row r="54" spans="1:62" ht="16" customHeight="1">
      <c r="A54" s="1032" t="s">
        <v>849</v>
      </c>
      <c r="B54" s="829" t="s">
        <v>1083</v>
      </c>
      <c r="C54" s="829" t="s">
        <v>1109</v>
      </c>
      <c r="D54" s="829" t="s">
        <v>1081</v>
      </c>
      <c r="E54" s="829"/>
      <c r="F54" s="829"/>
      <c r="G54" s="829" t="s">
        <v>1080</v>
      </c>
      <c r="H54" s="829" t="s">
        <v>1108</v>
      </c>
      <c r="I54" s="719" t="str">
        <f t="shared" si="7"/>
        <v/>
      </c>
      <c r="J54" s="829">
        <v>2450</v>
      </c>
      <c r="K54" s="829">
        <v>3200</v>
      </c>
      <c r="L54" s="829">
        <v>750</v>
      </c>
      <c r="M54" s="829">
        <v>6.7</v>
      </c>
      <c r="N54" s="829">
        <v>5410</v>
      </c>
      <c r="O54" s="829"/>
      <c r="P54" s="829"/>
      <c r="Q54" s="742">
        <v>3400</v>
      </c>
      <c r="R54" s="742"/>
      <c r="S54" s="742"/>
      <c r="T54" s="742"/>
      <c r="U54" s="1033"/>
      <c r="V54" s="1033"/>
      <c r="W54" s="1033"/>
      <c r="X54" s="829">
        <v>120</v>
      </c>
      <c r="Y54" s="829"/>
      <c r="Z54" s="829"/>
      <c r="AA54" s="829"/>
      <c r="AB54" s="829"/>
      <c r="AC54" s="829">
        <v>74.599999999999994</v>
      </c>
      <c r="AD54" s="829"/>
      <c r="AE54" s="829"/>
      <c r="AF54" s="829"/>
      <c r="AG54" s="829">
        <v>400</v>
      </c>
      <c r="AH54" s="829"/>
      <c r="AI54" s="829"/>
      <c r="AJ54" s="829"/>
      <c r="AK54" s="829"/>
      <c r="AL54" s="829"/>
      <c r="AM54" s="1026"/>
      <c r="AN54" s="1026"/>
      <c r="AO54" s="829"/>
      <c r="AP54" s="829"/>
      <c r="AQ54" s="829"/>
      <c r="AR54" s="829"/>
      <c r="AS54" s="829"/>
      <c r="AT54" s="829"/>
      <c r="AU54" s="829">
        <v>7.2</v>
      </c>
      <c r="AV54" s="732" t="s">
        <v>953</v>
      </c>
      <c r="AW54" s="829">
        <v>40</v>
      </c>
      <c r="AX54" s="171" t="s">
        <v>944</v>
      </c>
      <c r="AY54" s="829" t="s">
        <v>1078</v>
      </c>
      <c r="AZ54" s="742" t="e">
        <f>((AC54*#REF!)/AW54)*60</f>
        <v>#REF!</v>
      </c>
      <c r="BA54" s="742" t="e">
        <f>((AC54*#REF!)/AU54)*60</f>
        <v>#REF!</v>
      </c>
      <c r="BB54" s="1034"/>
      <c r="BC54" s="1034"/>
      <c r="BD54" s="1034"/>
      <c r="BE54" s="1034"/>
      <c r="BF54" s="1034"/>
      <c r="BG54" s="1027" t="s">
        <v>1077</v>
      </c>
    </row>
    <row r="55" spans="1:62" ht="16" customHeight="1">
      <c r="A55" s="541" t="s">
        <v>848</v>
      </c>
      <c r="B55" s="829" t="s">
        <v>1083</v>
      </c>
      <c r="C55" s="829" t="s">
        <v>1082</v>
      </c>
      <c r="D55" s="829" t="s">
        <v>1081</v>
      </c>
      <c r="E55" s="719">
        <v>2020</v>
      </c>
      <c r="F55" s="829"/>
      <c r="G55" s="829"/>
      <c r="H55" s="171" t="s">
        <v>1079</v>
      </c>
      <c r="I55" s="719" t="str">
        <f t="shared" si="7"/>
        <v>Small (&lt; 4.5 m3 storage space)</v>
      </c>
      <c r="J55" s="829"/>
      <c r="K55" s="829"/>
      <c r="L55" s="829"/>
      <c r="M55" s="829"/>
      <c r="N55" s="829"/>
      <c r="O55" s="829"/>
      <c r="P55" s="829"/>
      <c r="Q55" s="742"/>
      <c r="R55" s="742"/>
      <c r="S55" s="742"/>
      <c r="T55" s="742"/>
      <c r="U55" s="1033"/>
      <c r="V55" s="1033"/>
      <c r="W55" s="1033"/>
      <c r="X55" s="829">
        <v>120</v>
      </c>
      <c r="Y55" s="829">
        <v>82</v>
      </c>
      <c r="Z55" s="829"/>
      <c r="AA55" s="829"/>
      <c r="AB55" s="829"/>
      <c r="AC55" s="829">
        <v>37.299999999999997</v>
      </c>
      <c r="AD55" s="829"/>
      <c r="AE55" s="829"/>
      <c r="AF55" s="829"/>
      <c r="AG55" s="816">
        <v>220</v>
      </c>
      <c r="AH55" s="829"/>
      <c r="AI55" s="829"/>
      <c r="AJ55" s="829"/>
      <c r="AK55" s="829"/>
      <c r="AL55" s="829"/>
      <c r="AM55" s="1026"/>
      <c r="AN55" s="1026"/>
      <c r="AO55" s="1040">
        <f>AC55/AG55*100</f>
        <v>16.954545454545453</v>
      </c>
      <c r="AP55" s="1040">
        <f>AO55*Factor_WLTP_NEDC</f>
        <v>21.405135616092583</v>
      </c>
      <c r="AQ55" s="829"/>
      <c r="AR55" s="829"/>
      <c r="AS55" s="829"/>
      <c r="AT55" s="829"/>
      <c r="AU55" s="829">
        <v>7.2</v>
      </c>
      <c r="AV55" s="732" t="s">
        <v>953</v>
      </c>
      <c r="AW55" s="829">
        <v>50</v>
      </c>
      <c r="AX55" s="171" t="s">
        <v>944</v>
      </c>
      <c r="AY55" s="829" t="s">
        <v>1078</v>
      </c>
      <c r="AZ55" s="742" t="e">
        <f>((AC55*#REF!)/AW55)*60</f>
        <v>#REF!</v>
      </c>
      <c r="BA55" s="742" t="e">
        <f>((AC55*#REF!)/AU55)*60</f>
        <v>#REF!</v>
      </c>
      <c r="BB55" s="1034"/>
      <c r="BC55" s="1034"/>
      <c r="BD55" s="1034"/>
      <c r="BE55" s="1034"/>
      <c r="BF55" s="1034"/>
      <c r="BG55" s="1024" t="s">
        <v>1917</v>
      </c>
    </row>
    <row r="56" spans="1:62" ht="16" customHeight="1">
      <c r="A56" s="1032" t="s">
        <v>849</v>
      </c>
      <c r="B56" s="1025" t="s">
        <v>1655</v>
      </c>
      <c r="C56" s="1025" t="s">
        <v>1656</v>
      </c>
      <c r="D56" s="829" t="s">
        <v>1091</v>
      </c>
      <c r="E56" s="1041">
        <v>43757</v>
      </c>
      <c r="F56" s="829"/>
      <c r="G56" s="829" t="s">
        <v>1080</v>
      </c>
      <c r="H56" s="171" t="s">
        <v>1079</v>
      </c>
      <c r="I56" s="719" t="str">
        <f t="shared" si="7"/>
        <v/>
      </c>
      <c r="J56" s="1025">
        <v>600</v>
      </c>
      <c r="K56" s="1025">
        <v>1550</v>
      </c>
      <c r="L56" s="1025">
        <v>700</v>
      </c>
      <c r="M56" s="829"/>
      <c r="N56" s="829"/>
      <c r="O56" s="1025">
        <v>1520</v>
      </c>
      <c r="P56" s="1025">
        <v>1640</v>
      </c>
      <c r="Q56" s="1016">
        <v>2450</v>
      </c>
      <c r="R56" s="1016">
        <v>1560</v>
      </c>
      <c r="S56" s="1016">
        <v>1500</v>
      </c>
      <c r="T56" s="742"/>
      <c r="U56" s="1033"/>
      <c r="V56" s="1033"/>
      <c r="W56" s="1033"/>
      <c r="X56" s="1025">
        <v>75</v>
      </c>
      <c r="Y56" s="1025">
        <v>14</v>
      </c>
      <c r="Z56" s="1042">
        <f>$Z$52/$Y$52*Y56</f>
        <v>19.040000000000003</v>
      </c>
      <c r="AA56" s="829"/>
      <c r="AB56" s="829"/>
      <c r="AC56" s="1025">
        <v>14</v>
      </c>
      <c r="AD56" s="813">
        <f>AC56*($AD$22/$AC$22)</f>
        <v>13.151515151515152</v>
      </c>
      <c r="AE56" s="1025">
        <v>110</v>
      </c>
      <c r="AF56" s="1018" t="s">
        <v>1090</v>
      </c>
      <c r="AG56" s="829"/>
      <c r="AH56" s="1025">
        <v>170</v>
      </c>
      <c r="AI56" s="829"/>
      <c r="AJ56" s="829"/>
      <c r="AK56" s="829"/>
      <c r="AL56" s="829"/>
      <c r="AM56" s="1026"/>
      <c r="AN56" s="1026"/>
      <c r="AO56" s="829"/>
      <c r="AP56" s="1025">
        <v>10.5</v>
      </c>
      <c r="AQ56" s="829"/>
      <c r="AR56" s="829"/>
      <c r="AS56" s="829"/>
      <c r="AT56" s="829"/>
      <c r="AU56" s="1025">
        <v>3.7</v>
      </c>
      <c r="AV56" s="732" t="s">
        <v>961</v>
      </c>
      <c r="AW56" s="829"/>
      <c r="AX56" s="1025" t="s">
        <v>962</v>
      </c>
      <c r="AY56" s="171" t="s">
        <v>1088</v>
      </c>
      <c r="AZ56" s="829"/>
      <c r="BA56" s="742" t="e">
        <f>((AC56*#REF!)/AU56)*60</f>
        <v>#REF!</v>
      </c>
      <c r="BB56" s="1034">
        <f>SUM(BC56:BE56)</f>
        <v>32609.5</v>
      </c>
      <c r="BC56" s="1001">
        <v>0</v>
      </c>
      <c r="BD56" s="1034">
        <f>21%*BE56</f>
        <v>5659.5</v>
      </c>
      <c r="BE56" s="1043">
        <v>26950</v>
      </c>
      <c r="BF56" s="1034"/>
      <c r="BG56" s="1027"/>
    </row>
    <row r="57" spans="1:62" ht="16" customHeight="1">
      <c r="A57" s="1032" t="s">
        <v>849</v>
      </c>
      <c r="B57" s="1025" t="s">
        <v>1655</v>
      </c>
      <c r="C57" s="1025" t="s">
        <v>1657</v>
      </c>
      <c r="D57" s="829" t="s">
        <v>1091</v>
      </c>
      <c r="E57" s="1041">
        <v>43818</v>
      </c>
      <c r="F57" s="829"/>
      <c r="G57" s="829" t="s">
        <v>1080</v>
      </c>
      <c r="H57" s="171" t="s">
        <v>1079</v>
      </c>
      <c r="I57" s="719" t="str">
        <f t="shared" si="7"/>
        <v/>
      </c>
      <c r="J57" s="1025">
        <v>600</v>
      </c>
      <c r="K57" s="1025">
        <v>1550</v>
      </c>
      <c r="L57" s="1025">
        <v>700</v>
      </c>
      <c r="M57" s="829"/>
      <c r="N57" s="829"/>
      <c r="O57" s="1025">
        <v>1520</v>
      </c>
      <c r="P57" s="1025">
        <v>1640</v>
      </c>
      <c r="Q57" s="1016">
        <v>2450</v>
      </c>
      <c r="R57" s="1016">
        <v>1560</v>
      </c>
      <c r="S57" s="1016">
        <v>1500</v>
      </c>
      <c r="T57" s="742"/>
      <c r="U57" s="1033"/>
      <c r="V57" s="1033"/>
      <c r="W57" s="1033"/>
      <c r="X57" s="1025">
        <v>75</v>
      </c>
      <c r="Y57" s="1025">
        <v>14</v>
      </c>
      <c r="Z57" s="1042">
        <f>$Z$52/$Y$52*Y57</f>
        <v>19.040000000000003</v>
      </c>
      <c r="AA57" s="829"/>
      <c r="AB57" s="829"/>
      <c r="AC57" s="1025">
        <v>14</v>
      </c>
      <c r="AD57" s="813">
        <f>AC57*($AD$22/$AC$22)</f>
        <v>13.151515151515152</v>
      </c>
      <c r="AE57" s="1025">
        <v>110</v>
      </c>
      <c r="AF57" s="1018" t="s">
        <v>1090</v>
      </c>
      <c r="AG57" s="829"/>
      <c r="AH57" s="1025">
        <v>170</v>
      </c>
      <c r="AI57" s="829"/>
      <c r="AJ57" s="829"/>
      <c r="AK57" s="829"/>
      <c r="AL57" s="829"/>
      <c r="AM57" s="1026"/>
      <c r="AN57" s="1026"/>
      <c r="AO57" s="829"/>
      <c r="AP57" s="1025">
        <v>10.5</v>
      </c>
      <c r="AQ57" s="829"/>
      <c r="AR57" s="829"/>
      <c r="AS57" s="829"/>
      <c r="AT57" s="829"/>
      <c r="AU57" s="1025">
        <v>3.7</v>
      </c>
      <c r="AV57" s="732" t="s">
        <v>1658</v>
      </c>
      <c r="AW57" s="829"/>
      <c r="AX57" s="1025" t="s">
        <v>962</v>
      </c>
      <c r="AY57" s="171" t="s">
        <v>1088</v>
      </c>
      <c r="AZ57" s="829"/>
      <c r="BA57" s="742" t="e">
        <f>((AC57*#REF!)/AU57)*60</f>
        <v>#REF!</v>
      </c>
      <c r="BB57" s="1034">
        <f>SUM(BC57:BE57)</f>
        <v>33698.5</v>
      </c>
      <c r="BC57" s="1001">
        <v>0</v>
      </c>
      <c r="BD57" s="1034">
        <f>21%*BE57</f>
        <v>5848.5</v>
      </c>
      <c r="BE57" s="1043">
        <v>27850</v>
      </c>
      <c r="BF57" s="1034"/>
      <c r="BG57" s="1027"/>
    </row>
    <row r="58" spans="1:62" ht="16" customHeight="1">
      <c r="A58" s="1032" t="s">
        <v>849</v>
      </c>
      <c r="B58" s="1025" t="s">
        <v>1655</v>
      </c>
      <c r="C58" s="1025" t="s">
        <v>1659</v>
      </c>
      <c r="D58" s="829" t="s">
        <v>1091</v>
      </c>
      <c r="E58" s="1041">
        <v>43757</v>
      </c>
      <c r="F58" s="829"/>
      <c r="G58" s="829" t="s">
        <v>1080</v>
      </c>
      <c r="H58" s="171" t="s">
        <v>1079</v>
      </c>
      <c r="I58" s="719" t="str">
        <f t="shared" si="7"/>
        <v/>
      </c>
      <c r="J58" s="1025">
        <v>600</v>
      </c>
      <c r="K58" s="1025">
        <v>1550</v>
      </c>
      <c r="L58" s="1025">
        <v>700</v>
      </c>
      <c r="M58" s="829"/>
      <c r="N58" s="829"/>
      <c r="O58" s="1025">
        <v>1520</v>
      </c>
      <c r="P58" s="1025">
        <v>1640</v>
      </c>
      <c r="Q58" s="1016">
        <v>2450</v>
      </c>
      <c r="R58" s="1016">
        <v>1560</v>
      </c>
      <c r="S58" s="1016">
        <v>1500</v>
      </c>
      <c r="T58" s="742"/>
      <c r="U58" s="1033"/>
      <c r="V58" s="1033"/>
      <c r="W58" s="1033"/>
      <c r="X58" s="1025">
        <v>75</v>
      </c>
      <c r="Y58" s="1025">
        <v>14</v>
      </c>
      <c r="Z58" s="1042">
        <f>$Z$52/$Y$52*Y58</f>
        <v>19.040000000000003</v>
      </c>
      <c r="AA58" s="829"/>
      <c r="AB58" s="829"/>
      <c r="AC58" s="1025">
        <v>14</v>
      </c>
      <c r="AD58" s="813">
        <f>AC58*($AD$22/$AC$22)</f>
        <v>13.151515151515152</v>
      </c>
      <c r="AE58" s="1025">
        <v>110</v>
      </c>
      <c r="AF58" s="1018" t="s">
        <v>1090</v>
      </c>
      <c r="AG58" s="829"/>
      <c r="AH58" s="1025">
        <v>170</v>
      </c>
      <c r="AI58" s="829"/>
      <c r="AJ58" s="829"/>
      <c r="AK58" s="829"/>
      <c r="AL58" s="829"/>
      <c r="AM58" s="1026"/>
      <c r="AN58" s="1026"/>
      <c r="AO58" s="829"/>
      <c r="AP58" s="1025">
        <v>10.5</v>
      </c>
      <c r="AQ58" s="829"/>
      <c r="AR58" s="829"/>
      <c r="AS58" s="829"/>
      <c r="AT58" s="829"/>
      <c r="AU58" s="1025">
        <v>3.7</v>
      </c>
      <c r="AV58" s="732" t="s">
        <v>961</v>
      </c>
      <c r="AW58" s="829"/>
      <c r="AX58" s="1025" t="s">
        <v>962</v>
      </c>
      <c r="AY58" s="171" t="s">
        <v>1088</v>
      </c>
      <c r="AZ58" s="829"/>
      <c r="BA58" s="742" t="e">
        <f>((AC58*#REF!)/AU58)*60</f>
        <v>#REF!</v>
      </c>
      <c r="BB58" s="1034">
        <f>SUM(BC58:BE58)</f>
        <v>34303.5</v>
      </c>
      <c r="BC58" s="1001">
        <v>0</v>
      </c>
      <c r="BD58" s="1034">
        <f>21%*BE58</f>
        <v>5953.5</v>
      </c>
      <c r="BE58" s="1043">
        <v>28350</v>
      </c>
      <c r="BF58" s="1034"/>
      <c r="BG58" s="1027"/>
    </row>
    <row r="60" spans="1:62">
      <c r="A60" s="652"/>
      <c r="B60" s="652"/>
      <c r="C60" s="652"/>
      <c r="D60" s="652"/>
      <c r="E60" s="652"/>
      <c r="F60" s="652"/>
      <c r="G60" s="652"/>
      <c r="H60" s="652"/>
      <c r="I60" s="719" t="str">
        <f t="shared" ref="I60" si="8">IF($A60="ja",H60,"")</f>
        <v/>
      </c>
      <c r="M60" s="652"/>
      <c r="N60" s="652"/>
      <c r="O60" s="652"/>
      <c r="P60" s="652"/>
      <c r="BH60" s="652" t="s">
        <v>1903</v>
      </c>
      <c r="BI60" s="652" t="s">
        <v>1892</v>
      </c>
      <c r="BJ60" s="652" t="s">
        <v>1893</v>
      </c>
    </row>
    <row r="61" spans="1:62" ht="17" thickBot="1"/>
    <row r="62" spans="1:62" ht="86" thickBot="1">
      <c r="B62" s="989" t="s">
        <v>112</v>
      </c>
      <c r="C62" s="989" t="s">
        <v>1194</v>
      </c>
      <c r="D62" s="989" t="s">
        <v>1193</v>
      </c>
      <c r="E62" s="989" t="s">
        <v>1192</v>
      </c>
      <c r="F62" s="989" t="s">
        <v>1191</v>
      </c>
      <c r="G62" s="989" t="s">
        <v>1190</v>
      </c>
      <c r="H62" s="989"/>
      <c r="I62" s="989" t="s">
        <v>1189</v>
      </c>
      <c r="J62" s="989" t="s">
        <v>1188</v>
      </c>
      <c r="K62" s="989" t="s">
        <v>1187</v>
      </c>
      <c r="L62" s="989" t="s">
        <v>1186</v>
      </c>
      <c r="M62" s="989" t="s">
        <v>1185</v>
      </c>
      <c r="N62" s="989" t="s">
        <v>1184</v>
      </c>
      <c r="O62" s="989" t="s">
        <v>932</v>
      </c>
      <c r="P62" s="989" t="s">
        <v>933</v>
      </c>
      <c r="Q62" s="989" t="s">
        <v>934</v>
      </c>
      <c r="R62" s="989" t="s">
        <v>1183</v>
      </c>
      <c r="S62" s="989" t="s">
        <v>927</v>
      </c>
      <c r="T62" s="989" t="s">
        <v>928</v>
      </c>
      <c r="U62" s="989" t="s">
        <v>929</v>
      </c>
      <c r="V62" s="989" t="s">
        <v>931</v>
      </c>
      <c r="W62" s="989" t="s">
        <v>935</v>
      </c>
      <c r="X62" s="989" t="s">
        <v>936</v>
      </c>
      <c r="Y62" s="989" t="s">
        <v>1062</v>
      </c>
      <c r="Z62" s="989" t="s">
        <v>1182</v>
      </c>
      <c r="AA62" s="989" t="s">
        <v>1064</v>
      </c>
      <c r="AB62" s="989" t="s">
        <v>1065</v>
      </c>
      <c r="AC62" s="989" t="s">
        <v>1181</v>
      </c>
      <c r="AD62" s="989" t="s">
        <v>1180</v>
      </c>
      <c r="AE62" s="989" t="s">
        <v>1179</v>
      </c>
      <c r="AF62" s="989" t="s">
        <v>1178</v>
      </c>
      <c r="AG62" s="989" t="s">
        <v>1177</v>
      </c>
      <c r="AH62" s="989" t="s">
        <v>1176</v>
      </c>
      <c r="AI62" s="989" t="s">
        <v>1175</v>
      </c>
      <c r="AJ62" s="989" t="s">
        <v>1174</v>
      </c>
      <c r="AK62" s="989" t="s">
        <v>1173</v>
      </c>
      <c r="AL62" s="989" t="s">
        <v>1172</v>
      </c>
      <c r="AM62" s="989" t="s">
        <v>1171</v>
      </c>
      <c r="AN62" s="989" t="s">
        <v>1170</v>
      </c>
      <c r="AO62" s="1011" t="s">
        <v>941</v>
      </c>
      <c r="AP62" s="1012" t="s">
        <v>942</v>
      </c>
      <c r="AQ62" s="1012" t="s">
        <v>943</v>
      </c>
      <c r="AR62" s="1012" t="s">
        <v>944</v>
      </c>
      <c r="AS62" s="1011" t="s">
        <v>945</v>
      </c>
      <c r="AT62" s="1011" t="s">
        <v>946</v>
      </c>
      <c r="AU62" s="1011" t="s">
        <v>947</v>
      </c>
      <c r="AV62" s="989" t="s">
        <v>1066</v>
      </c>
      <c r="AW62" s="989" t="s">
        <v>121</v>
      </c>
      <c r="AX62" s="989" t="s">
        <v>464</v>
      </c>
      <c r="AY62" s="989" t="s">
        <v>1169</v>
      </c>
      <c r="AZ62" s="989" t="s">
        <v>1168</v>
      </c>
      <c r="BA62" s="1013" t="s">
        <v>1167</v>
      </c>
    </row>
    <row r="63" spans="1:62" ht="17" thickTop="1">
      <c r="B63" s="171" t="s">
        <v>1204</v>
      </c>
      <c r="C63" s="742">
        <f>AVERAGEIF($I$4:$I$58,"Small (&lt; 4.5 m3 storage space)",J4:J58)</f>
        <v>1461.875</v>
      </c>
      <c r="D63" s="742">
        <f>AVERAGEIF($I$4:$I$58,"Small (&lt; 4.5 m3 storage space)",K4:K58)</f>
        <v>2175</v>
      </c>
      <c r="E63" s="742">
        <f>AVERAGEIF($I$4:$I$58,"Small (&lt; 4.5 m3 storage space)",L4:L58)</f>
        <v>701.88888888888891</v>
      </c>
      <c r="F63" s="742">
        <f>AVERAGEIF($I$4:$I$58,"Small (&lt; 4.5 m3 storage space)",M4:M58)</f>
        <v>3.96</v>
      </c>
      <c r="G63" s="742">
        <f>AVERAGEIF($I$4:$I$58,"Small (&lt; 4.5 m3 storage space)",N4:N58)</f>
        <v>4288.1111111111113</v>
      </c>
      <c r="H63" s="742"/>
      <c r="I63" s="742">
        <f t="shared" ref="I63:AZ63" si="9">AVERAGEIF($I$4:$I$58,"Small (&lt; 4.5 m3 storage space)",O4:O58)</f>
        <v>1956.7777777777778</v>
      </c>
      <c r="J63" s="742">
        <f t="shared" si="9"/>
        <v>1592.5714285714287</v>
      </c>
      <c r="K63" s="742">
        <f t="shared" si="9"/>
        <v>2834.3333333333335</v>
      </c>
      <c r="L63" s="742">
        <f t="shared" si="9"/>
        <v>1950.2857142857142</v>
      </c>
      <c r="M63" s="742">
        <f t="shared" si="9"/>
        <v>1712</v>
      </c>
      <c r="N63" s="742">
        <f t="shared" si="9"/>
        <v>1108.8333333333333</v>
      </c>
      <c r="O63" s="742" t="e">
        <f t="shared" si="9"/>
        <v>#DIV/0!</v>
      </c>
      <c r="P63" s="742" t="e">
        <f t="shared" si="9"/>
        <v>#DIV/0!</v>
      </c>
      <c r="Q63" s="742" t="e">
        <f t="shared" si="9"/>
        <v>#DIV/0!</v>
      </c>
      <c r="R63" s="742">
        <f t="shared" si="9"/>
        <v>101</v>
      </c>
      <c r="S63" s="742">
        <f t="shared" si="9"/>
        <v>53.8</v>
      </c>
      <c r="T63" s="742">
        <f t="shared" si="9"/>
        <v>68.777777777777771</v>
      </c>
      <c r="U63" s="742">
        <f t="shared" si="9"/>
        <v>211.55555555555554</v>
      </c>
      <c r="V63" s="742" t="e">
        <f t="shared" si="9"/>
        <v>#DIV/0!</v>
      </c>
      <c r="W63" s="742">
        <f t="shared" si="9"/>
        <v>32.33</v>
      </c>
      <c r="X63" s="742">
        <f t="shared" si="9"/>
        <v>33.333333333333336</v>
      </c>
      <c r="Y63" s="742">
        <f t="shared" si="9"/>
        <v>260</v>
      </c>
      <c r="Z63" s="742" t="e">
        <f t="shared" si="9"/>
        <v>#DIV/0!</v>
      </c>
      <c r="AA63" s="742">
        <f t="shared" si="9"/>
        <v>186.44444444444446</v>
      </c>
      <c r="AB63" s="742">
        <f t="shared" si="9"/>
        <v>220</v>
      </c>
      <c r="AC63" s="742">
        <f t="shared" si="9"/>
        <v>166.33333333333334</v>
      </c>
      <c r="AD63" s="742">
        <f t="shared" si="9"/>
        <v>168.66666666666666</v>
      </c>
      <c r="AE63" s="742" t="e">
        <f t="shared" si="9"/>
        <v>#DIV/0!</v>
      </c>
      <c r="AF63" s="742" t="e">
        <f t="shared" si="9"/>
        <v>#DIV/0!</v>
      </c>
      <c r="AG63" s="742" t="e">
        <f t="shared" si="9"/>
        <v>#DIV/0!</v>
      </c>
      <c r="AH63" s="742" t="e">
        <f t="shared" si="9"/>
        <v>#DIV/0!</v>
      </c>
      <c r="AI63" s="742">
        <f t="shared" si="9"/>
        <v>15.15151515151515</v>
      </c>
      <c r="AJ63" s="742">
        <f t="shared" si="9"/>
        <v>19.346605640812722</v>
      </c>
      <c r="AK63" s="742">
        <f t="shared" si="9"/>
        <v>21.312797308272422</v>
      </c>
      <c r="AL63" s="742">
        <f t="shared" si="9"/>
        <v>21.32200385949109</v>
      </c>
      <c r="AM63" s="742" t="e">
        <f t="shared" si="9"/>
        <v>#DIV/0!</v>
      </c>
      <c r="AN63" s="742" t="e">
        <f t="shared" si="9"/>
        <v>#DIV/0!</v>
      </c>
      <c r="AO63" s="742">
        <f t="shared" si="9"/>
        <v>4.4800000000000004</v>
      </c>
      <c r="AP63" s="742" t="e">
        <f t="shared" si="9"/>
        <v>#DIV/0!</v>
      </c>
      <c r="AQ63" s="742">
        <f t="shared" si="9"/>
        <v>50</v>
      </c>
      <c r="AR63" s="742" t="e">
        <f t="shared" si="9"/>
        <v>#DIV/0!</v>
      </c>
      <c r="AS63" s="742" t="e">
        <f t="shared" si="9"/>
        <v>#DIV/0!</v>
      </c>
      <c r="AT63" s="742" t="e">
        <f t="shared" si="9"/>
        <v>#REF!</v>
      </c>
      <c r="AU63" s="742" t="e">
        <f t="shared" si="9"/>
        <v>#REF!</v>
      </c>
      <c r="AV63" s="707">
        <f t="shared" si="9"/>
        <v>36180.781961111112</v>
      </c>
      <c r="AW63" s="742">
        <f t="shared" si="9"/>
        <v>0</v>
      </c>
      <c r="AX63" s="742">
        <f t="shared" si="9"/>
        <v>11407.911111111111</v>
      </c>
      <c r="AY63" s="707">
        <f t="shared" si="9"/>
        <v>29901.47269513315</v>
      </c>
      <c r="AZ63" s="742" t="e">
        <f t="shared" si="9"/>
        <v>#DIV/0!</v>
      </c>
    </row>
    <row r="64" spans="1:62">
      <c r="B64" s="171" t="s">
        <v>1205</v>
      </c>
      <c r="C64" s="742">
        <f>AVERAGEIF($I$4:$I$58,"Medium (4.5 -  7 m3)",J4:J58)</f>
        <v>1853</v>
      </c>
      <c r="D64" s="742">
        <f>AVERAGEIF($I$4:$I$58,"Medium (4.5 -  7 m3)",K4:K58)</f>
        <v>2962.5</v>
      </c>
      <c r="E64" s="742">
        <f>AVERAGEIF($I$4:$I$58,"Medium (4.5 -  7 m3)",L4:L58)</f>
        <v>987</v>
      </c>
      <c r="F64" s="742">
        <f>AVERAGEIF($I$4:$I$58,"Medium (4.5 -  7 m3)",M4:M58)</f>
        <v>6.65</v>
      </c>
      <c r="G64" s="742">
        <f>AVERAGEIF($I$4:$I$58,"Medium (4.5 -  7 m3)",N4:N58)</f>
        <v>5583.6</v>
      </c>
      <c r="H64" s="742"/>
      <c r="I64" s="742">
        <f t="shared" ref="I64:AZ64" si="10">AVERAGEIF($I$4:$I$58,"Medium (4.5 -  7 m3)",O4:O58)</f>
        <v>1952.2</v>
      </c>
      <c r="J64" s="742">
        <f t="shared" si="10"/>
        <v>1934.6</v>
      </c>
      <c r="K64" s="742" t="e">
        <f t="shared" si="10"/>
        <v>#DIV/0!</v>
      </c>
      <c r="L64" s="742">
        <f t="shared" si="10"/>
        <v>3054.75</v>
      </c>
      <c r="M64" s="742">
        <f t="shared" si="10"/>
        <v>1716</v>
      </c>
      <c r="N64" s="742">
        <f t="shared" si="10"/>
        <v>903.5</v>
      </c>
      <c r="O64" s="742" t="e">
        <f t="shared" si="10"/>
        <v>#DIV/0!</v>
      </c>
      <c r="P64" s="742" t="e">
        <f t="shared" si="10"/>
        <v>#DIV/0!</v>
      </c>
      <c r="Q64" s="742" t="e">
        <f t="shared" si="10"/>
        <v>#DIV/0!</v>
      </c>
      <c r="R64" s="742">
        <f t="shared" si="10"/>
        <v>99</v>
      </c>
      <c r="S64" s="742">
        <f t="shared" si="10"/>
        <v>62.8</v>
      </c>
      <c r="T64" s="742">
        <f t="shared" si="10"/>
        <v>85.4</v>
      </c>
      <c r="U64" s="742">
        <f t="shared" si="10"/>
        <v>238</v>
      </c>
      <c r="V64" s="742" t="e">
        <f t="shared" si="10"/>
        <v>#DIV/0!</v>
      </c>
      <c r="W64" s="742">
        <f t="shared" si="10"/>
        <v>41.428571428571431</v>
      </c>
      <c r="X64" s="742" t="e">
        <f t="shared" si="10"/>
        <v>#DIV/0!</v>
      </c>
      <c r="Y64" s="742" t="e">
        <f t="shared" si="10"/>
        <v>#DIV/0!</v>
      </c>
      <c r="Z64" s="742" t="e">
        <f t="shared" si="10"/>
        <v>#DIV/0!</v>
      </c>
      <c r="AA64" s="742">
        <f t="shared" si="10"/>
        <v>195.14285714285714</v>
      </c>
      <c r="AB64" s="742">
        <f t="shared" si="10"/>
        <v>200</v>
      </c>
      <c r="AC64" s="742">
        <f t="shared" si="10"/>
        <v>145.6</v>
      </c>
      <c r="AD64" s="742">
        <f t="shared" si="10"/>
        <v>101</v>
      </c>
      <c r="AE64" s="742" t="e">
        <f t="shared" si="10"/>
        <v>#DIV/0!</v>
      </c>
      <c r="AF64" s="742" t="e">
        <f t="shared" si="10"/>
        <v>#DIV/0!</v>
      </c>
      <c r="AG64" s="742" t="e">
        <f t="shared" si="10"/>
        <v>#DIV/0!</v>
      </c>
      <c r="AH64" s="742" t="e">
        <f t="shared" si="10"/>
        <v>#DIV/0!</v>
      </c>
      <c r="AI64" s="742">
        <f t="shared" si="10"/>
        <v>19.561358745271946</v>
      </c>
      <c r="AJ64" s="742">
        <f t="shared" si="10"/>
        <v>25.449695791727681</v>
      </c>
      <c r="AK64" s="742">
        <f t="shared" si="10"/>
        <v>29.496402877697843</v>
      </c>
      <c r="AL64" s="742">
        <f t="shared" si="10"/>
        <v>40.594059405940598</v>
      </c>
      <c r="AM64" s="742" t="e">
        <f t="shared" si="10"/>
        <v>#DIV/0!</v>
      </c>
      <c r="AN64" s="742" t="e">
        <f t="shared" si="10"/>
        <v>#DIV/0!</v>
      </c>
      <c r="AO64" s="742">
        <f t="shared" si="10"/>
        <v>4.58</v>
      </c>
      <c r="AP64" s="742" t="e">
        <f t="shared" si="10"/>
        <v>#DIV/0!</v>
      </c>
      <c r="AQ64" s="742" t="e">
        <f t="shared" si="10"/>
        <v>#DIV/0!</v>
      </c>
      <c r="AR64" s="742" t="e">
        <f t="shared" si="10"/>
        <v>#DIV/0!</v>
      </c>
      <c r="AS64" s="742" t="e">
        <f t="shared" si="10"/>
        <v>#DIV/0!</v>
      </c>
      <c r="AT64" s="742" t="e">
        <f t="shared" si="10"/>
        <v>#DIV/0!</v>
      </c>
      <c r="AU64" s="742" t="e">
        <f t="shared" si="10"/>
        <v>#REF!</v>
      </c>
      <c r="AV64" s="707">
        <f t="shared" si="10"/>
        <v>52586.6</v>
      </c>
      <c r="AW64" s="742">
        <f t="shared" si="10"/>
        <v>0</v>
      </c>
      <c r="AX64" s="742">
        <f t="shared" si="10"/>
        <v>9126.6</v>
      </c>
      <c r="AY64" s="707">
        <f t="shared" si="10"/>
        <v>38185.714285714283</v>
      </c>
      <c r="AZ64" s="742" t="e">
        <f t="shared" si="10"/>
        <v>#DIV/0!</v>
      </c>
    </row>
    <row r="65" spans="1:52">
      <c r="B65" s="171" t="s">
        <v>1206</v>
      </c>
      <c r="C65" s="742">
        <f>AVERAGEIF($I$4:$I$58,"Large (&gt; 7m3 storage space) ",J4:J58)</f>
        <v>2312.8666666666668</v>
      </c>
      <c r="D65" s="742">
        <f>AVERAGEIF($I$4:$I$58,"Large (&gt; 7m3 storage space) ",K4:K58)</f>
        <v>3440</v>
      </c>
      <c r="E65" s="742">
        <f>AVERAGEIF($I$4:$I$58,"Large (&gt; 7m3 storage space) ",L4:L58)</f>
        <v>1130</v>
      </c>
      <c r="F65" s="742">
        <f>AVERAGEIF($I$4:$I$58,"Large (&gt; 7m3 storage space) ",M4:M58)</f>
        <v>10.393749999999999</v>
      </c>
      <c r="G65" s="742">
        <f>AVERAGEIF($I$4:$I$58,"Large (&gt; 7m3 storage space) ",N4:N58)</f>
        <v>5730.1538461538457</v>
      </c>
      <c r="H65" s="742"/>
      <c r="I65" s="742">
        <f t="shared" ref="I65:AZ65" si="11">AVERAGEIF($I$4:$I$58,"Large (&gt; 7m3 storage space) ",O4:O58)</f>
        <v>2044</v>
      </c>
      <c r="J65" s="742">
        <f t="shared" si="11"/>
        <v>1531.7692307692307</v>
      </c>
      <c r="K65" s="742">
        <f t="shared" si="11"/>
        <v>3726.3076923076924</v>
      </c>
      <c r="L65" s="742">
        <f t="shared" si="11"/>
        <v>3067.4</v>
      </c>
      <c r="M65" s="742">
        <f t="shared" si="11"/>
        <v>1978.4</v>
      </c>
      <c r="N65" s="742">
        <f t="shared" si="11"/>
        <v>1995.9</v>
      </c>
      <c r="O65" s="742" t="e">
        <f t="shared" si="11"/>
        <v>#DIV/0!</v>
      </c>
      <c r="P65" s="742">
        <f t="shared" si="11"/>
        <v>750</v>
      </c>
      <c r="Q65" s="742">
        <f t="shared" si="11"/>
        <v>1200</v>
      </c>
      <c r="R65" s="742">
        <f t="shared" si="11"/>
        <v>100</v>
      </c>
      <c r="S65" s="742">
        <f t="shared" si="11"/>
        <v>91.770833333333329</v>
      </c>
      <c r="T65" s="742">
        <f t="shared" si="11"/>
        <v>124.49803921568628</v>
      </c>
      <c r="U65" s="742">
        <f t="shared" si="11"/>
        <v>279.4736842105263</v>
      </c>
      <c r="V65" s="742" t="e">
        <f t="shared" si="11"/>
        <v>#DIV/0!</v>
      </c>
      <c r="W65" s="742">
        <f t="shared" si="11"/>
        <v>45.769999999999996</v>
      </c>
      <c r="X65" s="742" t="e">
        <f t="shared" si="11"/>
        <v>#DIV/0!</v>
      </c>
      <c r="Y65" s="742">
        <f t="shared" si="11"/>
        <v>277.25</v>
      </c>
      <c r="Z65" s="742" t="e">
        <f t="shared" si="11"/>
        <v>#DIV/0!</v>
      </c>
      <c r="AA65" s="742">
        <f t="shared" si="11"/>
        <v>177.21052631578948</v>
      </c>
      <c r="AB65" s="742">
        <f t="shared" si="11"/>
        <v>116.25</v>
      </c>
      <c r="AC65" s="742">
        <f t="shared" si="11"/>
        <v>126.81182098765431</v>
      </c>
      <c r="AD65" s="742">
        <f t="shared" si="11"/>
        <v>91.002407407407404</v>
      </c>
      <c r="AE65" s="742">
        <f t="shared" si="11"/>
        <v>135</v>
      </c>
      <c r="AF65" s="742">
        <f t="shared" si="11"/>
        <v>80</v>
      </c>
      <c r="AG65" s="742" t="e">
        <f t="shared" si="11"/>
        <v>#DIV/0!</v>
      </c>
      <c r="AH65" s="742" t="e">
        <f t="shared" si="11"/>
        <v>#DIV/0!</v>
      </c>
      <c r="AI65" s="742">
        <f t="shared" si="11"/>
        <v>25.607223388787123</v>
      </c>
      <c r="AJ65" s="742">
        <f t="shared" si="11"/>
        <v>36.088379371306893</v>
      </c>
      <c r="AK65" s="742">
        <f t="shared" si="11"/>
        <v>30.755513936934801</v>
      </c>
      <c r="AL65" s="742">
        <f t="shared" si="11"/>
        <v>40.095103310885257</v>
      </c>
      <c r="AM65" s="742">
        <f t="shared" si="11"/>
        <v>27.500000000000004</v>
      </c>
      <c r="AN65" s="742">
        <f t="shared" si="11"/>
        <v>38.75</v>
      </c>
      <c r="AO65" s="742">
        <f t="shared" si="11"/>
        <v>10.431578947368424</v>
      </c>
      <c r="AP65" s="742" t="e">
        <f t="shared" si="11"/>
        <v>#DIV/0!</v>
      </c>
      <c r="AQ65" s="742">
        <f t="shared" si="11"/>
        <v>42.222222222222221</v>
      </c>
      <c r="AR65" s="742" t="e">
        <f t="shared" si="11"/>
        <v>#DIV/0!</v>
      </c>
      <c r="AS65" s="742" t="e">
        <f t="shared" si="11"/>
        <v>#DIV/0!</v>
      </c>
      <c r="AT65" s="742" t="e">
        <f t="shared" si="11"/>
        <v>#REF!</v>
      </c>
      <c r="AU65" s="742" t="e">
        <f t="shared" si="11"/>
        <v>#REF!</v>
      </c>
      <c r="AV65" s="707">
        <f t="shared" si="11"/>
        <v>81974.31578947368</v>
      </c>
      <c r="AW65" s="742">
        <f t="shared" si="11"/>
        <v>0</v>
      </c>
      <c r="AX65" s="742" t="e">
        <f t="shared" si="11"/>
        <v>#REF!</v>
      </c>
      <c r="AY65" s="707">
        <f t="shared" si="11"/>
        <v>67326.31578947368</v>
      </c>
      <c r="AZ65" s="742" t="e">
        <f t="shared" si="11"/>
        <v>#DIV/0!</v>
      </c>
    </row>
    <row r="67" spans="1:52">
      <c r="A67" s="171" t="s">
        <v>1906</v>
      </c>
      <c r="B67" s="171" t="s">
        <v>1907</v>
      </c>
    </row>
    <row r="71" spans="1:52">
      <c r="AN71" s="171">
        <v>0.3</v>
      </c>
      <c r="AO71" s="171" t="s">
        <v>1963</v>
      </c>
      <c r="AQ71" s="171">
        <v>0.3</v>
      </c>
      <c r="AR71" s="171" t="s">
        <v>1963</v>
      </c>
    </row>
    <row r="72" spans="1:52">
      <c r="AN72" s="171">
        <v>7.2</v>
      </c>
      <c r="AO72" s="171" t="s">
        <v>1964</v>
      </c>
      <c r="AQ72" s="171">
        <v>7.4</v>
      </c>
      <c r="AR72" s="171" t="s">
        <v>1964</v>
      </c>
    </row>
    <row r="73" spans="1:52">
      <c r="AN73" s="742">
        <f>AN72/AN71</f>
        <v>24</v>
      </c>
      <c r="AO73" s="171" t="s">
        <v>1965</v>
      </c>
      <c r="AQ73" s="742">
        <f>AQ72/AQ71</f>
        <v>24.666666666666668</v>
      </c>
      <c r="AR73" s="171" t="s">
        <v>1965</v>
      </c>
    </row>
  </sheetData>
  <sheetProtection algorithmName="SHA-512" hashValue="AW2wfz3M2VVxI3YixMUrjTH9M7vAkhwGCnKoP3HU6Vj7zqwChrO2FaskmoYahqMF1s9sQZkVWqHzpf4Dnn0/+A==" saltValue="GwgAydniIKxkRDkyWsVstA==" spinCount="100000" sheet="1" objects="1" scenarios="1"/>
  <autoFilter ref="A3:BJ60" xr:uid="{9E9E3384-2812-4B4D-87DA-1905972F667B}"/>
  <mergeCells count="8">
    <mergeCell ref="AU2:BA2"/>
    <mergeCell ref="AC1:BA1"/>
    <mergeCell ref="BB1:BF2"/>
    <mergeCell ref="AC2:AF2"/>
    <mergeCell ref="B1:I2"/>
    <mergeCell ref="J1:AB2"/>
    <mergeCell ref="AG2:AM2"/>
    <mergeCell ref="AO2:AT2"/>
  </mergeCells>
  <hyperlinks>
    <hyperlink ref="BG8" r:id="rId1" xr:uid="{C870A460-2474-8440-BBF9-D47C91E352EB}"/>
    <hyperlink ref="BG9" r:id="rId2" xr:uid="{A8B996E4-13D0-8F46-9BDE-BD5A1A9272F0}"/>
    <hyperlink ref="BG10" r:id="rId3" xr:uid="{B72A947E-3D90-4242-A3DD-3B1298CB3195}"/>
    <hyperlink ref="BG11" r:id="rId4" xr:uid="{ED4D9DAA-0835-524A-AE72-7A5BB33EB83C}"/>
    <hyperlink ref="BG13" r:id="rId5" xr:uid="{20B61F5D-E392-1540-9FFD-624E91BD1897}"/>
    <hyperlink ref="BG14" r:id="rId6" xr:uid="{9CC55E1B-766C-6C4A-AD05-BDB116250D92}"/>
    <hyperlink ref="BG15" r:id="rId7" xr:uid="{5ABACE66-8230-E94C-BEBE-2CFAD496EAA7}"/>
    <hyperlink ref="BG16" r:id="rId8" xr:uid="{7B012473-0CD4-0243-9152-38172105DD05}"/>
    <hyperlink ref="BG28" r:id="rId9" xr:uid="{23B78590-0B67-6C4A-8968-E74CDADCBA9E}"/>
    <hyperlink ref="BG29" r:id="rId10" xr:uid="{CDCE5953-DB73-B74C-A805-7BEB2AAB2E5B}"/>
    <hyperlink ref="BG30" r:id="rId11" xr:uid="{99403777-FE74-534E-8884-968B6DB305D9}"/>
    <hyperlink ref="BG31" r:id="rId12" xr:uid="{CA4682F9-9A00-3247-BBB6-BFA4A347701C}"/>
    <hyperlink ref="BG32" r:id="rId13" xr:uid="{915B808B-4DAA-4A45-A55C-4E3D640E91EF}"/>
    <hyperlink ref="BG33" r:id="rId14" xr:uid="{FC31C43B-11C6-2D4D-B415-CB9AFD62A006}"/>
    <hyperlink ref="BG34" r:id="rId15" xr:uid="{CD11A9B0-B965-D741-92B9-0B5BAB404B2C}"/>
    <hyperlink ref="BG35" r:id="rId16" xr:uid="{79917350-6F6E-6744-928C-6BD997FFF7BE}"/>
    <hyperlink ref="BG36" r:id="rId17" xr:uid="{C25047BF-5425-614D-9F14-EEAA2F02616F}"/>
    <hyperlink ref="BG37" r:id="rId18" xr:uid="{5595979C-398F-354B-B1D0-DBBF6F225875}"/>
    <hyperlink ref="BG38" r:id="rId19" xr:uid="{C02FEC93-3673-CD4E-8F6E-77C11248E6D0}"/>
    <hyperlink ref="BG39" r:id="rId20" xr:uid="{31614FA5-BBA7-7648-9DDC-0A3C6BE8A2C1}"/>
    <hyperlink ref="BG40" r:id="rId21" xr:uid="{0ECB8AF0-8729-D349-B605-25FBE86A64BB}"/>
    <hyperlink ref="BG41" r:id="rId22" xr:uid="{9E2CF751-D0F1-7B42-AD0D-6C9D32996041}"/>
    <hyperlink ref="BG42" r:id="rId23" xr:uid="{C7ECD20D-1862-A448-9A3A-ED8C677ECFA5}"/>
    <hyperlink ref="BG43" r:id="rId24" xr:uid="{D59081E8-FFCD-594F-9577-50A24D227BBA}"/>
    <hyperlink ref="BG44" r:id="rId25" xr:uid="{A1327A60-E7CE-FB4F-A53C-728BB64C5BB3}"/>
    <hyperlink ref="BG45" r:id="rId26" xr:uid="{4CCA1086-0A15-AA44-8B00-2247F0CCDD24}"/>
    <hyperlink ref="BG50" r:id="rId27" xr:uid="{30C816AA-5F8B-5E4C-92E0-B78FC96F4C6E}"/>
    <hyperlink ref="BG53" r:id="rId28" xr:uid="{CB7B3FA8-0795-6F43-AD8C-2B213C524901}"/>
    <hyperlink ref="BG54" r:id="rId29" xr:uid="{C639EB4E-B1B3-3E4A-A7CF-774F4F241C29}"/>
    <hyperlink ref="BG55" r:id="rId30" display="https://www.vwbedrijfswagens.nl/nl/over-volkswagen/actueel/nieuws2018/volkswagen-bedrijfswagens-gaat-elektrisch-met-de-abt-e-caddy-en-.html" xr:uid="{0CF1E968-E794-F240-99A1-73F647DAFA03}"/>
    <hyperlink ref="BG46" r:id="rId31" xr:uid="{99C7A99E-811B-9C41-9C2A-D6C0D93EDE16}"/>
    <hyperlink ref="BG47" r:id="rId32" xr:uid="{23614891-C252-1945-ADE0-92DAC93E06F3}"/>
    <hyperlink ref="BG48" r:id="rId33" xr:uid="{3CA23086-44D8-DB4A-A344-9D4CADCADABF}"/>
    <hyperlink ref="BG49" r:id="rId34" xr:uid="{894BD006-44F7-3944-A356-0081E56A11B0}"/>
  </hyperlinks>
  <pageMargins left="0.7" right="0.7" top="0.75" bottom="0.75" header="0.3" footer="0.3"/>
  <legacyDrawing r:id="rId3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372D8-7645-0B42-B51C-B6D8FDD1BD6F}">
  <sheetPr codeName="Sheet8">
    <tabColor theme="4"/>
    <outlinePr summaryBelow="0" summaryRight="0"/>
  </sheetPr>
  <dimension ref="A1:AR15"/>
  <sheetViews>
    <sheetView workbookViewId="0">
      <selection sqref="A1:XFD1048576"/>
    </sheetView>
  </sheetViews>
  <sheetFormatPr baseColWidth="10" defaultColWidth="11.1640625" defaultRowHeight="15" customHeight="1"/>
  <cols>
    <col min="1" max="1" width="27.83203125" style="1045" bestFit="1" customWidth="1"/>
    <col min="2" max="2" width="16.33203125" style="1045" bestFit="1" customWidth="1"/>
    <col min="3" max="3" width="89" style="1045" bestFit="1" customWidth="1"/>
    <col min="4" max="4" width="20.6640625" style="1045" bestFit="1" customWidth="1"/>
    <col min="5" max="8" width="11.1640625" style="1045"/>
    <col min="9" max="9" width="14.6640625" style="1045" customWidth="1"/>
    <col min="10" max="14" width="11.1640625" style="1045"/>
    <col min="15" max="15" width="14.83203125" style="1045" customWidth="1"/>
    <col min="16" max="16" width="13.5" style="1045" customWidth="1"/>
    <col min="17" max="18" width="11.1640625" style="1045"/>
    <col min="19" max="19" width="14.1640625" style="1045" customWidth="1"/>
    <col min="20" max="23" width="11.1640625" style="1045"/>
    <col min="24" max="24" width="13.5" style="1045" customWidth="1"/>
    <col min="25" max="26" width="11.1640625" style="1045"/>
    <col min="27" max="27" width="13.1640625" style="1045" customWidth="1"/>
    <col min="28" max="28" width="11.1640625" style="1045"/>
    <col min="29" max="29" width="13" style="1045" customWidth="1"/>
    <col min="30" max="30" width="12.5" style="1045" customWidth="1"/>
    <col min="31" max="31" width="11.1640625" style="1045"/>
    <col min="32" max="32" width="22.1640625" style="1045" customWidth="1"/>
    <col min="33" max="33" width="14.1640625" style="1045" customWidth="1"/>
    <col min="34" max="34" width="15" style="1045" customWidth="1"/>
    <col min="35" max="35" width="14.6640625" style="1045" customWidth="1"/>
    <col min="36" max="36" width="18.1640625" style="1045" customWidth="1"/>
    <col min="37" max="37" width="17.83203125" style="1045" customWidth="1"/>
    <col min="38" max="38" width="14" style="1045" customWidth="1"/>
    <col min="39" max="39" width="14.1640625" style="1045" customWidth="1"/>
    <col min="40" max="40" width="14.6640625" style="1045" customWidth="1"/>
    <col min="41" max="42" width="11.1640625" style="1045"/>
    <col min="43" max="43" width="13.33203125" style="1045" customWidth="1"/>
    <col min="44" max="16384" width="11.1640625" style="1045"/>
  </cols>
  <sheetData>
    <row r="1" spans="1:44" ht="15" customHeight="1" thickBot="1">
      <c r="A1" s="1609" t="s">
        <v>1054</v>
      </c>
      <c r="B1" s="1610"/>
      <c r="C1" s="1610"/>
      <c r="D1" s="1610"/>
      <c r="E1" s="1611"/>
      <c r="F1" s="1609" t="s">
        <v>1055</v>
      </c>
      <c r="G1" s="1610"/>
      <c r="H1" s="1610"/>
      <c r="I1" s="1610"/>
      <c r="J1" s="1610"/>
      <c r="K1" s="1610"/>
      <c r="L1" s="1610"/>
      <c r="M1" s="1610"/>
      <c r="N1" s="1610"/>
      <c r="O1" s="1610"/>
      <c r="P1" s="1610"/>
      <c r="Q1" s="1611"/>
      <c r="R1" s="1615" t="s">
        <v>1056</v>
      </c>
      <c r="S1" s="1616"/>
      <c r="T1" s="1616"/>
      <c r="U1" s="1616"/>
      <c r="V1" s="1616"/>
      <c r="W1" s="1616"/>
      <c r="X1" s="1616"/>
      <c r="Y1" s="1616"/>
      <c r="Z1" s="1616"/>
      <c r="AA1" s="1616"/>
      <c r="AB1" s="1616"/>
      <c r="AC1" s="1616"/>
      <c r="AD1" s="1616"/>
      <c r="AE1" s="1616"/>
      <c r="AF1" s="1616"/>
      <c r="AG1" s="1616"/>
      <c r="AH1" s="1616"/>
      <c r="AI1" s="1616"/>
      <c r="AJ1" s="1616"/>
      <c r="AK1" s="1616"/>
      <c r="AL1" s="1616"/>
      <c r="AM1" s="1617"/>
      <c r="AN1" s="1618" t="s">
        <v>1057</v>
      </c>
      <c r="AO1" s="1619"/>
      <c r="AP1" s="1619"/>
      <c r="AQ1" s="1620"/>
      <c r="AR1" s="1044"/>
    </row>
    <row r="2" spans="1:44" ht="15" customHeight="1" thickBot="1">
      <c r="A2" s="1612"/>
      <c r="B2" s="1613"/>
      <c r="C2" s="1613"/>
      <c r="D2" s="1613"/>
      <c r="E2" s="1614"/>
      <c r="F2" s="1612"/>
      <c r="G2" s="1613"/>
      <c r="H2" s="1613"/>
      <c r="I2" s="1613"/>
      <c r="J2" s="1613"/>
      <c r="K2" s="1613"/>
      <c r="L2" s="1613"/>
      <c r="M2" s="1613"/>
      <c r="N2" s="1613"/>
      <c r="O2" s="1613"/>
      <c r="P2" s="1613"/>
      <c r="Q2" s="1614"/>
      <c r="R2" s="1615" t="s">
        <v>1058</v>
      </c>
      <c r="S2" s="1616"/>
      <c r="T2" s="1616"/>
      <c r="U2" s="1617"/>
      <c r="V2" s="1615" t="s">
        <v>1471</v>
      </c>
      <c r="W2" s="1616"/>
      <c r="X2" s="1617"/>
      <c r="Y2" s="1615" t="s">
        <v>1059</v>
      </c>
      <c r="Z2" s="1616"/>
      <c r="AA2" s="1617"/>
      <c r="AB2" s="1615" t="s">
        <v>1632</v>
      </c>
      <c r="AC2" s="1616"/>
      <c r="AD2" s="1616"/>
      <c r="AE2" s="1616"/>
      <c r="AF2" s="1617"/>
      <c r="AG2" s="1615" t="s">
        <v>1061</v>
      </c>
      <c r="AH2" s="1616"/>
      <c r="AI2" s="1616"/>
      <c r="AJ2" s="1616"/>
      <c r="AK2" s="1616"/>
      <c r="AL2" s="1616"/>
      <c r="AM2" s="1617"/>
      <c r="AN2" s="1621"/>
      <c r="AO2" s="1622"/>
      <c r="AP2" s="1622"/>
      <c r="AQ2" s="1623"/>
      <c r="AR2" s="1044"/>
    </row>
    <row r="3" spans="1:44" ht="57" customHeight="1" thickBot="1">
      <c r="A3" s="1046" t="s">
        <v>921</v>
      </c>
      <c r="B3" s="1047" t="s">
        <v>922</v>
      </c>
      <c r="C3" s="1047" t="s">
        <v>565</v>
      </c>
      <c r="D3" s="1048" t="s">
        <v>112</v>
      </c>
      <c r="E3" s="1048" t="s">
        <v>923</v>
      </c>
      <c r="F3" s="1047" t="s">
        <v>924</v>
      </c>
      <c r="G3" s="1047" t="s">
        <v>1221</v>
      </c>
      <c r="H3" s="1047" t="s">
        <v>925</v>
      </c>
      <c r="I3" s="1047" t="s">
        <v>926</v>
      </c>
      <c r="J3" s="1047" t="s">
        <v>927</v>
      </c>
      <c r="K3" s="1047" t="s">
        <v>928</v>
      </c>
      <c r="L3" s="1047" t="s">
        <v>929</v>
      </c>
      <c r="M3" s="1047" t="s">
        <v>930</v>
      </c>
      <c r="N3" s="1047" t="s">
        <v>931</v>
      </c>
      <c r="O3" s="1049" t="s">
        <v>932</v>
      </c>
      <c r="P3" s="1049" t="s">
        <v>933</v>
      </c>
      <c r="Q3" s="1049" t="s">
        <v>934</v>
      </c>
      <c r="R3" s="1049" t="s">
        <v>935</v>
      </c>
      <c r="S3" s="1049" t="s">
        <v>936</v>
      </c>
      <c r="T3" s="1049" t="s">
        <v>1062</v>
      </c>
      <c r="U3" s="1049" t="s">
        <v>1063</v>
      </c>
      <c r="V3" s="1050" t="s">
        <v>1461</v>
      </c>
      <c r="W3" s="1050" t="s">
        <v>1460</v>
      </c>
      <c r="X3" s="1050" t="s">
        <v>1459</v>
      </c>
      <c r="Y3" s="1047" t="s">
        <v>937</v>
      </c>
      <c r="Z3" s="1047" t="s">
        <v>938</v>
      </c>
      <c r="AA3" s="1047" t="s">
        <v>1479</v>
      </c>
      <c r="AB3" s="1051" t="s">
        <v>1064</v>
      </c>
      <c r="AC3" s="1051" t="s">
        <v>1478</v>
      </c>
      <c r="AD3" s="1051" t="s">
        <v>1477</v>
      </c>
      <c r="AE3" s="1051" t="s">
        <v>1633</v>
      </c>
      <c r="AF3" s="1049" t="s">
        <v>1634</v>
      </c>
      <c r="AG3" s="1049" t="s">
        <v>941</v>
      </c>
      <c r="AH3" s="1052" t="s">
        <v>942</v>
      </c>
      <c r="AI3" s="1052" t="s">
        <v>943</v>
      </c>
      <c r="AJ3" s="1052" t="s">
        <v>944</v>
      </c>
      <c r="AK3" s="1049" t="s">
        <v>945</v>
      </c>
      <c r="AL3" s="1051" t="s">
        <v>1476</v>
      </c>
      <c r="AM3" s="1051" t="s">
        <v>947</v>
      </c>
      <c r="AN3" s="1053" t="s">
        <v>1066</v>
      </c>
      <c r="AO3" s="1051" t="s">
        <v>121</v>
      </c>
      <c r="AP3" s="1051" t="s">
        <v>464</v>
      </c>
      <c r="AQ3" s="1054" t="s">
        <v>948</v>
      </c>
      <c r="AR3" s="1044"/>
    </row>
    <row r="4" spans="1:44" ht="15" customHeight="1" thickTop="1">
      <c r="A4" s="1045" t="s">
        <v>1635</v>
      </c>
      <c r="B4" s="1055" t="s">
        <v>1636</v>
      </c>
      <c r="D4" s="1045" t="s">
        <v>1635</v>
      </c>
      <c r="U4" s="1056"/>
      <c r="V4" s="1057"/>
      <c r="X4" s="1056"/>
      <c r="Y4" s="1058"/>
      <c r="Z4" s="1056"/>
      <c r="AA4" s="1045">
        <v>0</v>
      </c>
      <c r="AC4" s="1057">
        <v>0</v>
      </c>
      <c r="AD4" s="1057"/>
      <c r="AE4" s="1045">
        <v>1.5</v>
      </c>
      <c r="AF4" s="1045">
        <v>10</v>
      </c>
      <c r="AG4" s="1059"/>
      <c r="AH4" s="1060"/>
      <c r="AJ4" s="1061"/>
      <c r="AK4" s="1060"/>
      <c r="AL4" s="1060"/>
      <c r="AM4" s="1058"/>
      <c r="AN4" s="1062">
        <f>SUM(AO4:AQ4)</f>
        <v>113740</v>
      </c>
      <c r="AO4" s="1063">
        <v>0</v>
      </c>
      <c r="AP4" s="1062">
        <f>21%*AQ4</f>
        <v>19740</v>
      </c>
      <c r="AQ4" s="1064">
        <v>94000</v>
      </c>
    </row>
    <row r="5" spans="1:44" ht="15" customHeight="1">
      <c r="A5" s="1045" t="s">
        <v>1637</v>
      </c>
      <c r="B5" s="1055" t="s">
        <v>1638</v>
      </c>
      <c r="D5" s="1045" t="s">
        <v>1637</v>
      </c>
      <c r="U5" s="1056"/>
      <c r="V5" s="1057"/>
      <c r="X5" s="1056"/>
      <c r="AA5" s="1045">
        <v>0</v>
      </c>
      <c r="AC5" s="1057">
        <v>0</v>
      </c>
      <c r="AD5" s="1057"/>
      <c r="AE5" s="1045">
        <v>9</v>
      </c>
      <c r="AF5" s="1045">
        <v>57</v>
      </c>
      <c r="AG5" s="1059"/>
      <c r="AH5" s="1060"/>
      <c r="AJ5" s="1061"/>
      <c r="AK5" s="1060"/>
      <c r="AL5" s="1060"/>
      <c r="AM5" s="1058"/>
      <c r="AN5" s="1062">
        <f t="shared" ref="AN5:AN7" si="0">SUM(AO5:AQ5)</f>
        <v>544500</v>
      </c>
      <c r="AO5" s="1063">
        <v>0</v>
      </c>
      <c r="AP5" s="1062">
        <f t="shared" ref="AP5:AP7" si="1">21%*AQ5</f>
        <v>94500</v>
      </c>
      <c r="AQ5" s="1064">
        <v>450000</v>
      </c>
    </row>
    <row r="6" spans="1:44" ht="15" customHeight="1">
      <c r="A6" s="1045" t="s">
        <v>1637</v>
      </c>
      <c r="B6" s="1055" t="s">
        <v>1639</v>
      </c>
      <c r="D6" s="1045" t="s">
        <v>4287</v>
      </c>
      <c r="U6" s="1056"/>
      <c r="V6" s="1057"/>
      <c r="X6" s="1056"/>
      <c r="AA6" s="1045">
        <v>0</v>
      </c>
      <c r="AC6" s="1057">
        <v>0</v>
      </c>
      <c r="AD6" s="1057"/>
      <c r="AE6" s="1045">
        <v>9</v>
      </c>
      <c r="AF6" s="1045">
        <v>57</v>
      </c>
      <c r="AG6" s="1059"/>
      <c r="AH6" s="1060"/>
      <c r="AJ6" s="1061"/>
      <c r="AK6" s="1060"/>
      <c r="AL6" s="1060"/>
      <c r="AM6" s="1058"/>
      <c r="AN6" s="1062">
        <f t="shared" si="0"/>
        <v>363000</v>
      </c>
      <c r="AO6" s="1063">
        <v>0</v>
      </c>
      <c r="AP6" s="1062">
        <f t="shared" si="1"/>
        <v>63000</v>
      </c>
      <c r="AQ6" s="1064">
        <v>300000</v>
      </c>
    </row>
    <row r="7" spans="1:44" ht="15" customHeight="1">
      <c r="A7" s="1045" t="s">
        <v>1640</v>
      </c>
      <c r="B7" s="1065" t="s">
        <v>1638</v>
      </c>
      <c r="D7" s="1045" t="s">
        <v>1640</v>
      </c>
      <c r="I7" s="1045">
        <v>4000</v>
      </c>
      <c r="AA7" s="1045">
        <v>0</v>
      </c>
      <c r="AC7" s="1045">
        <v>0</v>
      </c>
      <c r="AE7" s="1066">
        <v>1.9</v>
      </c>
      <c r="AF7" s="1066">
        <v>12</v>
      </c>
      <c r="AN7" s="1062">
        <f t="shared" si="0"/>
        <v>456163.95</v>
      </c>
      <c r="AO7" s="1063">
        <v>0</v>
      </c>
      <c r="AP7" s="1062">
        <f t="shared" si="1"/>
        <v>79168.95</v>
      </c>
      <c r="AQ7" s="1064">
        <v>376995</v>
      </c>
    </row>
    <row r="8" spans="1:44" ht="15" customHeight="1" thickBot="1"/>
    <row r="9" spans="1:44" ht="15" customHeight="1" thickBot="1">
      <c r="A9" s="1609" t="s">
        <v>1054</v>
      </c>
      <c r="B9" s="1610"/>
      <c r="C9" s="1610"/>
      <c r="D9" s="1610"/>
      <c r="E9" s="1611"/>
      <c r="F9" s="1609" t="s">
        <v>1055</v>
      </c>
      <c r="G9" s="1610"/>
      <c r="H9" s="1610"/>
      <c r="I9" s="1610"/>
      <c r="J9" s="1610"/>
      <c r="K9" s="1610"/>
      <c r="L9" s="1610"/>
      <c r="M9" s="1610"/>
      <c r="N9" s="1610"/>
      <c r="O9" s="1610"/>
      <c r="P9" s="1610"/>
      <c r="Q9" s="1611"/>
      <c r="R9" s="1615" t="s">
        <v>1056</v>
      </c>
      <c r="S9" s="1616"/>
      <c r="T9" s="1616"/>
      <c r="U9" s="1616"/>
      <c r="V9" s="1616"/>
      <c r="W9" s="1616"/>
      <c r="X9" s="1616"/>
      <c r="Y9" s="1616"/>
      <c r="Z9" s="1616"/>
      <c r="AA9" s="1616"/>
      <c r="AB9" s="1616"/>
      <c r="AC9" s="1616"/>
      <c r="AD9" s="1616"/>
      <c r="AE9" s="1616"/>
      <c r="AF9" s="1616"/>
      <c r="AG9" s="1616"/>
      <c r="AH9" s="1616"/>
      <c r="AI9" s="1616"/>
      <c r="AJ9" s="1616"/>
      <c r="AK9" s="1616"/>
      <c r="AL9" s="1616"/>
      <c r="AM9" s="1617"/>
      <c r="AN9" s="1618" t="s">
        <v>1057</v>
      </c>
      <c r="AO9" s="1619"/>
      <c r="AP9" s="1619"/>
      <c r="AQ9" s="1620"/>
      <c r="AR9" s="1044"/>
    </row>
    <row r="10" spans="1:44" ht="15" customHeight="1" thickBot="1">
      <c r="A10" s="1612"/>
      <c r="B10" s="1613"/>
      <c r="C10" s="1613"/>
      <c r="D10" s="1613"/>
      <c r="E10" s="1614"/>
      <c r="F10" s="1612"/>
      <c r="G10" s="1613"/>
      <c r="H10" s="1613"/>
      <c r="I10" s="1613"/>
      <c r="J10" s="1613"/>
      <c r="K10" s="1613"/>
      <c r="L10" s="1613"/>
      <c r="M10" s="1613"/>
      <c r="N10" s="1613"/>
      <c r="O10" s="1613"/>
      <c r="P10" s="1613"/>
      <c r="Q10" s="1614"/>
      <c r="R10" s="1615" t="s">
        <v>1058</v>
      </c>
      <c r="S10" s="1616"/>
      <c r="T10" s="1616"/>
      <c r="U10" s="1617"/>
      <c r="V10" s="1615" t="s">
        <v>1471</v>
      </c>
      <c r="W10" s="1616"/>
      <c r="X10" s="1617"/>
      <c r="Y10" s="1615" t="s">
        <v>1059</v>
      </c>
      <c r="Z10" s="1616"/>
      <c r="AA10" s="1617"/>
      <c r="AB10" s="1615" t="s">
        <v>1632</v>
      </c>
      <c r="AC10" s="1616"/>
      <c r="AD10" s="1616"/>
      <c r="AE10" s="1616"/>
      <c r="AF10" s="1617"/>
      <c r="AG10" s="1615" t="s">
        <v>1061</v>
      </c>
      <c r="AH10" s="1616"/>
      <c r="AI10" s="1616"/>
      <c r="AJ10" s="1616"/>
      <c r="AK10" s="1616"/>
      <c r="AL10" s="1616"/>
      <c r="AM10" s="1617"/>
      <c r="AN10" s="1621"/>
      <c r="AO10" s="1622"/>
      <c r="AP10" s="1622"/>
      <c r="AQ10" s="1623"/>
      <c r="AR10" s="1044"/>
    </row>
    <row r="11" spans="1:44" ht="57" customHeight="1" thickBot="1">
      <c r="A11" s="1046" t="s">
        <v>1641</v>
      </c>
      <c r="B11" s="1047" t="s">
        <v>922</v>
      </c>
      <c r="C11" s="1047" t="s">
        <v>565</v>
      </c>
      <c r="D11" s="1048" t="s">
        <v>112</v>
      </c>
      <c r="E11" s="1048" t="s">
        <v>923</v>
      </c>
      <c r="F11" s="1047" t="s">
        <v>924</v>
      </c>
      <c r="G11" s="1047" t="s">
        <v>1221</v>
      </c>
      <c r="H11" s="1047" t="s">
        <v>925</v>
      </c>
      <c r="I11" s="1047" t="s">
        <v>926</v>
      </c>
      <c r="J11" s="1047" t="s">
        <v>927</v>
      </c>
      <c r="K11" s="1047" t="s">
        <v>928</v>
      </c>
      <c r="L11" s="1047" t="s">
        <v>929</v>
      </c>
      <c r="M11" s="1047" t="s">
        <v>930</v>
      </c>
      <c r="N11" s="1047" t="s">
        <v>931</v>
      </c>
      <c r="O11" s="1049" t="s">
        <v>932</v>
      </c>
      <c r="P11" s="1049" t="s">
        <v>933</v>
      </c>
      <c r="Q11" s="1049" t="s">
        <v>934</v>
      </c>
      <c r="R11" s="1049" t="s">
        <v>935</v>
      </c>
      <c r="S11" s="1049" t="s">
        <v>936</v>
      </c>
      <c r="T11" s="1049" t="s">
        <v>1062</v>
      </c>
      <c r="U11" s="1049" t="s">
        <v>1063</v>
      </c>
      <c r="V11" s="1050" t="s">
        <v>1461</v>
      </c>
      <c r="W11" s="1050" t="s">
        <v>1460</v>
      </c>
      <c r="X11" s="1050" t="s">
        <v>1459</v>
      </c>
      <c r="Y11" s="1047" t="s">
        <v>937</v>
      </c>
      <c r="Z11" s="1047" t="s">
        <v>938</v>
      </c>
      <c r="AA11" s="1047" t="s">
        <v>1479</v>
      </c>
      <c r="AB11" s="1051" t="s">
        <v>1064</v>
      </c>
      <c r="AC11" s="1051" t="s">
        <v>1478</v>
      </c>
      <c r="AD11" s="1051" t="s">
        <v>1477</v>
      </c>
      <c r="AE11" s="1051" t="s">
        <v>1633</v>
      </c>
      <c r="AF11" s="1049" t="s">
        <v>1634</v>
      </c>
      <c r="AG11" s="1049" t="s">
        <v>941</v>
      </c>
      <c r="AH11" s="1052" t="s">
        <v>942</v>
      </c>
      <c r="AI11" s="1052" t="s">
        <v>943</v>
      </c>
      <c r="AJ11" s="1052" t="s">
        <v>944</v>
      </c>
      <c r="AK11" s="1049" t="s">
        <v>945</v>
      </c>
      <c r="AL11" s="1051" t="s">
        <v>1476</v>
      </c>
      <c r="AM11" s="1051" t="s">
        <v>947</v>
      </c>
      <c r="AN11" s="1053" t="s">
        <v>1066</v>
      </c>
      <c r="AO11" s="1051" t="s">
        <v>121</v>
      </c>
      <c r="AP11" s="1051" t="s">
        <v>464</v>
      </c>
      <c r="AQ11" s="1054" t="s">
        <v>948</v>
      </c>
      <c r="AR11" s="1044"/>
    </row>
    <row r="12" spans="1:44" ht="15" customHeight="1" thickTop="1">
      <c r="A12" s="171" t="s">
        <v>1642</v>
      </c>
      <c r="B12" s="1067"/>
      <c r="D12" s="1045" t="s">
        <v>1635</v>
      </c>
      <c r="E12" s="171" t="e">
        <f t="shared" ref="E12:T14" si="2">AVERAGEIF($D$4:$D$7,$D12,E$4:E$7)</f>
        <v>#DIV/0!</v>
      </c>
      <c r="F12" s="171" t="e">
        <f t="shared" si="2"/>
        <v>#DIV/0!</v>
      </c>
      <c r="G12" s="171" t="e">
        <f t="shared" si="2"/>
        <v>#DIV/0!</v>
      </c>
      <c r="H12" s="171" t="e">
        <f t="shared" si="2"/>
        <v>#DIV/0!</v>
      </c>
      <c r="I12" s="171" t="e">
        <f t="shared" si="2"/>
        <v>#DIV/0!</v>
      </c>
      <c r="J12" s="171" t="e">
        <f t="shared" si="2"/>
        <v>#DIV/0!</v>
      </c>
      <c r="K12" s="171" t="e">
        <f t="shared" si="2"/>
        <v>#DIV/0!</v>
      </c>
      <c r="L12" s="171" t="e">
        <f t="shared" si="2"/>
        <v>#DIV/0!</v>
      </c>
      <c r="M12" s="171" t="e">
        <f t="shared" si="2"/>
        <v>#DIV/0!</v>
      </c>
      <c r="N12" s="171" t="e">
        <f t="shared" si="2"/>
        <v>#DIV/0!</v>
      </c>
      <c r="O12" s="171" t="e">
        <f t="shared" si="2"/>
        <v>#DIV/0!</v>
      </c>
      <c r="P12" s="171" t="e">
        <f t="shared" si="2"/>
        <v>#DIV/0!</v>
      </c>
      <c r="Q12" s="171" t="e">
        <f t="shared" si="2"/>
        <v>#DIV/0!</v>
      </c>
      <c r="R12" s="171" t="e">
        <f t="shared" si="2"/>
        <v>#DIV/0!</v>
      </c>
      <c r="S12" s="171" t="e">
        <f t="shared" si="2"/>
        <v>#DIV/0!</v>
      </c>
      <c r="T12" s="171" t="e">
        <f t="shared" si="2"/>
        <v>#DIV/0!</v>
      </c>
      <c r="U12" s="171" t="e">
        <f t="shared" ref="U12:AJ14" si="3">AVERAGEIF($D$4:$D$7,$D12,U$4:U$7)</f>
        <v>#DIV/0!</v>
      </c>
      <c r="V12" s="171" t="e">
        <f t="shared" si="3"/>
        <v>#DIV/0!</v>
      </c>
      <c r="W12" s="171" t="e">
        <f t="shared" si="3"/>
        <v>#DIV/0!</v>
      </c>
      <c r="X12" s="171" t="e">
        <f t="shared" si="3"/>
        <v>#DIV/0!</v>
      </c>
      <c r="Y12" s="171" t="e">
        <f t="shared" si="3"/>
        <v>#DIV/0!</v>
      </c>
      <c r="Z12" s="171" t="e">
        <f t="shared" si="3"/>
        <v>#DIV/0!</v>
      </c>
      <c r="AA12" s="171">
        <f t="shared" si="3"/>
        <v>0</v>
      </c>
      <c r="AB12" s="171" t="e">
        <f t="shared" si="3"/>
        <v>#DIV/0!</v>
      </c>
      <c r="AC12" s="171">
        <f t="shared" si="3"/>
        <v>0</v>
      </c>
      <c r="AD12" s="171">
        <f>AE12</f>
        <v>1.5</v>
      </c>
      <c r="AE12" s="171">
        <f t="shared" si="3"/>
        <v>1.5</v>
      </c>
      <c r="AF12" s="171">
        <f t="shared" si="3"/>
        <v>10</v>
      </c>
      <c r="AG12" s="171" t="e">
        <f t="shared" si="3"/>
        <v>#DIV/0!</v>
      </c>
      <c r="AH12" s="171" t="e">
        <f t="shared" si="3"/>
        <v>#DIV/0!</v>
      </c>
      <c r="AI12" s="171" t="e">
        <f t="shared" si="3"/>
        <v>#DIV/0!</v>
      </c>
      <c r="AJ12" s="171" t="e">
        <f t="shared" si="3"/>
        <v>#DIV/0!</v>
      </c>
      <c r="AK12" s="171" t="e">
        <f t="shared" ref="AI12:AQ14" si="4">AVERAGEIF($D$4:$D$7,$D12,AK$4:AK$7)</f>
        <v>#DIV/0!</v>
      </c>
      <c r="AL12" s="171" t="e">
        <f t="shared" si="4"/>
        <v>#DIV/0!</v>
      </c>
      <c r="AM12" s="171" t="e">
        <f t="shared" si="4"/>
        <v>#DIV/0!</v>
      </c>
      <c r="AN12" s="1062">
        <f t="shared" si="4"/>
        <v>113740</v>
      </c>
      <c r="AO12" s="1063">
        <f t="shared" si="4"/>
        <v>0</v>
      </c>
      <c r="AP12" s="1062">
        <f t="shared" si="4"/>
        <v>19740</v>
      </c>
      <c r="AQ12" s="1064">
        <f t="shared" si="4"/>
        <v>94000</v>
      </c>
    </row>
    <row r="13" spans="1:44" ht="15" customHeight="1">
      <c r="A13" s="171" t="s">
        <v>1643</v>
      </c>
      <c r="B13" s="1067"/>
      <c r="D13" s="1045" t="s">
        <v>1637</v>
      </c>
      <c r="E13" s="171" t="e">
        <f t="shared" si="2"/>
        <v>#DIV/0!</v>
      </c>
      <c r="F13" s="171" t="e">
        <f t="shared" si="2"/>
        <v>#DIV/0!</v>
      </c>
      <c r="G13" s="171" t="e">
        <f t="shared" si="2"/>
        <v>#DIV/0!</v>
      </c>
      <c r="H13" s="171" t="e">
        <f t="shared" si="2"/>
        <v>#DIV/0!</v>
      </c>
      <c r="I13" s="171" t="e">
        <f t="shared" si="2"/>
        <v>#DIV/0!</v>
      </c>
      <c r="J13" s="171" t="e">
        <f t="shared" si="2"/>
        <v>#DIV/0!</v>
      </c>
      <c r="K13" s="171" t="e">
        <f t="shared" si="2"/>
        <v>#DIV/0!</v>
      </c>
      <c r="L13" s="171" t="e">
        <f t="shared" si="2"/>
        <v>#DIV/0!</v>
      </c>
      <c r="M13" s="171" t="e">
        <f t="shared" si="2"/>
        <v>#DIV/0!</v>
      </c>
      <c r="N13" s="171" t="e">
        <f t="shared" si="2"/>
        <v>#DIV/0!</v>
      </c>
      <c r="O13" s="171" t="e">
        <f t="shared" si="2"/>
        <v>#DIV/0!</v>
      </c>
      <c r="P13" s="171" t="e">
        <f t="shared" si="2"/>
        <v>#DIV/0!</v>
      </c>
      <c r="Q13" s="171" t="e">
        <f t="shared" si="2"/>
        <v>#DIV/0!</v>
      </c>
      <c r="R13" s="171" t="e">
        <f t="shared" si="2"/>
        <v>#DIV/0!</v>
      </c>
      <c r="S13" s="171" t="e">
        <f t="shared" si="2"/>
        <v>#DIV/0!</v>
      </c>
      <c r="T13" s="171" t="e">
        <f t="shared" si="2"/>
        <v>#DIV/0!</v>
      </c>
      <c r="U13" s="171" t="e">
        <f t="shared" si="3"/>
        <v>#DIV/0!</v>
      </c>
      <c r="V13" s="171" t="e">
        <f t="shared" si="3"/>
        <v>#DIV/0!</v>
      </c>
      <c r="W13" s="171" t="e">
        <f t="shared" si="3"/>
        <v>#DIV/0!</v>
      </c>
      <c r="X13" s="171" t="e">
        <f t="shared" si="3"/>
        <v>#DIV/0!</v>
      </c>
      <c r="Y13" s="171" t="e">
        <f t="shared" si="3"/>
        <v>#DIV/0!</v>
      </c>
      <c r="Z13" s="171" t="e">
        <f t="shared" si="3"/>
        <v>#DIV/0!</v>
      </c>
      <c r="AA13" s="171">
        <f t="shared" si="3"/>
        <v>0</v>
      </c>
      <c r="AB13" s="171" t="e">
        <f t="shared" si="3"/>
        <v>#DIV/0!</v>
      </c>
      <c r="AC13" s="171">
        <f t="shared" si="3"/>
        <v>0</v>
      </c>
      <c r="AD13" s="171">
        <f>AE13</f>
        <v>9</v>
      </c>
      <c r="AE13" s="171">
        <f t="shared" si="3"/>
        <v>9</v>
      </c>
      <c r="AF13" s="171">
        <f t="shared" si="3"/>
        <v>57</v>
      </c>
      <c r="AG13" s="171" t="e">
        <f t="shared" si="3"/>
        <v>#DIV/0!</v>
      </c>
      <c r="AH13" s="171" t="e">
        <f t="shared" si="3"/>
        <v>#DIV/0!</v>
      </c>
      <c r="AI13" s="171" t="e">
        <f t="shared" si="4"/>
        <v>#DIV/0!</v>
      </c>
      <c r="AJ13" s="171" t="e">
        <f t="shared" si="4"/>
        <v>#DIV/0!</v>
      </c>
      <c r="AK13" s="171" t="e">
        <f t="shared" si="4"/>
        <v>#DIV/0!</v>
      </c>
      <c r="AL13" s="171" t="e">
        <f t="shared" si="4"/>
        <v>#DIV/0!</v>
      </c>
      <c r="AM13" s="171" t="e">
        <f t="shared" si="4"/>
        <v>#DIV/0!</v>
      </c>
      <c r="AN13" s="1062">
        <f t="shared" si="4"/>
        <v>544500</v>
      </c>
      <c r="AO13" s="1063">
        <f t="shared" si="4"/>
        <v>0</v>
      </c>
      <c r="AP13" s="1062">
        <f t="shared" si="4"/>
        <v>94500</v>
      </c>
      <c r="AQ13" s="1064">
        <f t="shared" si="4"/>
        <v>450000</v>
      </c>
    </row>
    <row r="14" spans="1:44" ht="15" customHeight="1">
      <c r="A14" s="171" t="s">
        <v>1644</v>
      </c>
      <c r="D14" s="1045" t="s">
        <v>1640</v>
      </c>
      <c r="E14" s="171" t="e">
        <f t="shared" si="2"/>
        <v>#DIV/0!</v>
      </c>
      <c r="F14" s="171" t="e">
        <f t="shared" si="2"/>
        <v>#DIV/0!</v>
      </c>
      <c r="G14" s="171" t="e">
        <f t="shared" si="2"/>
        <v>#DIV/0!</v>
      </c>
      <c r="H14" s="171" t="e">
        <f t="shared" si="2"/>
        <v>#DIV/0!</v>
      </c>
      <c r="I14" s="171">
        <f t="shared" si="2"/>
        <v>4000</v>
      </c>
      <c r="J14" s="171" t="e">
        <f t="shared" si="2"/>
        <v>#DIV/0!</v>
      </c>
      <c r="K14" s="171" t="e">
        <f t="shared" si="2"/>
        <v>#DIV/0!</v>
      </c>
      <c r="L14" s="171" t="e">
        <f t="shared" si="2"/>
        <v>#DIV/0!</v>
      </c>
      <c r="M14" s="171" t="e">
        <f t="shared" si="2"/>
        <v>#DIV/0!</v>
      </c>
      <c r="N14" s="171" t="e">
        <f t="shared" si="2"/>
        <v>#DIV/0!</v>
      </c>
      <c r="O14" s="171" t="e">
        <f t="shared" si="2"/>
        <v>#DIV/0!</v>
      </c>
      <c r="P14" s="171" t="e">
        <f t="shared" si="2"/>
        <v>#DIV/0!</v>
      </c>
      <c r="Q14" s="171" t="e">
        <f t="shared" si="2"/>
        <v>#DIV/0!</v>
      </c>
      <c r="R14" s="171" t="e">
        <f t="shared" si="2"/>
        <v>#DIV/0!</v>
      </c>
      <c r="S14" s="171" t="e">
        <f t="shared" si="2"/>
        <v>#DIV/0!</v>
      </c>
      <c r="T14" s="171" t="e">
        <f t="shared" si="2"/>
        <v>#DIV/0!</v>
      </c>
      <c r="U14" s="171" t="e">
        <f t="shared" si="3"/>
        <v>#DIV/0!</v>
      </c>
      <c r="V14" s="171" t="e">
        <f t="shared" si="3"/>
        <v>#DIV/0!</v>
      </c>
      <c r="W14" s="171" t="e">
        <f t="shared" si="3"/>
        <v>#DIV/0!</v>
      </c>
      <c r="X14" s="171" t="e">
        <f t="shared" si="3"/>
        <v>#DIV/0!</v>
      </c>
      <c r="Y14" s="171" t="e">
        <f t="shared" si="3"/>
        <v>#DIV/0!</v>
      </c>
      <c r="Z14" s="171" t="e">
        <f t="shared" si="3"/>
        <v>#DIV/0!</v>
      </c>
      <c r="AA14" s="171">
        <f t="shared" si="3"/>
        <v>0</v>
      </c>
      <c r="AB14" s="171" t="e">
        <f t="shared" si="3"/>
        <v>#DIV/0!</v>
      </c>
      <c r="AC14" s="171">
        <f t="shared" si="3"/>
        <v>0</v>
      </c>
      <c r="AD14" s="171">
        <f>AE14</f>
        <v>1.9</v>
      </c>
      <c r="AE14" s="171">
        <f t="shared" si="3"/>
        <v>1.9</v>
      </c>
      <c r="AF14" s="171">
        <f t="shared" si="3"/>
        <v>12</v>
      </c>
      <c r="AG14" s="171" t="e">
        <f t="shared" si="3"/>
        <v>#DIV/0!</v>
      </c>
      <c r="AH14" s="171" t="e">
        <f t="shared" si="3"/>
        <v>#DIV/0!</v>
      </c>
      <c r="AI14" s="171" t="e">
        <f t="shared" si="4"/>
        <v>#DIV/0!</v>
      </c>
      <c r="AJ14" s="171" t="e">
        <f t="shared" si="4"/>
        <v>#DIV/0!</v>
      </c>
      <c r="AK14" s="171" t="e">
        <f t="shared" si="4"/>
        <v>#DIV/0!</v>
      </c>
      <c r="AL14" s="171" t="e">
        <f t="shared" si="4"/>
        <v>#DIV/0!</v>
      </c>
      <c r="AM14" s="171" t="e">
        <f t="shared" si="4"/>
        <v>#DIV/0!</v>
      </c>
      <c r="AN14" s="1062">
        <f t="shared" si="4"/>
        <v>456163.95</v>
      </c>
      <c r="AO14" s="1063">
        <f t="shared" si="4"/>
        <v>0</v>
      </c>
      <c r="AP14" s="1062">
        <f t="shared" si="4"/>
        <v>79168.95</v>
      </c>
      <c r="AQ14" s="1064">
        <f t="shared" si="4"/>
        <v>376995</v>
      </c>
    </row>
    <row r="15" spans="1:44" ht="15" customHeight="1">
      <c r="I15" s="1058"/>
      <c r="J15" s="1056"/>
    </row>
  </sheetData>
  <sheetProtection algorithmName="SHA-512" hashValue="+W4sY6n6cJZnUymBxRhSArT3okFQ7pjG9qPw1+fFJ6QQeeyWd8qp7HN211mqeD+Ob9AxPrerANw4Uh+Nskm0vA==" saltValue="mnyk0DSU1tkWnFZwWD0+fQ==" spinCount="100000" sheet="1" objects="1" scenarios="1"/>
  <mergeCells count="18">
    <mergeCell ref="A9:E10"/>
    <mergeCell ref="F9:Q10"/>
    <mergeCell ref="R9:AM9"/>
    <mergeCell ref="AN9:AQ10"/>
    <mergeCell ref="R10:U10"/>
    <mergeCell ref="V10:X10"/>
    <mergeCell ref="Y10:AA10"/>
    <mergeCell ref="AB10:AF10"/>
    <mergeCell ref="AG10:AM10"/>
    <mergeCell ref="A1:E2"/>
    <mergeCell ref="F1:Q2"/>
    <mergeCell ref="R1:AM1"/>
    <mergeCell ref="AN1:AQ2"/>
    <mergeCell ref="R2:U2"/>
    <mergeCell ref="V2:X2"/>
    <mergeCell ref="Y2:AA2"/>
    <mergeCell ref="AB2:AF2"/>
    <mergeCell ref="AG2:AM2"/>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949AC-81FD-1E45-81D6-FED01A2A63EC}">
  <sheetPr codeName="Sheet17">
    <tabColor theme="4"/>
    <outlinePr summaryBelow="0" summaryRight="0"/>
  </sheetPr>
  <dimension ref="A1:AR14"/>
  <sheetViews>
    <sheetView workbookViewId="0">
      <selection sqref="A1:XFD1048576"/>
    </sheetView>
  </sheetViews>
  <sheetFormatPr baseColWidth="10" defaultColWidth="11.1640625" defaultRowHeight="15" customHeight="1"/>
  <cols>
    <col min="1" max="1" width="17.5" style="1045" customWidth="1"/>
    <col min="2" max="2" width="11.1640625" style="1045" customWidth="1"/>
    <col min="3" max="3" width="89" style="1045" bestFit="1" customWidth="1"/>
    <col min="4" max="4" width="14.33203125" style="1045" customWidth="1"/>
    <col min="5" max="8" width="11.1640625" style="1045"/>
    <col min="9" max="9" width="14.6640625" style="1045" customWidth="1"/>
    <col min="10" max="14" width="11.1640625" style="1045"/>
    <col min="15" max="15" width="14.83203125" style="1045" customWidth="1"/>
    <col min="16" max="16" width="13.5" style="1045" customWidth="1"/>
    <col min="17" max="18" width="11.1640625" style="1045"/>
    <col min="19" max="19" width="14.1640625" style="1045" customWidth="1"/>
    <col min="20" max="23" width="11.1640625" style="1045"/>
    <col min="24" max="24" width="13.5" style="1045" customWidth="1"/>
    <col min="25" max="26" width="11.1640625" style="1045"/>
    <col min="27" max="27" width="13.1640625" style="1045" customWidth="1"/>
    <col min="28" max="28" width="11.1640625" style="1045"/>
    <col min="29" max="29" width="13" style="1045" customWidth="1"/>
    <col min="30" max="30" width="12.5" style="1045" customWidth="1"/>
    <col min="31" max="31" width="11.1640625" style="1045"/>
    <col min="32" max="32" width="15.6640625" style="1045" customWidth="1"/>
    <col min="33" max="33" width="14.1640625" style="1045" customWidth="1"/>
    <col min="34" max="34" width="15" style="1045" customWidth="1"/>
    <col min="35" max="35" width="14.6640625" style="1045" customWidth="1"/>
    <col min="36" max="36" width="18.1640625" style="1045" customWidth="1"/>
    <col min="37" max="37" width="17.83203125" style="1045" customWidth="1"/>
    <col min="38" max="38" width="14" style="1045" customWidth="1"/>
    <col min="39" max="39" width="14.1640625" style="1045" customWidth="1"/>
    <col min="40" max="40" width="14.6640625" style="1045" customWidth="1"/>
    <col min="41" max="42" width="11.1640625" style="1045"/>
    <col min="43" max="43" width="13.33203125" style="1045" customWidth="1"/>
    <col min="44" max="16384" width="11.1640625" style="1045"/>
  </cols>
  <sheetData>
    <row r="1" spans="1:44" ht="15" customHeight="1" thickBot="1">
      <c r="A1" s="1609" t="s">
        <v>1054</v>
      </c>
      <c r="B1" s="1610"/>
      <c r="C1" s="1610"/>
      <c r="D1" s="1610"/>
      <c r="E1" s="1611"/>
      <c r="F1" s="1609" t="s">
        <v>1055</v>
      </c>
      <c r="G1" s="1610"/>
      <c r="H1" s="1610"/>
      <c r="I1" s="1610"/>
      <c r="J1" s="1610"/>
      <c r="K1" s="1610"/>
      <c r="L1" s="1610"/>
      <c r="M1" s="1610"/>
      <c r="N1" s="1610"/>
      <c r="O1" s="1610"/>
      <c r="P1" s="1610"/>
      <c r="Q1" s="1611"/>
      <c r="R1" s="1615" t="s">
        <v>1056</v>
      </c>
      <c r="S1" s="1616"/>
      <c r="T1" s="1616"/>
      <c r="U1" s="1616"/>
      <c r="V1" s="1616"/>
      <c r="W1" s="1616"/>
      <c r="X1" s="1616"/>
      <c r="Y1" s="1616"/>
      <c r="Z1" s="1616"/>
      <c r="AA1" s="1616"/>
      <c r="AB1" s="1616"/>
      <c r="AC1" s="1616"/>
      <c r="AD1" s="1616"/>
      <c r="AE1" s="1616"/>
      <c r="AF1" s="1616"/>
      <c r="AG1" s="1616"/>
      <c r="AH1" s="1616"/>
      <c r="AI1" s="1616"/>
      <c r="AJ1" s="1616"/>
      <c r="AK1" s="1616"/>
      <c r="AL1" s="1616"/>
      <c r="AM1" s="1617"/>
      <c r="AN1" s="1618" t="s">
        <v>1057</v>
      </c>
      <c r="AO1" s="1619"/>
      <c r="AP1" s="1619"/>
      <c r="AQ1" s="1620"/>
      <c r="AR1" s="1044"/>
    </row>
    <row r="2" spans="1:44" ht="15" customHeight="1" thickBot="1">
      <c r="A2" s="1612"/>
      <c r="B2" s="1613"/>
      <c r="C2" s="1613"/>
      <c r="D2" s="1613"/>
      <c r="E2" s="1614"/>
      <c r="F2" s="1612"/>
      <c r="G2" s="1613"/>
      <c r="H2" s="1613"/>
      <c r="I2" s="1613"/>
      <c r="J2" s="1613"/>
      <c r="K2" s="1613"/>
      <c r="L2" s="1613"/>
      <c r="M2" s="1613"/>
      <c r="N2" s="1613"/>
      <c r="O2" s="1613"/>
      <c r="P2" s="1613"/>
      <c r="Q2" s="1614"/>
      <c r="R2" s="1615" t="s">
        <v>1058</v>
      </c>
      <c r="S2" s="1616"/>
      <c r="T2" s="1616"/>
      <c r="U2" s="1617"/>
      <c r="V2" s="1615" t="s">
        <v>1471</v>
      </c>
      <c r="W2" s="1616"/>
      <c r="X2" s="1617"/>
      <c r="Y2" s="1615" t="s">
        <v>1059</v>
      </c>
      <c r="Z2" s="1616"/>
      <c r="AA2" s="1617"/>
      <c r="AB2" s="1615" t="s">
        <v>1480</v>
      </c>
      <c r="AC2" s="1616"/>
      <c r="AD2" s="1616"/>
      <c r="AE2" s="1616"/>
      <c r="AF2" s="1617"/>
      <c r="AG2" s="1615" t="s">
        <v>1061</v>
      </c>
      <c r="AH2" s="1616"/>
      <c r="AI2" s="1616"/>
      <c r="AJ2" s="1616"/>
      <c r="AK2" s="1616"/>
      <c r="AL2" s="1616"/>
      <c r="AM2" s="1617"/>
      <c r="AN2" s="1621"/>
      <c r="AO2" s="1622"/>
      <c r="AP2" s="1622"/>
      <c r="AQ2" s="1623"/>
      <c r="AR2" s="1044"/>
    </row>
    <row r="3" spans="1:44" ht="57" customHeight="1" thickBot="1">
      <c r="A3" s="1046" t="s">
        <v>921</v>
      </c>
      <c r="B3" s="1047" t="s">
        <v>922</v>
      </c>
      <c r="C3" s="1047" t="s">
        <v>565</v>
      </c>
      <c r="D3" s="1048" t="s">
        <v>112</v>
      </c>
      <c r="E3" s="1048" t="s">
        <v>923</v>
      </c>
      <c r="F3" s="1047" t="s">
        <v>924</v>
      </c>
      <c r="G3" s="1047" t="s">
        <v>1221</v>
      </c>
      <c r="H3" s="1047" t="s">
        <v>925</v>
      </c>
      <c r="I3" s="1047" t="s">
        <v>926</v>
      </c>
      <c r="J3" s="1047" t="s">
        <v>927</v>
      </c>
      <c r="K3" s="1047" t="s">
        <v>928</v>
      </c>
      <c r="L3" s="1047" t="s">
        <v>929</v>
      </c>
      <c r="M3" s="1047" t="s">
        <v>930</v>
      </c>
      <c r="N3" s="1047" t="s">
        <v>931</v>
      </c>
      <c r="O3" s="1049" t="s">
        <v>932</v>
      </c>
      <c r="P3" s="1049" t="s">
        <v>933</v>
      </c>
      <c r="Q3" s="1049" t="s">
        <v>934</v>
      </c>
      <c r="R3" s="1049" t="s">
        <v>935</v>
      </c>
      <c r="S3" s="1049" t="s">
        <v>936</v>
      </c>
      <c r="T3" s="1049" t="s">
        <v>1062</v>
      </c>
      <c r="U3" s="1049" t="s">
        <v>1063</v>
      </c>
      <c r="V3" s="1050" t="s">
        <v>1461</v>
      </c>
      <c r="W3" s="1050" t="s">
        <v>1460</v>
      </c>
      <c r="X3" s="1050" t="s">
        <v>1459</v>
      </c>
      <c r="Y3" s="1047" t="s">
        <v>937</v>
      </c>
      <c r="Z3" s="1047" t="s">
        <v>938</v>
      </c>
      <c r="AA3" s="1047" t="s">
        <v>1479</v>
      </c>
      <c r="AB3" s="1051" t="s">
        <v>1064</v>
      </c>
      <c r="AC3" s="1051" t="s">
        <v>1478</v>
      </c>
      <c r="AD3" s="1051" t="s">
        <v>1477</v>
      </c>
      <c r="AE3" s="1051" t="s">
        <v>519</v>
      </c>
      <c r="AF3" s="1049" t="s">
        <v>940</v>
      </c>
      <c r="AG3" s="1049" t="s">
        <v>941</v>
      </c>
      <c r="AH3" s="1052" t="s">
        <v>942</v>
      </c>
      <c r="AI3" s="1052" t="s">
        <v>943</v>
      </c>
      <c r="AJ3" s="1052" t="s">
        <v>944</v>
      </c>
      <c r="AK3" s="1049" t="s">
        <v>945</v>
      </c>
      <c r="AL3" s="1051" t="s">
        <v>1476</v>
      </c>
      <c r="AM3" s="1051" t="s">
        <v>947</v>
      </c>
      <c r="AN3" s="1053" t="s">
        <v>1066</v>
      </c>
      <c r="AO3" s="1051" t="s">
        <v>121</v>
      </c>
      <c r="AP3" s="1051" t="s">
        <v>464</v>
      </c>
      <c r="AQ3" s="1054" t="s">
        <v>948</v>
      </c>
      <c r="AR3" s="1044"/>
    </row>
    <row r="4" spans="1:44" ht="15" customHeight="1" thickTop="1">
      <c r="A4" s="1045" t="s">
        <v>1473</v>
      </c>
      <c r="B4" s="1067">
        <v>44166</v>
      </c>
      <c r="C4" s="1045" t="s">
        <v>1475</v>
      </c>
      <c r="D4" s="1060" t="s">
        <v>714</v>
      </c>
      <c r="E4" s="1045" t="s">
        <v>1474</v>
      </c>
      <c r="F4" s="1045">
        <v>2325</v>
      </c>
      <c r="G4" s="1045">
        <v>3500</v>
      </c>
      <c r="J4" s="1045">
        <v>57</v>
      </c>
      <c r="K4" s="1045">
        <v>76</v>
      </c>
      <c r="L4" s="1045">
        <v>225</v>
      </c>
      <c r="M4" s="1045">
        <v>100</v>
      </c>
      <c r="N4" s="1045" t="s">
        <v>957</v>
      </c>
      <c r="O4" s="1045" t="s">
        <v>961</v>
      </c>
      <c r="P4" s="1045" t="s">
        <v>118</v>
      </c>
      <c r="Q4" s="1045" t="s">
        <v>118</v>
      </c>
      <c r="R4" s="1045">
        <v>33</v>
      </c>
      <c r="S4" s="1045">
        <v>31</v>
      </c>
      <c r="T4" s="1045">
        <v>33</v>
      </c>
      <c r="U4" s="1056" t="s">
        <v>1090</v>
      </c>
      <c r="V4" s="1057">
        <v>3</v>
      </c>
      <c r="W4" s="1045">
        <v>38</v>
      </c>
      <c r="X4" s="1056">
        <v>700</v>
      </c>
      <c r="Y4" s="1058"/>
      <c r="Z4" s="1056">
        <v>350</v>
      </c>
      <c r="AA4" s="1045">
        <v>290</v>
      </c>
      <c r="AC4" s="1057">
        <f>33/100*100</f>
        <v>33</v>
      </c>
      <c r="AD4" s="1057">
        <v>1.4</v>
      </c>
      <c r="AF4" s="1045">
        <v>7.4</v>
      </c>
      <c r="AG4" s="1059" t="s">
        <v>961</v>
      </c>
      <c r="AH4" s="1060" t="s">
        <v>1089</v>
      </c>
      <c r="AI4" s="1045" t="s">
        <v>962</v>
      </c>
      <c r="AJ4" s="1061" t="s">
        <v>1088</v>
      </c>
      <c r="AK4" s="1060" t="s">
        <v>118</v>
      </c>
      <c r="AL4" s="1060" t="s">
        <v>118</v>
      </c>
      <c r="AM4" s="1058">
        <v>214</v>
      </c>
      <c r="AN4" s="1062">
        <f>SUM(AO4:AQ4)</f>
        <v>150040</v>
      </c>
      <c r="AO4" s="1063">
        <v>0</v>
      </c>
      <c r="AP4" s="1062">
        <f>21%*AQ4</f>
        <v>26040</v>
      </c>
      <c r="AQ4" s="1064">
        <f>100000+_Ombouwkosten_rolstoel_groot_ZE</f>
        <v>124000</v>
      </c>
    </row>
    <row r="5" spans="1:44" ht="15" customHeight="1">
      <c r="A5" s="1045" t="s">
        <v>1473</v>
      </c>
      <c r="B5" s="1067">
        <v>44166</v>
      </c>
      <c r="C5" s="1045" t="s">
        <v>1472</v>
      </c>
      <c r="D5" s="1060" t="s">
        <v>895</v>
      </c>
      <c r="E5" s="1045" t="s">
        <v>1225</v>
      </c>
      <c r="F5" s="1045">
        <v>2325</v>
      </c>
      <c r="G5" s="1045">
        <v>3500</v>
      </c>
      <c r="J5" s="1045">
        <v>57</v>
      </c>
      <c r="K5" s="1045">
        <v>76</v>
      </c>
      <c r="L5" s="1045">
        <v>225</v>
      </c>
      <c r="M5" s="1045">
        <v>100</v>
      </c>
      <c r="N5" s="1045" t="s">
        <v>957</v>
      </c>
      <c r="O5" s="1045" t="s">
        <v>961</v>
      </c>
      <c r="P5" s="1045" t="s">
        <v>118</v>
      </c>
      <c r="Q5" s="1045" t="s">
        <v>118</v>
      </c>
      <c r="R5" s="1045">
        <v>33</v>
      </c>
      <c r="S5" s="1045">
        <v>31</v>
      </c>
      <c r="T5" s="1045">
        <v>33</v>
      </c>
      <c r="U5" s="1056" t="s">
        <v>1090</v>
      </c>
      <c r="V5" s="1057">
        <v>3</v>
      </c>
      <c r="W5" s="1045">
        <v>38</v>
      </c>
      <c r="X5" s="1056">
        <v>700</v>
      </c>
      <c r="Z5" s="1045">
        <v>350</v>
      </c>
      <c r="AA5" s="1045">
        <v>290</v>
      </c>
      <c r="AC5" s="1057">
        <v>35</v>
      </c>
      <c r="AD5" s="1057">
        <f>V5/(350-120)*100</f>
        <v>1.3043478260869565</v>
      </c>
      <c r="AF5" s="1045">
        <v>7.4</v>
      </c>
      <c r="AG5" s="1059" t="s">
        <v>961</v>
      </c>
      <c r="AH5" s="1060" t="s">
        <v>1089</v>
      </c>
      <c r="AI5" s="1045" t="s">
        <v>962</v>
      </c>
      <c r="AJ5" s="1061" t="s">
        <v>1088</v>
      </c>
      <c r="AK5" s="1060" t="s">
        <v>118</v>
      </c>
      <c r="AL5" s="1060" t="s">
        <v>118</v>
      </c>
      <c r="AM5" s="1058">
        <v>214</v>
      </c>
      <c r="AN5" s="1062">
        <f>SUM(AO5:AQ5)</f>
        <v>133100</v>
      </c>
      <c r="AO5" s="1063">
        <v>0</v>
      </c>
      <c r="AP5" s="1062">
        <f>21%*AQ5</f>
        <v>23100</v>
      </c>
      <c r="AQ5" s="1068">
        <f>100000+_Ombouwkosten_bestel_personen</f>
        <v>110000</v>
      </c>
    </row>
    <row r="9" spans="1:44" ht="15" customHeight="1">
      <c r="W9" s="1069"/>
    </row>
    <row r="13" spans="1:44" ht="15" customHeight="1">
      <c r="I13" s="1058"/>
      <c r="J13" s="1056"/>
    </row>
    <row r="14" spans="1:44" ht="15" customHeight="1">
      <c r="I14" s="1058"/>
      <c r="J14" s="1056"/>
    </row>
  </sheetData>
  <sheetProtection algorithmName="SHA-512" hashValue="OiarUFayRygci8IZSS9pUZIiUlZmx4Wf585qewITnez9zBmUxxbFBZ7XwtkN28NWqiKR9p1shN/amub6c1pJsw==" saltValue="U5ECQ598yn48N4QV2G5RTQ==" spinCount="100000" sheet="1" objects="1" scenarios="1"/>
  <mergeCells count="9">
    <mergeCell ref="A1:E2"/>
    <mergeCell ref="F1:Q2"/>
    <mergeCell ref="R1:AM1"/>
    <mergeCell ref="AN1:AQ2"/>
    <mergeCell ref="R2:U2"/>
    <mergeCell ref="Y2:AA2"/>
    <mergeCell ref="AB2:AF2"/>
    <mergeCell ref="AG2:AM2"/>
    <mergeCell ref="V2:X2"/>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94037-0A79-1345-854C-0A0FF1929B45}">
  <sheetPr codeName="Sheet16">
    <tabColor theme="4"/>
  </sheetPr>
  <dimension ref="A1:BJ6"/>
  <sheetViews>
    <sheetView workbookViewId="0">
      <selection sqref="A1:XFD1048576"/>
    </sheetView>
  </sheetViews>
  <sheetFormatPr baseColWidth="10" defaultRowHeight="16"/>
  <cols>
    <col min="1" max="1" width="14" style="1045" customWidth="1"/>
    <col min="2" max="2" width="61.5" style="1045" bestFit="1" customWidth="1"/>
    <col min="3" max="3" width="13.83203125" style="1045" customWidth="1"/>
    <col min="4" max="4" width="16.1640625" style="1045" customWidth="1"/>
    <col min="5" max="5" width="16.83203125" style="1045" customWidth="1"/>
    <col min="6" max="6" width="16.33203125" style="1045" customWidth="1"/>
    <col min="7" max="7" width="27.83203125" style="1045" customWidth="1"/>
    <col min="8" max="19" width="10.83203125" style="1045"/>
    <col min="20" max="20" width="14" style="1045" customWidth="1"/>
    <col min="21" max="21" width="10.83203125" style="1045"/>
    <col min="22" max="22" width="13.6640625" style="1045" customWidth="1"/>
    <col min="23" max="26" width="10.83203125" style="1045"/>
    <col min="27" max="27" width="19.1640625" style="1045" customWidth="1"/>
    <col min="28" max="28" width="14.6640625" style="1045" customWidth="1"/>
    <col min="29" max="32" width="15.6640625" style="1045" customWidth="1"/>
    <col min="33" max="33" width="15.83203125" style="1045" customWidth="1"/>
    <col min="34" max="34" width="14" style="1045" customWidth="1"/>
    <col min="35" max="36" width="10.83203125" style="1045"/>
    <col min="37" max="37" width="13" style="1045" customWidth="1"/>
    <col min="38" max="38" width="14" style="1045" customWidth="1"/>
    <col min="39" max="41" width="10.83203125" style="1045"/>
    <col min="42" max="42" width="13.1640625" style="1045" customWidth="1"/>
    <col min="43" max="43" width="12.5" style="1045" customWidth="1"/>
    <col min="44" max="44" width="13.33203125" style="1045" customWidth="1"/>
    <col min="45" max="45" width="14.33203125" style="1045" customWidth="1"/>
    <col min="46" max="47" width="10.83203125" style="1045"/>
    <col min="48" max="48" width="14.6640625" style="1045" customWidth="1"/>
    <col min="49" max="49" width="15.33203125" style="1045" customWidth="1"/>
    <col min="50" max="51" width="10.83203125" style="1045"/>
    <col min="52" max="52" width="16.5" style="1045" bestFit="1" customWidth="1"/>
    <col min="53" max="53" width="17.5" style="1045" customWidth="1"/>
    <col min="54" max="54" width="16.6640625" style="1045" customWidth="1"/>
    <col min="55" max="55" width="15.33203125" style="1045" customWidth="1"/>
    <col min="56" max="57" width="10.83203125" style="1045"/>
    <col min="58" max="58" width="14.83203125" style="1045" customWidth="1"/>
    <col min="59" max="59" width="10.83203125" style="1045"/>
    <col min="60" max="60" width="86.5" style="1045" customWidth="1"/>
    <col min="61" max="16384" width="10.83203125" style="1045"/>
  </cols>
  <sheetData>
    <row r="1" spans="1:62" ht="15.75" customHeight="1" thickBot="1">
      <c r="A1" s="1624" t="s">
        <v>1054</v>
      </c>
      <c r="B1" s="1625"/>
      <c r="C1" s="1625"/>
      <c r="D1" s="1625"/>
      <c r="E1" s="1625"/>
      <c r="F1" s="1625"/>
      <c r="G1" s="1626"/>
      <c r="H1" s="1630" t="s">
        <v>1464</v>
      </c>
      <c r="I1" s="1631"/>
      <c r="J1" s="1631"/>
      <c r="K1" s="1631"/>
      <c r="L1" s="1631"/>
      <c r="M1" s="1631"/>
      <c r="N1" s="1631"/>
      <c r="O1" s="1631"/>
      <c r="P1" s="1631"/>
      <c r="Q1" s="1631"/>
      <c r="R1" s="1631"/>
      <c r="S1" s="1631"/>
      <c r="T1" s="1631"/>
      <c r="U1" s="1631"/>
      <c r="V1" s="1631"/>
      <c r="W1" s="1631"/>
      <c r="X1" s="1631"/>
      <c r="Y1" s="1631"/>
      <c r="Z1" s="1632"/>
      <c r="AA1" s="1612" t="s">
        <v>1056</v>
      </c>
      <c r="AB1" s="1628"/>
      <c r="AC1" s="1628"/>
      <c r="AD1" s="1628"/>
      <c r="AE1" s="1628"/>
      <c r="AF1" s="1628"/>
      <c r="AG1" s="1628"/>
      <c r="AH1" s="1628"/>
      <c r="AI1" s="1628"/>
      <c r="AJ1" s="1628"/>
      <c r="AK1" s="1628"/>
      <c r="AL1" s="1628"/>
      <c r="AM1" s="1628"/>
      <c r="AN1" s="1628"/>
      <c r="AO1" s="1628"/>
      <c r="AP1" s="1628"/>
      <c r="AQ1" s="1628"/>
      <c r="AR1" s="1628"/>
      <c r="AS1" s="1628"/>
      <c r="AT1" s="1628"/>
      <c r="AU1" s="1628"/>
      <c r="AV1" s="1628"/>
      <c r="AW1" s="1628"/>
      <c r="AX1" s="1628"/>
      <c r="AY1" s="1628"/>
      <c r="AZ1" s="1628"/>
      <c r="BA1" s="1628"/>
      <c r="BB1" s="1628"/>
      <c r="BC1" s="1633" t="s">
        <v>1057</v>
      </c>
      <c r="BD1" s="1625"/>
      <c r="BE1" s="1625"/>
      <c r="BF1" s="1625"/>
      <c r="BG1" s="1625"/>
      <c r="BH1" s="1070"/>
    </row>
    <row r="2" spans="1:62" ht="15.75" customHeight="1" thickBot="1">
      <c r="A2" s="1627"/>
      <c r="B2" s="1628"/>
      <c r="C2" s="1628"/>
      <c r="D2" s="1628"/>
      <c r="E2" s="1628"/>
      <c r="F2" s="1628"/>
      <c r="G2" s="1629"/>
      <c r="H2" s="1627"/>
      <c r="I2" s="1628"/>
      <c r="J2" s="1628"/>
      <c r="K2" s="1628"/>
      <c r="L2" s="1628"/>
      <c r="M2" s="1628"/>
      <c r="N2" s="1628"/>
      <c r="O2" s="1628"/>
      <c r="P2" s="1628"/>
      <c r="Q2" s="1628"/>
      <c r="R2" s="1628"/>
      <c r="S2" s="1628"/>
      <c r="T2" s="1628"/>
      <c r="U2" s="1628"/>
      <c r="V2" s="1628"/>
      <c r="W2" s="1628"/>
      <c r="X2" s="1628"/>
      <c r="Y2" s="1628"/>
      <c r="Z2" s="1629"/>
      <c r="AA2" s="1615" t="s">
        <v>1463</v>
      </c>
      <c r="AB2" s="1634"/>
      <c r="AC2" s="1634"/>
      <c r="AD2" s="1634"/>
      <c r="AE2" s="1634"/>
      <c r="AF2" s="1634"/>
      <c r="AG2" s="1634"/>
      <c r="AH2" s="1635"/>
      <c r="AI2" s="1615" t="s">
        <v>1201</v>
      </c>
      <c r="AJ2" s="1634"/>
      <c r="AK2" s="1634"/>
      <c r="AL2" s="1634"/>
      <c r="AM2" s="1634"/>
      <c r="AN2" s="1635"/>
      <c r="AO2" s="1615" t="s">
        <v>1200</v>
      </c>
      <c r="AP2" s="1634"/>
      <c r="AQ2" s="1634"/>
      <c r="AR2" s="1634"/>
      <c r="AS2" s="1634"/>
      <c r="AT2" s="1634"/>
      <c r="AU2" s="1635"/>
      <c r="AV2" s="1615" t="s">
        <v>1199</v>
      </c>
      <c r="AW2" s="1634"/>
      <c r="AX2" s="1634"/>
      <c r="AY2" s="1634"/>
      <c r="AZ2" s="1634"/>
      <c r="BA2" s="1634"/>
      <c r="BB2" s="1634"/>
      <c r="BC2" s="1627"/>
      <c r="BD2" s="1628"/>
      <c r="BE2" s="1628"/>
      <c r="BF2" s="1628"/>
      <c r="BG2" s="1628"/>
      <c r="BH2" s="1070"/>
    </row>
    <row r="3" spans="1:62" ht="63" customHeight="1" thickBot="1">
      <c r="A3" s="1050" t="s">
        <v>921</v>
      </c>
      <c r="B3" s="1050" t="s">
        <v>565</v>
      </c>
      <c r="C3" s="1050" t="s">
        <v>1198</v>
      </c>
      <c r="D3" s="1050" t="s">
        <v>1197</v>
      </c>
      <c r="E3" s="1050" t="s">
        <v>1196</v>
      </c>
      <c r="F3" s="1050" t="s">
        <v>1195</v>
      </c>
      <c r="G3" s="1050" t="s">
        <v>112</v>
      </c>
      <c r="H3" s="1050" t="s">
        <v>1194</v>
      </c>
      <c r="I3" s="1050" t="s">
        <v>1193</v>
      </c>
      <c r="J3" s="1050" t="s">
        <v>1192</v>
      </c>
      <c r="K3" s="1050" t="s">
        <v>1191</v>
      </c>
      <c r="L3" s="1050" t="s">
        <v>1190</v>
      </c>
      <c r="M3" s="1050" t="s">
        <v>1189</v>
      </c>
      <c r="N3" s="1050" t="s">
        <v>1188</v>
      </c>
      <c r="O3" s="1050" t="s">
        <v>1187</v>
      </c>
      <c r="P3" s="1050" t="s">
        <v>1186</v>
      </c>
      <c r="Q3" s="1050" t="s">
        <v>1185</v>
      </c>
      <c r="R3" s="1050" t="s">
        <v>1184</v>
      </c>
      <c r="S3" s="1050" t="s">
        <v>932</v>
      </c>
      <c r="T3" s="1050" t="s">
        <v>933</v>
      </c>
      <c r="U3" s="1050" t="s">
        <v>934</v>
      </c>
      <c r="V3" s="1050" t="s">
        <v>1183</v>
      </c>
      <c r="W3" s="1050" t="s">
        <v>927</v>
      </c>
      <c r="X3" s="1050" t="s">
        <v>928</v>
      </c>
      <c r="Y3" s="1050" t="s">
        <v>1462</v>
      </c>
      <c r="Z3" s="1050" t="s">
        <v>931</v>
      </c>
      <c r="AA3" s="1050" t="s">
        <v>935</v>
      </c>
      <c r="AB3" s="1050" t="s">
        <v>936</v>
      </c>
      <c r="AC3" s="1050" t="s">
        <v>1461</v>
      </c>
      <c r="AD3" s="1050" t="s">
        <v>1460</v>
      </c>
      <c r="AE3" s="1050" t="s">
        <v>1459</v>
      </c>
      <c r="AF3" s="1050" t="s">
        <v>1458</v>
      </c>
      <c r="AG3" s="1050" t="s">
        <v>1062</v>
      </c>
      <c r="AH3" s="1050" t="s">
        <v>1182</v>
      </c>
      <c r="AI3" s="1050" t="s">
        <v>1064</v>
      </c>
      <c r="AJ3" s="1050" t="s">
        <v>1065</v>
      </c>
      <c r="AK3" s="1050" t="s">
        <v>1181</v>
      </c>
      <c r="AL3" s="1050" t="s">
        <v>1180</v>
      </c>
      <c r="AM3" s="1050" t="s">
        <v>1178</v>
      </c>
      <c r="AN3" s="1050" t="s">
        <v>1177</v>
      </c>
      <c r="AO3" s="1050" t="s">
        <v>1175</v>
      </c>
      <c r="AP3" s="1051" t="s">
        <v>1478</v>
      </c>
      <c r="AQ3" s="1051" t="s">
        <v>1477</v>
      </c>
      <c r="AR3" s="1050" t="s">
        <v>1173</v>
      </c>
      <c r="AS3" s="1050" t="s">
        <v>1172</v>
      </c>
      <c r="AT3" s="1050" t="s">
        <v>1171</v>
      </c>
      <c r="AU3" s="1050" t="s">
        <v>1170</v>
      </c>
      <c r="AV3" s="1071" t="s">
        <v>941</v>
      </c>
      <c r="AW3" s="1072" t="s">
        <v>942</v>
      </c>
      <c r="AX3" s="1072" t="s">
        <v>943</v>
      </c>
      <c r="AY3" s="1072" t="s">
        <v>944</v>
      </c>
      <c r="AZ3" s="1071" t="s">
        <v>945</v>
      </c>
      <c r="BA3" s="1071" t="s">
        <v>1457</v>
      </c>
      <c r="BB3" s="1071" t="s">
        <v>947</v>
      </c>
      <c r="BC3" s="1050" t="s">
        <v>1066</v>
      </c>
      <c r="BD3" s="1050" t="s">
        <v>121</v>
      </c>
      <c r="BE3" s="1050" t="s">
        <v>464</v>
      </c>
      <c r="BF3" s="1050" t="s">
        <v>1169</v>
      </c>
      <c r="BG3" s="1050" t="s">
        <v>1168</v>
      </c>
      <c r="BH3" s="1073" t="s">
        <v>1167</v>
      </c>
      <c r="BI3" s="1059"/>
      <c r="BJ3" s="1059"/>
    </row>
    <row r="4" spans="1:62" ht="17" thickTop="1">
      <c r="A4" s="1045" t="s">
        <v>588</v>
      </c>
      <c r="B4" s="1045" t="s">
        <v>1456</v>
      </c>
      <c r="C4" s="1061" t="s">
        <v>1091</v>
      </c>
      <c r="D4" s="1074">
        <v>43800</v>
      </c>
      <c r="F4" s="1045" t="s">
        <v>1080</v>
      </c>
      <c r="G4" s="1045" t="s">
        <v>1079</v>
      </c>
      <c r="H4" s="1045">
        <f>1485+110</f>
        <v>1595</v>
      </c>
      <c r="I4" s="1045">
        <v>2190</v>
      </c>
      <c r="J4" s="1045">
        <f>650-110</f>
        <v>540</v>
      </c>
      <c r="K4" s="1045">
        <v>3.9</v>
      </c>
      <c r="V4" s="1045">
        <v>130</v>
      </c>
      <c r="W4" s="1045">
        <v>44</v>
      </c>
      <c r="X4" s="1045">
        <v>60</v>
      </c>
      <c r="Y4" s="1058">
        <v>225</v>
      </c>
      <c r="Z4" s="1056" t="s">
        <v>957</v>
      </c>
      <c r="AA4" s="1045">
        <v>33</v>
      </c>
      <c r="AB4" s="1045">
        <v>31</v>
      </c>
      <c r="AC4" s="1045">
        <v>1.8</v>
      </c>
      <c r="AD4" s="1045">
        <v>16</v>
      </c>
      <c r="AE4" s="1075" t="s">
        <v>1455</v>
      </c>
      <c r="AF4" s="1066">
        <v>10</v>
      </c>
      <c r="AG4" s="1061">
        <v>260</v>
      </c>
      <c r="AH4" s="1056" t="s">
        <v>1090</v>
      </c>
      <c r="AJ4" s="1045">
        <v>370</v>
      </c>
      <c r="AP4" s="1057">
        <f>33/170*100</f>
        <v>19.411764705882355</v>
      </c>
      <c r="AQ4" s="1045">
        <f>1.8/200*100</f>
        <v>0.90000000000000013</v>
      </c>
      <c r="AV4" s="1061">
        <v>7.4</v>
      </c>
      <c r="AW4" s="1059" t="s">
        <v>961</v>
      </c>
      <c r="AX4" s="1060" t="s">
        <v>1089</v>
      </c>
      <c r="AY4" s="1061" t="s">
        <v>965</v>
      </c>
      <c r="AZ4" s="1061" t="s">
        <v>1088</v>
      </c>
      <c r="BA4" s="1060" t="s">
        <v>118</v>
      </c>
      <c r="BB4" s="1058"/>
      <c r="BC4" s="1076">
        <f>SUM(BE4:BF4)</f>
        <v>58443</v>
      </c>
      <c r="BE4" s="1077">
        <f>21%*BF4</f>
        <v>10143</v>
      </c>
      <c r="BF4" s="1068">
        <v>48300</v>
      </c>
      <c r="BH4" s="1078" t="s">
        <v>1454</v>
      </c>
    </row>
    <row r="5" spans="1:62">
      <c r="A5" s="1045" t="s">
        <v>588</v>
      </c>
      <c r="B5" s="1045" t="s">
        <v>1453</v>
      </c>
      <c r="C5" s="1045" t="s">
        <v>1158</v>
      </c>
      <c r="D5" s="1067">
        <v>44166</v>
      </c>
      <c r="F5" s="1045" t="s">
        <v>1080</v>
      </c>
      <c r="G5" s="1045" t="s">
        <v>1132</v>
      </c>
      <c r="H5" s="1045">
        <f>2125+200</f>
        <v>2325</v>
      </c>
      <c r="I5" s="1045">
        <v>3500</v>
      </c>
      <c r="J5" s="1045">
        <v>1200</v>
      </c>
      <c r="K5" s="1079">
        <v>10</v>
      </c>
      <c r="V5" s="1045">
        <v>100</v>
      </c>
      <c r="W5" s="1045">
        <v>57</v>
      </c>
      <c r="X5" s="1045">
        <v>76</v>
      </c>
      <c r="Y5" s="1058">
        <v>225</v>
      </c>
      <c r="Z5" s="1056" t="s">
        <v>957</v>
      </c>
      <c r="AA5" s="1045">
        <v>33</v>
      </c>
      <c r="AB5" s="1045">
        <v>31</v>
      </c>
      <c r="AC5" s="1057">
        <v>3</v>
      </c>
      <c r="AD5" s="1045">
        <v>38</v>
      </c>
      <c r="AE5" s="1045">
        <v>700</v>
      </c>
      <c r="AF5" s="1045">
        <v>10</v>
      </c>
      <c r="AG5" s="1058">
        <v>255</v>
      </c>
      <c r="AH5" s="1056" t="s">
        <v>1090</v>
      </c>
      <c r="AJ5" s="1045">
        <v>350</v>
      </c>
      <c r="AP5" s="1057">
        <f>33/120*100</f>
        <v>27.500000000000004</v>
      </c>
      <c r="AQ5" s="1057">
        <f>3/230*100</f>
        <v>1.3043478260869565</v>
      </c>
      <c r="AV5" s="1061">
        <v>7.4</v>
      </c>
      <c r="AW5" s="1059" t="s">
        <v>961</v>
      </c>
      <c r="AX5" s="1060" t="s">
        <v>1089</v>
      </c>
      <c r="AY5" s="1061" t="s">
        <v>965</v>
      </c>
      <c r="AZ5" s="1061" t="s">
        <v>1088</v>
      </c>
      <c r="BA5" s="1060" t="s">
        <v>118</v>
      </c>
      <c r="BC5" s="1076">
        <f>SUM(BE5:BF5)</f>
        <v>121000</v>
      </c>
      <c r="BE5" s="1077">
        <f>21%*BF5</f>
        <v>21000</v>
      </c>
      <c r="BF5" s="1068">
        <v>100000</v>
      </c>
      <c r="BH5" s="1045" t="s">
        <v>1451</v>
      </c>
    </row>
    <row r="6" spans="1:62">
      <c r="A6" s="1045" t="s">
        <v>588</v>
      </c>
      <c r="B6" s="1045" t="s">
        <v>1452</v>
      </c>
      <c r="C6" s="1045" t="s">
        <v>1158</v>
      </c>
      <c r="D6" s="1067">
        <v>44166</v>
      </c>
      <c r="E6" s="1060"/>
      <c r="F6" s="1045" t="s">
        <v>1080</v>
      </c>
      <c r="G6" s="1061" t="s">
        <v>1132</v>
      </c>
      <c r="H6" s="1045">
        <f>1753+200</f>
        <v>1953</v>
      </c>
      <c r="I6" s="1045">
        <v>3500</v>
      </c>
      <c r="J6" s="1045">
        <f>I6-H6</f>
        <v>1547</v>
      </c>
      <c r="K6" s="1080" t="s">
        <v>158</v>
      </c>
      <c r="V6" s="1045">
        <v>100</v>
      </c>
      <c r="W6" s="1045">
        <v>57</v>
      </c>
      <c r="X6" s="1045">
        <v>76</v>
      </c>
      <c r="Y6" s="1058">
        <v>225</v>
      </c>
      <c r="Z6" s="1056" t="s">
        <v>957</v>
      </c>
      <c r="AA6" s="1045">
        <v>33</v>
      </c>
      <c r="AB6" s="1045">
        <v>31</v>
      </c>
      <c r="AC6" s="1057">
        <v>3</v>
      </c>
      <c r="AD6" s="1045">
        <v>38</v>
      </c>
      <c r="AE6" s="1045">
        <v>700</v>
      </c>
      <c r="AF6" s="1045">
        <v>10</v>
      </c>
      <c r="AG6" s="1058">
        <v>255</v>
      </c>
      <c r="AH6" s="1056" t="s">
        <v>1090</v>
      </c>
      <c r="AJ6" s="1045">
        <v>350</v>
      </c>
      <c r="AP6" s="1057">
        <f>33/120*100</f>
        <v>27.500000000000004</v>
      </c>
      <c r="AQ6" s="1057">
        <f>3/230*100</f>
        <v>1.3043478260869565</v>
      </c>
      <c r="AV6" s="1061">
        <v>7.4</v>
      </c>
      <c r="AW6" s="1059" t="s">
        <v>961</v>
      </c>
      <c r="AX6" s="1060" t="s">
        <v>1089</v>
      </c>
      <c r="AY6" s="1061" t="s">
        <v>965</v>
      </c>
      <c r="AZ6" s="1061" t="s">
        <v>1088</v>
      </c>
      <c r="BA6" s="1060" t="s">
        <v>118</v>
      </c>
      <c r="BC6" s="1076">
        <f>SUM(BE6:BF6)</f>
        <v>121000</v>
      </c>
      <c r="BE6" s="1077">
        <f>21%*BF6</f>
        <v>21000</v>
      </c>
      <c r="BF6" s="1068">
        <v>100000</v>
      </c>
      <c r="BH6" s="1045" t="s">
        <v>1451</v>
      </c>
    </row>
  </sheetData>
  <sheetProtection algorithmName="SHA-512" hashValue="vPDDGOjbQziaK8sp+lj3j8eS/KcyalZcjxO8Ku+Alws7jGTWEzujqIA9rrbWcztzpZiUWgIWPMzkKJsxwJJ/jQ==" saltValue="QE7xR2+GobbVwc6m0DovpQ==" spinCount="100000" sheet="1" objects="1" scenarios="1"/>
  <mergeCells count="8">
    <mergeCell ref="A1:G2"/>
    <mergeCell ref="H1:Z2"/>
    <mergeCell ref="AA1:BB1"/>
    <mergeCell ref="BC1:BG2"/>
    <mergeCell ref="AA2:AH2"/>
    <mergeCell ref="AI2:AN2"/>
    <mergeCell ref="AO2:AU2"/>
    <mergeCell ref="AV2:BB2"/>
  </mergeCells>
  <hyperlinks>
    <hyperlink ref="BH4" r:id="rId1" xr:uid="{52DF8A5F-A40C-6642-B0DD-976D72040571}"/>
  </hyperlinks>
  <pageMargins left="0.7" right="0.7" top="0.75" bottom="0.75" header="0.3" footer="0.3"/>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CB0AE-0931-4B4F-9000-A49E6C7005E9}">
  <sheetPr codeName="Blad2">
    <tabColor theme="8" tint="-0.249977111117893"/>
  </sheetPr>
  <dimension ref="A6:Q159"/>
  <sheetViews>
    <sheetView topLeftCell="L27" zoomScale="120" zoomScaleNormal="120" workbookViewId="0">
      <selection activeCell="A27" sqref="A1:XFD1048576"/>
    </sheetView>
  </sheetViews>
  <sheetFormatPr baseColWidth="10" defaultRowHeight="16"/>
  <cols>
    <col min="1" max="1" width="4" style="171" customWidth="1"/>
    <col min="2" max="2" width="48.5" style="171" customWidth="1"/>
    <col min="3" max="3" width="12.6640625" style="171" customWidth="1"/>
    <col min="4" max="4" width="26" style="171" customWidth="1"/>
    <col min="5" max="5" width="20.6640625" style="171" bestFit="1" customWidth="1"/>
    <col min="6" max="7" width="20.6640625" style="541" customWidth="1"/>
    <col min="8" max="8" width="27" style="171" bestFit="1" customWidth="1"/>
    <col min="9" max="9" width="30" style="171" bestFit="1" customWidth="1"/>
    <col min="10" max="10" width="21.33203125" style="171" bestFit="1" customWidth="1"/>
    <col min="11" max="11" width="25.1640625" style="171" customWidth="1"/>
    <col min="12" max="12" width="18.83203125" style="171" customWidth="1"/>
    <col min="13" max="13" width="20.83203125" style="171" customWidth="1"/>
    <col min="14" max="14" width="30" style="171" bestFit="1" customWidth="1"/>
    <col min="15" max="15" width="17.6640625" style="171" customWidth="1"/>
    <col min="16" max="16" width="19.83203125" style="171" customWidth="1"/>
    <col min="17" max="17" width="22.6640625" style="171" customWidth="1"/>
    <col min="18" max="16384" width="10.83203125" style="171"/>
  </cols>
  <sheetData>
    <row r="6" spans="1:15" s="964" customFormat="1" ht="21">
      <c r="B6" s="963" t="s">
        <v>728</v>
      </c>
    </row>
    <row r="8" spans="1:15" ht="21">
      <c r="B8" s="965" t="s">
        <v>700</v>
      </c>
      <c r="D8" s="1637" t="s">
        <v>1327</v>
      </c>
      <c r="E8" s="1637"/>
      <c r="F8" s="1588" t="s">
        <v>518</v>
      </c>
      <c r="G8" s="1588"/>
    </row>
    <row r="9" spans="1:15">
      <c r="B9" s="1587" t="s">
        <v>315</v>
      </c>
      <c r="C9" s="1586" t="s">
        <v>316</v>
      </c>
      <c r="D9" s="1586" t="s">
        <v>871</v>
      </c>
      <c r="E9" s="1586" t="s">
        <v>872</v>
      </c>
      <c r="F9" s="1586" t="s">
        <v>871</v>
      </c>
      <c r="G9" s="1586" t="s">
        <v>872</v>
      </c>
      <c r="H9" s="1586" t="s">
        <v>873</v>
      </c>
      <c r="I9" s="1584" t="s">
        <v>874</v>
      </c>
      <c r="J9" s="1586" t="s">
        <v>875</v>
      </c>
      <c r="K9" s="1584" t="s">
        <v>317</v>
      </c>
      <c r="L9" s="1584" t="s">
        <v>876</v>
      </c>
      <c r="M9" s="1584" t="s">
        <v>877</v>
      </c>
      <c r="N9" s="1587" t="s">
        <v>878</v>
      </c>
      <c r="O9" s="1587" t="s">
        <v>1361</v>
      </c>
    </row>
    <row r="10" spans="1:15">
      <c r="B10" s="1587"/>
      <c r="C10" s="1586"/>
      <c r="D10" s="1586"/>
      <c r="E10" s="1586"/>
      <c r="F10" s="1586"/>
      <c r="G10" s="1586"/>
      <c r="H10" s="1586"/>
      <c r="I10" s="1585"/>
      <c r="J10" s="1586"/>
      <c r="K10" s="1586"/>
      <c r="L10" s="1585"/>
      <c r="M10" s="1585"/>
      <c r="N10" s="1587"/>
      <c r="O10" s="1587"/>
    </row>
    <row r="11" spans="1:15">
      <c r="B11" s="171" t="s">
        <v>753</v>
      </c>
      <c r="C11" s="171" t="s">
        <v>701</v>
      </c>
      <c r="F11" s="171">
        <v>144</v>
      </c>
      <c r="G11" s="171">
        <v>6.2</v>
      </c>
      <c r="H11" s="171">
        <v>1345</v>
      </c>
      <c r="I11" s="822">
        <v>15540</v>
      </c>
      <c r="J11" s="822">
        <v>4550</v>
      </c>
      <c r="K11" s="822">
        <v>3263</v>
      </c>
      <c r="L11" s="822">
        <f>SUM(I11+J11+K11)</f>
        <v>23353</v>
      </c>
    </row>
    <row r="12" spans="1:15">
      <c r="B12" s="171" t="s">
        <v>754</v>
      </c>
      <c r="C12" s="171" t="s">
        <v>701</v>
      </c>
      <c r="F12" s="171">
        <v>109</v>
      </c>
      <c r="G12" s="171">
        <v>5.0999999999999996</v>
      </c>
      <c r="H12" s="171">
        <v>1295</v>
      </c>
      <c r="I12" s="822">
        <v>19476</v>
      </c>
      <c r="J12" s="822">
        <v>7594</v>
      </c>
      <c r="K12" s="822">
        <v>4090</v>
      </c>
      <c r="L12" s="822">
        <v>31160</v>
      </c>
    </row>
    <row r="13" spans="1:15">
      <c r="B13" s="171" t="s">
        <v>755</v>
      </c>
      <c r="C13" s="171" t="s">
        <v>701</v>
      </c>
      <c r="F13" s="171">
        <v>117</v>
      </c>
      <c r="G13" s="171">
        <v>4.5999999999999996</v>
      </c>
      <c r="H13" s="171">
        <v>1327</v>
      </c>
      <c r="I13" s="822">
        <v>16500</v>
      </c>
      <c r="J13" s="822">
        <v>9399</v>
      </c>
      <c r="K13" s="822">
        <v>3465</v>
      </c>
      <c r="L13" s="822">
        <v>29364</v>
      </c>
    </row>
    <row r="14" spans="1:15">
      <c r="A14" s="541"/>
      <c r="B14" s="171" t="s">
        <v>756</v>
      </c>
      <c r="C14" s="171" t="s">
        <v>701</v>
      </c>
      <c r="E14" s="813">
        <v>6</v>
      </c>
      <c r="F14" s="171">
        <v>112</v>
      </c>
      <c r="G14" s="171">
        <v>4.4000000000000004</v>
      </c>
      <c r="H14" s="171">
        <v>1255</v>
      </c>
      <c r="I14" s="822">
        <v>18050</v>
      </c>
      <c r="J14" s="822">
        <v>8305</v>
      </c>
      <c r="K14" s="822">
        <v>3294</v>
      </c>
      <c r="L14" s="822">
        <v>28843</v>
      </c>
    </row>
    <row r="15" spans="1:15">
      <c r="A15" s="1081"/>
      <c r="B15" s="171" t="s">
        <v>1360</v>
      </c>
      <c r="C15" s="171" t="s">
        <v>701</v>
      </c>
      <c r="D15" s="171">
        <f>AVERAGE(176,146)</f>
        <v>161</v>
      </c>
      <c r="E15" s="813">
        <f>AVERAGE(5.6,6.7)</f>
        <v>6.15</v>
      </c>
      <c r="I15" s="822"/>
      <c r="J15" s="822"/>
      <c r="K15" s="822"/>
      <c r="L15" s="822"/>
    </row>
    <row r="16" spans="1:15" ht="18" customHeight="1" thickBot="1">
      <c r="L16" s="822"/>
    </row>
    <row r="17" spans="1:15" ht="17" thickBot="1">
      <c r="B17" s="699" t="s">
        <v>703</v>
      </c>
      <c r="C17" s="725" t="s">
        <v>134</v>
      </c>
      <c r="D17" s="1082">
        <f>AVERAGE(D14,D15)</f>
        <v>161</v>
      </c>
      <c r="E17" s="1083">
        <f>AVERAGE(E15,E14)</f>
        <v>6.0750000000000002</v>
      </c>
      <c r="F17" s="966">
        <f t="shared" ref="F17:L17" si="0">AVERAGE(F11:F14)</f>
        <v>120.5</v>
      </c>
      <c r="G17" s="967">
        <f t="shared" si="0"/>
        <v>5.0750000000000002</v>
      </c>
      <c r="H17" s="968">
        <f t="shared" si="0"/>
        <v>1305.5</v>
      </c>
      <c r="I17" s="969">
        <f t="shared" si="0"/>
        <v>17391.5</v>
      </c>
      <c r="J17" s="969">
        <f t="shared" si="0"/>
        <v>7462</v>
      </c>
      <c r="K17" s="969">
        <f t="shared" si="0"/>
        <v>3528</v>
      </c>
      <c r="L17" s="969">
        <f t="shared" si="0"/>
        <v>28180</v>
      </c>
      <c r="M17" s="969">
        <f>350/3</f>
        <v>116.66666666666667</v>
      </c>
      <c r="N17" s="970"/>
    </row>
    <row r="18" spans="1:15" ht="18" customHeight="1">
      <c r="B18" s="971" t="s">
        <v>1369</v>
      </c>
      <c r="C18" s="972"/>
      <c r="D18" s="973">
        <f>D17/F17</f>
        <v>1.3360995850622406</v>
      </c>
      <c r="E18" s="973">
        <f>E17/G17</f>
        <v>1.1970443349753694</v>
      </c>
      <c r="F18" s="974"/>
      <c r="G18" s="974"/>
      <c r="H18" s="975"/>
      <c r="I18" s="976"/>
      <c r="J18" s="976"/>
      <c r="K18" s="976"/>
      <c r="L18" s="976"/>
      <c r="M18" s="976"/>
      <c r="N18" s="972"/>
    </row>
    <row r="19" spans="1:15" ht="18" customHeight="1">
      <c r="B19" s="971"/>
      <c r="C19" s="972"/>
      <c r="D19" s="975"/>
      <c r="E19" s="1084"/>
      <c r="F19" s="974"/>
      <c r="G19" s="974"/>
      <c r="H19" s="975"/>
      <c r="I19" s="976"/>
      <c r="J19" s="976"/>
      <c r="K19" s="976"/>
      <c r="L19" s="976"/>
      <c r="M19" s="976"/>
      <c r="N19" s="972"/>
    </row>
    <row r="20" spans="1:15" ht="19" customHeight="1">
      <c r="B20" s="980" t="s">
        <v>819</v>
      </c>
      <c r="C20" s="972"/>
      <c r="D20" s="975"/>
      <c r="E20" s="1084"/>
      <c r="F20" s="974"/>
      <c r="G20" s="974"/>
      <c r="H20" s="975"/>
      <c r="I20" s="976"/>
      <c r="J20" s="976"/>
      <c r="K20" s="976"/>
      <c r="L20" s="976"/>
      <c r="M20" s="976"/>
      <c r="N20" s="972"/>
    </row>
    <row r="21" spans="1:15" ht="18" customHeight="1">
      <c r="B21" s="972"/>
      <c r="C21" s="972"/>
      <c r="D21" s="1637" t="s">
        <v>1327</v>
      </c>
      <c r="E21" s="1637"/>
      <c r="F21" s="1588" t="s">
        <v>518</v>
      </c>
      <c r="G21" s="1588"/>
      <c r="H21" s="975"/>
      <c r="I21" s="976"/>
      <c r="J21" s="976"/>
      <c r="K21" s="976"/>
      <c r="L21" s="976"/>
      <c r="M21" s="976"/>
      <c r="N21" s="972"/>
    </row>
    <row r="22" spans="1:15">
      <c r="B22" s="1587" t="s">
        <v>315</v>
      </c>
      <c r="C22" s="1586" t="s">
        <v>316</v>
      </c>
      <c r="D22" s="1586" t="s">
        <v>871</v>
      </c>
      <c r="E22" s="1586" t="s">
        <v>872</v>
      </c>
      <c r="F22" s="1586" t="s">
        <v>871</v>
      </c>
      <c r="G22" s="1586" t="s">
        <v>872</v>
      </c>
      <c r="H22" s="1586" t="s">
        <v>873</v>
      </c>
      <c r="I22" s="1584" t="s">
        <v>874</v>
      </c>
      <c r="J22" s="1586" t="s">
        <v>875</v>
      </c>
      <c r="K22" s="1584" t="s">
        <v>317</v>
      </c>
      <c r="L22" s="1584" t="s">
        <v>876</v>
      </c>
      <c r="M22" s="1584" t="s">
        <v>877</v>
      </c>
      <c r="N22" s="1587" t="s">
        <v>878</v>
      </c>
    </row>
    <row r="23" spans="1:15">
      <c r="B23" s="1587"/>
      <c r="C23" s="1586"/>
      <c r="D23" s="1586"/>
      <c r="E23" s="1586"/>
      <c r="F23" s="1586"/>
      <c r="G23" s="1586"/>
      <c r="H23" s="1586"/>
      <c r="I23" s="1585"/>
      <c r="J23" s="1586"/>
      <c r="K23" s="1586"/>
      <c r="L23" s="1585"/>
      <c r="M23" s="1585"/>
      <c r="N23" s="1587"/>
    </row>
    <row r="24" spans="1:15">
      <c r="B24" s="171" t="s">
        <v>1362</v>
      </c>
      <c r="C24" s="171" t="s">
        <v>163</v>
      </c>
      <c r="E24" s="541"/>
      <c r="I24" s="979">
        <v>20527</v>
      </c>
      <c r="J24" s="822"/>
      <c r="K24" s="822">
        <f>21%*I24</f>
        <v>4310.67</v>
      </c>
      <c r="L24" s="822">
        <f>SUM(I24+J24+K24)</f>
        <v>24837.67</v>
      </c>
    </row>
    <row r="25" spans="1:15">
      <c r="B25" s="171" t="s">
        <v>1363</v>
      </c>
      <c r="C25" s="171" t="s">
        <v>163</v>
      </c>
      <c r="I25" s="822"/>
      <c r="J25" s="822"/>
      <c r="K25" s="822">
        <f t="shared" ref="K25:K27" si="1">21%*I25</f>
        <v>0</v>
      </c>
      <c r="L25" s="822">
        <f t="shared" ref="L25:L27" si="2">SUM(I25+J25+K25)</f>
        <v>0</v>
      </c>
      <c r="O25" s="703" t="s">
        <v>1269</v>
      </c>
    </row>
    <row r="26" spans="1:15">
      <c r="A26" s="1081"/>
      <c r="B26" s="171" t="s">
        <v>1364</v>
      </c>
      <c r="C26" s="171" t="s">
        <v>163</v>
      </c>
      <c r="D26" s="742">
        <f>AVERAGE(165,173)</f>
        <v>169</v>
      </c>
      <c r="E26" s="1085">
        <f>AVERAGE(6.7,7.1)</f>
        <v>6.9</v>
      </c>
      <c r="F26" s="1085"/>
      <c r="G26" s="1085"/>
      <c r="I26" s="822"/>
      <c r="J26" s="822"/>
      <c r="K26" s="822">
        <f t="shared" si="1"/>
        <v>0</v>
      </c>
      <c r="L26" s="822">
        <f t="shared" si="2"/>
        <v>0</v>
      </c>
    </row>
    <row r="27" spans="1:15">
      <c r="E27" s="541"/>
      <c r="I27" s="822"/>
      <c r="J27" s="822"/>
      <c r="K27" s="822">
        <f t="shared" si="1"/>
        <v>0</v>
      </c>
      <c r="L27" s="822">
        <f t="shared" si="2"/>
        <v>0</v>
      </c>
    </row>
    <row r="28" spans="1:15" ht="18" customHeight="1" thickBot="1">
      <c r="L28" s="822"/>
    </row>
    <row r="29" spans="1:15" ht="17" thickBot="1">
      <c r="B29" s="699" t="s">
        <v>703</v>
      </c>
      <c r="C29" s="725" t="s">
        <v>134</v>
      </c>
      <c r="D29" s="1082">
        <f>AVERAGE(D23:D26)</f>
        <v>169</v>
      </c>
      <c r="E29" s="1083">
        <f>AVERAGE(E24:E27)</f>
        <v>6.9</v>
      </c>
      <c r="F29" s="966"/>
      <c r="G29" s="966"/>
      <c r="H29" s="967"/>
      <c r="I29" s="1086">
        <f t="shared" ref="I29" si="3">AVERAGE(I24:I27)</f>
        <v>20527</v>
      </c>
      <c r="J29" s="969"/>
      <c r="K29" s="969">
        <f t="shared" ref="K29:L29" si="4">AVERAGE(K24:K27)</f>
        <v>1077.6675</v>
      </c>
      <c r="L29" s="969">
        <f t="shared" si="4"/>
        <v>6209.4174999999996</v>
      </c>
      <c r="M29" s="969">
        <f>177/3</f>
        <v>59</v>
      </c>
      <c r="N29" s="970"/>
    </row>
    <row r="30" spans="1:15">
      <c r="L30" s="652"/>
    </row>
    <row r="31" spans="1:15">
      <c r="L31" s="652"/>
      <c r="M31" s="977"/>
    </row>
    <row r="32" spans="1:15" ht="19" customHeight="1">
      <c r="B32" s="980" t="s">
        <v>1384</v>
      </c>
      <c r="C32" s="972"/>
      <c r="D32" s="975"/>
      <c r="E32" s="1084"/>
      <c r="F32" s="974"/>
      <c r="G32" s="974"/>
      <c r="H32" s="975"/>
      <c r="I32" s="976"/>
      <c r="J32" s="976"/>
      <c r="K32" s="976"/>
      <c r="L32" s="976"/>
      <c r="M32" s="976"/>
      <c r="N32" s="972"/>
    </row>
    <row r="33" spans="2:15" ht="18" customHeight="1">
      <c r="B33" s="972"/>
      <c r="C33" s="972"/>
      <c r="D33" s="1637" t="s">
        <v>1327</v>
      </c>
      <c r="E33" s="1637"/>
      <c r="F33" s="1588" t="s">
        <v>518</v>
      </c>
      <c r="G33" s="1588"/>
      <c r="H33" s="975"/>
      <c r="I33" s="976"/>
      <c r="J33" s="976"/>
      <c r="K33" s="976"/>
      <c r="L33" s="976"/>
      <c r="M33" s="976"/>
      <c r="N33" s="972"/>
    </row>
    <row r="34" spans="2:15">
      <c r="B34" s="1587" t="s">
        <v>315</v>
      </c>
      <c r="C34" s="1586" t="s">
        <v>316</v>
      </c>
      <c r="D34" s="1586" t="s">
        <v>871</v>
      </c>
      <c r="E34" s="1586" t="s">
        <v>872</v>
      </c>
      <c r="F34" s="1586" t="s">
        <v>871</v>
      </c>
      <c r="G34" s="1586" t="s">
        <v>872</v>
      </c>
      <c r="H34" s="1586" t="s">
        <v>873</v>
      </c>
      <c r="I34" s="1584" t="s">
        <v>874</v>
      </c>
      <c r="J34" s="1586" t="s">
        <v>875</v>
      </c>
      <c r="K34" s="1584" t="s">
        <v>317</v>
      </c>
      <c r="L34" s="1584" t="s">
        <v>876</v>
      </c>
      <c r="M34" s="1584" t="s">
        <v>877</v>
      </c>
      <c r="N34" s="1587" t="s">
        <v>878</v>
      </c>
    </row>
    <row r="35" spans="2:15">
      <c r="B35" s="1587"/>
      <c r="C35" s="1586"/>
      <c r="D35" s="1586"/>
      <c r="E35" s="1586"/>
      <c r="F35" s="1586"/>
      <c r="G35" s="1586"/>
      <c r="H35" s="1586"/>
      <c r="I35" s="1585"/>
      <c r="J35" s="1586"/>
      <c r="K35" s="1586"/>
      <c r="L35" s="1585"/>
      <c r="M35" s="1585"/>
      <c r="N35" s="1587"/>
    </row>
    <row r="36" spans="2:15">
      <c r="B36" s="171" t="s">
        <v>1362</v>
      </c>
      <c r="C36" s="171" t="s">
        <v>790</v>
      </c>
      <c r="E36" s="541"/>
      <c r="F36" s="742">
        <v>127</v>
      </c>
      <c r="G36" s="1085">
        <v>4.5999999999999996</v>
      </c>
      <c r="I36" s="979">
        <v>20527</v>
      </c>
      <c r="J36" s="822"/>
      <c r="K36" s="822">
        <f>21%*I36</f>
        <v>4310.67</v>
      </c>
      <c r="L36" s="822">
        <f>SUM(I36+J36+K36)</f>
        <v>24837.67</v>
      </c>
    </row>
    <row r="37" spans="2:15">
      <c r="B37" s="171" t="s">
        <v>1363</v>
      </c>
      <c r="C37" s="171" t="s">
        <v>790</v>
      </c>
      <c r="F37" s="742">
        <v>134</v>
      </c>
      <c r="G37" s="1085">
        <v>4.9000000000000004</v>
      </c>
      <c r="I37" s="822"/>
      <c r="J37" s="822"/>
      <c r="K37" s="822">
        <f t="shared" ref="K37:K39" si="5">21%*I37</f>
        <v>0</v>
      </c>
      <c r="L37" s="822">
        <f t="shared" ref="L37:L39" si="6">SUM(I37+J37+K37)</f>
        <v>0</v>
      </c>
      <c r="O37" s="703" t="s">
        <v>1269</v>
      </c>
    </row>
    <row r="38" spans="2:15">
      <c r="B38" s="171" t="s">
        <v>1364</v>
      </c>
      <c r="C38" s="171" t="s">
        <v>790</v>
      </c>
      <c r="D38" s="742"/>
      <c r="E38" s="1085"/>
      <c r="F38" s="978">
        <v>132</v>
      </c>
      <c r="G38" s="1085">
        <v>4.4000000000000004</v>
      </c>
      <c r="I38" s="822"/>
      <c r="J38" s="822"/>
      <c r="K38" s="822">
        <f t="shared" si="5"/>
        <v>0</v>
      </c>
      <c r="L38" s="822">
        <f t="shared" si="6"/>
        <v>0</v>
      </c>
    </row>
    <row r="39" spans="2:15">
      <c r="E39" s="541"/>
      <c r="I39" s="822"/>
      <c r="J39" s="822"/>
      <c r="K39" s="822">
        <f t="shared" si="5"/>
        <v>0</v>
      </c>
      <c r="L39" s="822">
        <f t="shared" si="6"/>
        <v>0</v>
      </c>
    </row>
    <row r="40" spans="2:15" ht="18" customHeight="1" thickBot="1">
      <c r="L40" s="822"/>
    </row>
    <row r="41" spans="2:15" ht="17" thickBot="1">
      <c r="B41" s="699" t="s">
        <v>703</v>
      </c>
      <c r="C41" s="725" t="s">
        <v>790</v>
      </c>
      <c r="D41" s="1082">
        <f>F41*_fossiel_LCV!$F$186</f>
        <v>144.15815760266372</v>
      </c>
      <c r="E41" s="1083">
        <f>verbr_die_kleine_taxibus</f>
        <v>6.0750000000000002</v>
      </c>
      <c r="F41" s="966">
        <f>AVERAGE(F36:F38)</f>
        <v>131</v>
      </c>
      <c r="G41" s="967">
        <f>AVERAGE(G36:G38)</f>
        <v>4.6333333333333337</v>
      </c>
      <c r="H41" s="967"/>
      <c r="I41" s="1086">
        <f t="shared" ref="I41" si="7">AVERAGE(I36:I39)</f>
        <v>20527</v>
      </c>
      <c r="J41" s="969"/>
      <c r="K41" s="969">
        <f t="shared" ref="K41:L41" si="8">AVERAGE(K36:K39)</f>
        <v>1077.6675</v>
      </c>
      <c r="L41" s="969">
        <f t="shared" si="8"/>
        <v>6209.4174999999996</v>
      </c>
      <c r="M41" s="968">
        <f>252/3</f>
        <v>84</v>
      </c>
      <c r="N41" s="970"/>
    </row>
    <row r="42" spans="2:15">
      <c r="B42" s="972"/>
      <c r="C42" s="972"/>
      <c r="F42" s="1087"/>
      <c r="G42" s="1087"/>
      <c r="H42" s="974"/>
      <c r="I42" s="983"/>
      <c r="J42" s="976"/>
      <c r="K42" s="976"/>
      <c r="L42" s="976"/>
      <c r="M42" s="976"/>
      <c r="N42" s="972"/>
    </row>
    <row r="43" spans="2:15">
      <c r="L43" s="652"/>
      <c r="M43" s="977"/>
    </row>
    <row r="44" spans="2:15" s="964" customFormat="1" ht="21">
      <c r="B44" s="963" t="s">
        <v>850</v>
      </c>
    </row>
    <row r="45" spans="2:15">
      <c r="L45" s="652"/>
      <c r="M45" s="977"/>
    </row>
    <row r="46" spans="2:15" ht="21">
      <c r="B46" s="965" t="s">
        <v>1207</v>
      </c>
      <c r="D46" s="1637" t="s">
        <v>1327</v>
      </c>
      <c r="E46" s="1637"/>
      <c r="F46" s="1588" t="s">
        <v>518</v>
      </c>
      <c r="G46" s="1588"/>
    </row>
    <row r="47" spans="2:15">
      <c r="B47" s="1587" t="s">
        <v>315</v>
      </c>
      <c r="C47" s="1586" t="s">
        <v>316</v>
      </c>
      <c r="D47" s="1586" t="s">
        <v>871</v>
      </c>
      <c r="E47" s="1586" t="s">
        <v>872</v>
      </c>
      <c r="F47" s="1586" t="s">
        <v>871</v>
      </c>
      <c r="G47" s="1586" t="s">
        <v>872</v>
      </c>
      <c r="H47" s="1586" t="s">
        <v>873</v>
      </c>
      <c r="I47" s="1584" t="s">
        <v>874</v>
      </c>
      <c r="J47" s="1586" t="s">
        <v>875</v>
      </c>
      <c r="K47" s="1584" t="s">
        <v>317</v>
      </c>
      <c r="L47" s="1584" t="s">
        <v>876</v>
      </c>
      <c r="M47" s="1584" t="s">
        <v>877</v>
      </c>
      <c r="N47" s="1587" t="s">
        <v>878</v>
      </c>
      <c r="O47" s="1587" t="s">
        <v>1361</v>
      </c>
    </row>
    <row r="48" spans="2:15">
      <c r="B48" s="1587"/>
      <c r="C48" s="1586"/>
      <c r="D48" s="1586"/>
      <c r="E48" s="1586"/>
      <c r="F48" s="1586"/>
      <c r="G48" s="1586"/>
      <c r="H48" s="1586"/>
      <c r="I48" s="1585"/>
      <c r="J48" s="1586"/>
      <c r="K48" s="1586"/>
      <c r="L48" s="1585"/>
      <c r="M48" s="1585"/>
      <c r="N48" s="1587"/>
      <c r="O48" s="1587"/>
    </row>
    <row r="49" spans="1:15">
      <c r="A49" s="1081"/>
      <c r="B49" s="546" t="s">
        <v>1321</v>
      </c>
      <c r="C49" s="171" t="s">
        <v>701</v>
      </c>
      <c r="D49" s="171">
        <v>200</v>
      </c>
      <c r="E49" s="171">
        <f>AVERAGE(7.6,9.4)</f>
        <v>8.5</v>
      </c>
      <c r="F49" s="171">
        <v>163</v>
      </c>
      <c r="G49" s="813">
        <v>7</v>
      </c>
      <c r="H49" s="822"/>
      <c r="I49" s="979"/>
      <c r="J49" s="822"/>
      <c r="K49" s="822"/>
      <c r="L49" s="979"/>
    </row>
    <row r="50" spans="1:15">
      <c r="A50" s="1081"/>
      <c r="B50" s="546" t="s">
        <v>1328</v>
      </c>
      <c r="C50" s="171" t="s">
        <v>701</v>
      </c>
      <c r="D50" s="742">
        <v>205</v>
      </c>
      <c r="E50" s="813">
        <f>AVERAGE(7.2,9.5)</f>
        <v>8.35</v>
      </c>
      <c r="F50" s="171">
        <v>149</v>
      </c>
      <c r="G50" s="171">
        <v>7.5</v>
      </c>
      <c r="H50" s="822">
        <v>1995</v>
      </c>
      <c r="I50" s="979">
        <v>30360</v>
      </c>
      <c r="J50" s="822">
        <v>29000</v>
      </c>
      <c r="K50" s="822">
        <f>21%*I50</f>
        <v>6375.5999999999995</v>
      </c>
      <c r="L50" s="979">
        <f>SUM(I50:K50)</f>
        <v>65735.600000000006</v>
      </c>
    </row>
    <row r="51" spans="1:15">
      <c r="A51" s="1081"/>
      <c r="B51" s="171" t="s">
        <v>1952</v>
      </c>
      <c r="C51" s="171" t="s">
        <v>701</v>
      </c>
      <c r="D51" s="742">
        <f>AVERAGE(174,179)</f>
        <v>176.5</v>
      </c>
      <c r="E51" s="171">
        <f>AVERAGE(6.7,6.9)</f>
        <v>6.8000000000000007</v>
      </c>
      <c r="H51" s="822">
        <v>1738</v>
      </c>
      <c r="I51" s="822">
        <v>29000</v>
      </c>
      <c r="J51" s="822">
        <v>30000</v>
      </c>
      <c r="K51" s="822">
        <f>21%*I51</f>
        <v>6090</v>
      </c>
      <c r="L51" s="822">
        <f>SUM(I51:K51)</f>
        <v>65090</v>
      </c>
      <c r="O51" s="703" t="s">
        <v>1258</v>
      </c>
    </row>
    <row r="52" spans="1:15" ht="17" thickBot="1">
      <c r="H52" s="822"/>
      <c r="I52" s="822"/>
      <c r="J52" s="822"/>
      <c r="K52" s="822"/>
      <c r="L52" s="822"/>
    </row>
    <row r="53" spans="1:15" ht="17" thickBot="1">
      <c r="B53" s="699" t="s">
        <v>763</v>
      </c>
      <c r="C53" s="725" t="s">
        <v>134</v>
      </c>
      <c r="D53" s="1082">
        <f>AVERAGE(D49:D51)</f>
        <v>193.83333333333334</v>
      </c>
      <c r="E53" s="1083">
        <f t="shared" ref="E53:L53" si="9">AVERAGE(E50:E51)</f>
        <v>7.5750000000000002</v>
      </c>
      <c r="F53" s="966">
        <f>AVERAGE(F49:F52)</f>
        <v>156</v>
      </c>
      <c r="G53" s="967">
        <f>AVERAGE(G49:G52)</f>
        <v>7.25</v>
      </c>
      <c r="H53" s="968">
        <f t="shared" si="9"/>
        <v>1866.5</v>
      </c>
      <c r="I53" s="969">
        <f t="shared" si="9"/>
        <v>29680</v>
      </c>
      <c r="J53" s="969">
        <f t="shared" si="9"/>
        <v>29500</v>
      </c>
      <c r="K53" s="969">
        <f t="shared" si="9"/>
        <v>6232.7999999999993</v>
      </c>
      <c r="L53" s="969">
        <f t="shared" si="9"/>
        <v>65412.800000000003</v>
      </c>
      <c r="M53" s="969">
        <f>573/3</f>
        <v>191</v>
      </c>
      <c r="N53" s="970"/>
      <c r="O53" s="703"/>
    </row>
    <row r="54" spans="1:15">
      <c r="B54" s="652"/>
    </row>
    <row r="55" spans="1:15" ht="21">
      <c r="B55" s="980" t="s">
        <v>1370</v>
      </c>
      <c r="C55" s="972"/>
      <c r="F55" s="981"/>
      <c r="G55" s="981"/>
      <c r="H55" s="975"/>
      <c r="I55" s="976"/>
      <c r="J55" s="976"/>
      <c r="K55" s="976"/>
      <c r="L55" s="976"/>
      <c r="M55" s="976"/>
      <c r="N55" s="972"/>
    </row>
    <row r="56" spans="1:15">
      <c r="B56" s="972"/>
      <c r="C56" s="972"/>
      <c r="D56" s="1637" t="s">
        <v>1327</v>
      </c>
      <c r="E56" s="1637"/>
      <c r="F56" s="1588" t="s">
        <v>518</v>
      </c>
      <c r="G56" s="1588"/>
      <c r="H56" s="975"/>
      <c r="I56" s="976"/>
      <c r="J56" s="976"/>
      <c r="K56" s="976"/>
      <c r="L56" s="976"/>
      <c r="M56" s="976"/>
      <c r="N56" s="972"/>
    </row>
    <row r="57" spans="1:15">
      <c r="B57" s="1587" t="s">
        <v>315</v>
      </c>
      <c r="C57" s="1586" t="s">
        <v>316</v>
      </c>
      <c r="D57" s="1586" t="s">
        <v>871</v>
      </c>
      <c r="E57" s="1586" t="s">
        <v>872</v>
      </c>
      <c r="F57" s="1586" t="s">
        <v>871</v>
      </c>
      <c r="G57" s="1586" t="s">
        <v>872</v>
      </c>
      <c r="H57" s="1586" t="s">
        <v>873</v>
      </c>
      <c r="I57" s="1584" t="s">
        <v>874</v>
      </c>
      <c r="J57" s="1586" t="s">
        <v>875</v>
      </c>
      <c r="K57" s="1584" t="s">
        <v>317</v>
      </c>
      <c r="L57" s="1584" t="s">
        <v>876</v>
      </c>
      <c r="M57" s="1584" t="s">
        <v>877</v>
      </c>
      <c r="N57" s="1587" t="s">
        <v>878</v>
      </c>
    </row>
    <row r="58" spans="1:15">
      <c r="B58" s="1587"/>
      <c r="C58" s="1586"/>
      <c r="D58" s="1586"/>
      <c r="E58" s="1586"/>
      <c r="F58" s="1586"/>
      <c r="G58" s="1586"/>
      <c r="H58" s="1586"/>
      <c r="I58" s="1585"/>
      <c r="J58" s="1586"/>
      <c r="K58" s="1586"/>
      <c r="L58" s="1585"/>
      <c r="M58" s="1585"/>
      <c r="N58" s="1587"/>
    </row>
    <row r="59" spans="1:15">
      <c r="E59" s="1085"/>
      <c r="F59" s="171"/>
      <c r="G59" s="1085"/>
      <c r="I59" s="979"/>
      <c r="J59" s="822"/>
      <c r="K59" s="822"/>
      <c r="L59" s="822"/>
    </row>
    <row r="60" spans="1:15">
      <c r="B60" s="171" t="s">
        <v>1391</v>
      </c>
      <c r="I60" s="822"/>
      <c r="J60" s="822"/>
      <c r="K60" s="822"/>
      <c r="L60" s="822"/>
    </row>
    <row r="61" spans="1:15">
      <c r="I61" s="822"/>
      <c r="J61" s="822"/>
      <c r="K61" s="822"/>
      <c r="L61" s="822"/>
    </row>
    <row r="62" spans="1:15" ht="17" thickBot="1">
      <c r="L62" s="822"/>
    </row>
    <row r="63" spans="1:15" ht="17" thickBot="1">
      <c r="B63" s="699" t="s">
        <v>703</v>
      </c>
      <c r="C63" s="725" t="s">
        <v>134</v>
      </c>
      <c r="D63" s="966"/>
      <c r="E63" s="966"/>
      <c r="F63" s="966"/>
      <c r="G63" s="966"/>
      <c r="H63" s="968"/>
      <c r="I63" s="1086"/>
      <c r="J63" s="969"/>
      <c r="K63" s="969"/>
      <c r="L63" s="969"/>
      <c r="M63" s="969"/>
      <c r="N63" s="970"/>
    </row>
    <row r="64" spans="1:15">
      <c r="B64" s="972"/>
      <c r="C64" s="972"/>
      <c r="D64" s="975"/>
      <c r="E64" s="974"/>
      <c r="F64" s="1087"/>
      <c r="G64" s="1087"/>
      <c r="H64" s="975"/>
      <c r="I64" s="983"/>
      <c r="J64" s="976"/>
      <c r="K64" s="976"/>
      <c r="L64" s="976"/>
      <c r="M64" s="976"/>
      <c r="N64" s="972"/>
    </row>
    <row r="65" spans="2:14" ht="21">
      <c r="B65" s="980" t="s">
        <v>1390</v>
      </c>
      <c r="C65" s="972"/>
      <c r="F65" s="981"/>
      <c r="G65" s="981"/>
      <c r="H65" s="975"/>
      <c r="I65" s="976"/>
      <c r="J65" s="976"/>
      <c r="K65" s="976"/>
      <c r="L65" s="976"/>
      <c r="M65" s="976"/>
      <c r="N65" s="972"/>
    </row>
    <row r="66" spans="2:14">
      <c r="B66" s="972"/>
      <c r="C66" s="972"/>
      <c r="D66" s="1637" t="s">
        <v>1327</v>
      </c>
      <c r="E66" s="1637"/>
      <c r="F66" s="1588" t="s">
        <v>518</v>
      </c>
      <c r="G66" s="1588"/>
      <c r="H66" s="975"/>
      <c r="I66" s="976"/>
      <c r="J66" s="976"/>
      <c r="K66" s="976"/>
      <c r="L66" s="976"/>
      <c r="M66" s="976"/>
      <c r="N66" s="972"/>
    </row>
    <row r="67" spans="2:14">
      <c r="B67" s="1587" t="s">
        <v>315</v>
      </c>
      <c r="C67" s="1586" t="s">
        <v>316</v>
      </c>
      <c r="D67" s="1586" t="s">
        <v>871</v>
      </c>
      <c r="E67" s="1586" t="s">
        <v>872</v>
      </c>
      <c r="F67" s="1586" t="s">
        <v>871</v>
      </c>
      <c r="G67" s="1586" t="s">
        <v>872</v>
      </c>
      <c r="H67" s="1586" t="s">
        <v>873</v>
      </c>
      <c r="I67" s="1584" t="s">
        <v>874</v>
      </c>
      <c r="J67" s="1586" t="s">
        <v>875</v>
      </c>
      <c r="K67" s="1584" t="s">
        <v>317</v>
      </c>
      <c r="L67" s="1584" t="s">
        <v>876</v>
      </c>
      <c r="M67" s="1584" t="s">
        <v>877</v>
      </c>
      <c r="N67" s="1587" t="s">
        <v>878</v>
      </c>
    </row>
    <row r="68" spans="2:14">
      <c r="B68" s="1587"/>
      <c r="C68" s="1586"/>
      <c r="D68" s="1586"/>
      <c r="E68" s="1586"/>
      <c r="F68" s="1586"/>
      <c r="G68" s="1586"/>
      <c r="H68" s="1586"/>
      <c r="I68" s="1585"/>
      <c r="J68" s="1586"/>
      <c r="K68" s="1586"/>
      <c r="L68" s="1585"/>
      <c r="M68" s="1585"/>
      <c r="N68" s="1587"/>
    </row>
    <row r="69" spans="2:14">
      <c r="E69" s="1085"/>
      <c r="F69" s="171"/>
      <c r="G69" s="1085"/>
      <c r="I69" s="979"/>
      <c r="J69" s="822"/>
      <c r="K69" s="822"/>
      <c r="L69" s="822"/>
    </row>
    <row r="70" spans="2:14">
      <c r="B70" s="171" t="s">
        <v>1391</v>
      </c>
      <c r="I70" s="822"/>
      <c r="J70" s="822"/>
      <c r="K70" s="822"/>
      <c r="L70" s="822"/>
    </row>
    <row r="71" spans="2:14">
      <c r="I71" s="822"/>
      <c r="J71" s="822"/>
      <c r="K71" s="822"/>
      <c r="L71" s="822"/>
    </row>
    <row r="72" spans="2:14" ht="17" thickBot="1">
      <c r="L72" s="822"/>
    </row>
    <row r="73" spans="2:14" ht="17" thickBot="1">
      <c r="B73" s="699" t="s">
        <v>703</v>
      </c>
      <c r="C73" s="725" t="s">
        <v>790</v>
      </c>
      <c r="D73" s="966"/>
      <c r="E73" s="966"/>
      <c r="F73" s="966"/>
      <c r="G73" s="966"/>
      <c r="H73" s="968"/>
      <c r="I73" s="1086"/>
      <c r="J73" s="969"/>
      <c r="K73" s="969"/>
      <c r="L73" s="969"/>
      <c r="M73" s="969"/>
      <c r="N73" s="970"/>
    </row>
    <row r="74" spans="2:14">
      <c r="B74" s="972"/>
      <c r="C74" s="972"/>
      <c r="D74" s="975"/>
      <c r="E74" s="974"/>
      <c r="F74" s="1087"/>
      <c r="G74" s="1087"/>
      <c r="H74" s="975"/>
      <c r="I74" s="983"/>
      <c r="J74" s="976"/>
      <c r="K74" s="976"/>
      <c r="L74" s="976"/>
      <c r="M74" s="976"/>
      <c r="N74" s="972"/>
    </row>
    <row r="75" spans="2:14">
      <c r="B75" s="972"/>
      <c r="C75" s="972"/>
      <c r="D75" s="975"/>
      <c r="E75" s="974"/>
      <c r="F75" s="1087"/>
      <c r="G75" s="1087"/>
      <c r="H75" s="975"/>
      <c r="I75" s="983"/>
      <c r="J75" s="976"/>
      <c r="K75" s="976"/>
      <c r="L75" s="976"/>
      <c r="M75" s="976"/>
      <c r="N75" s="972"/>
    </row>
    <row r="76" spans="2:14">
      <c r="B76" s="972"/>
      <c r="C76" s="972"/>
      <c r="D76" s="975"/>
      <c r="E76" s="974"/>
      <c r="F76" s="974"/>
      <c r="G76" s="974"/>
      <c r="H76" s="975"/>
      <c r="I76" s="983"/>
      <c r="J76" s="976"/>
      <c r="K76" s="976"/>
      <c r="L76" s="652"/>
      <c r="M76" s="976"/>
      <c r="N76" s="972"/>
    </row>
    <row r="77" spans="2:14" s="964" customFormat="1" ht="21">
      <c r="B77" s="963" t="s">
        <v>729</v>
      </c>
    </row>
    <row r="78" spans="2:14" s="541" customFormat="1" ht="21">
      <c r="B78" s="980"/>
    </row>
    <row r="79" spans="2:14" ht="21">
      <c r="B79" s="980" t="s">
        <v>1227</v>
      </c>
      <c r="C79" s="972"/>
      <c r="F79" s="981"/>
      <c r="G79" s="981"/>
      <c r="H79" s="975"/>
      <c r="I79" s="976"/>
      <c r="J79" s="976"/>
      <c r="K79" s="976"/>
      <c r="L79" s="976"/>
      <c r="M79" s="976"/>
      <c r="N79" s="972"/>
    </row>
    <row r="80" spans="2:14">
      <c r="B80" s="972"/>
      <c r="C80" s="972"/>
      <c r="D80" s="1637" t="s">
        <v>1327</v>
      </c>
      <c r="E80" s="1637"/>
      <c r="F80" s="1588" t="s">
        <v>518</v>
      </c>
      <c r="G80" s="1588"/>
      <c r="H80" s="975"/>
      <c r="I80" s="976"/>
      <c r="J80" s="976"/>
      <c r="K80" s="976"/>
      <c r="L80" s="976"/>
      <c r="M80" s="976"/>
      <c r="N80" s="972"/>
    </row>
    <row r="81" spans="2:15">
      <c r="B81" s="1587" t="s">
        <v>315</v>
      </c>
      <c r="C81" s="1586" t="s">
        <v>316</v>
      </c>
      <c r="D81" s="1586" t="s">
        <v>871</v>
      </c>
      <c r="E81" s="1586" t="s">
        <v>872</v>
      </c>
      <c r="F81" s="1586" t="s">
        <v>871</v>
      </c>
      <c r="G81" s="1586" t="s">
        <v>872</v>
      </c>
      <c r="H81" s="1586" t="s">
        <v>873</v>
      </c>
      <c r="I81" s="1584" t="s">
        <v>874</v>
      </c>
      <c r="J81" s="1586" t="s">
        <v>875</v>
      </c>
      <c r="K81" s="1584" t="s">
        <v>317</v>
      </c>
      <c r="L81" s="1584" t="s">
        <v>876</v>
      </c>
      <c r="M81" s="1584" t="s">
        <v>877</v>
      </c>
      <c r="N81" s="1587" t="s">
        <v>878</v>
      </c>
    </row>
    <row r="82" spans="2:15">
      <c r="B82" s="1587"/>
      <c r="C82" s="1586"/>
      <c r="D82" s="1586"/>
      <c r="E82" s="1586"/>
      <c r="F82" s="1586"/>
      <c r="G82" s="1586"/>
      <c r="H82" s="1586"/>
      <c r="I82" s="1585"/>
      <c r="J82" s="1586"/>
      <c r="K82" s="1586"/>
      <c r="L82" s="1585"/>
      <c r="M82" s="1585"/>
      <c r="N82" s="1587"/>
    </row>
    <row r="83" spans="2:15">
      <c r="B83" s="546" t="s">
        <v>1388</v>
      </c>
      <c r="C83" s="171" t="s">
        <v>134</v>
      </c>
      <c r="D83" s="616"/>
      <c r="E83" s="1085"/>
      <c r="F83" s="1085">
        <v>197</v>
      </c>
      <c r="G83" s="1085">
        <v>7.5</v>
      </c>
      <c r="I83" s="979">
        <v>35000</v>
      </c>
      <c r="J83" s="822">
        <v>35000</v>
      </c>
      <c r="K83" s="822">
        <f>21%*I83</f>
        <v>7350</v>
      </c>
      <c r="L83" s="822">
        <f>SUM(I83:K83)</f>
        <v>77350</v>
      </c>
      <c r="O83" s="703" t="s">
        <v>1258</v>
      </c>
    </row>
    <row r="84" spans="2:15" ht="16" customHeight="1">
      <c r="B84" s="171" t="s">
        <v>1956</v>
      </c>
      <c r="C84" s="171" t="s">
        <v>134</v>
      </c>
      <c r="I84" s="822">
        <f>30000+_Ombouwkosten_bestel_personen</f>
        <v>40000</v>
      </c>
      <c r="J84" s="822"/>
      <c r="K84" s="822"/>
      <c r="L84" s="822"/>
    </row>
    <row r="85" spans="2:15">
      <c r="I85" s="822"/>
      <c r="J85" s="822"/>
      <c r="K85" s="822"/>
      <c r="L85" s="822">
        <f t="shared" ref="L85:L86" si="10">SUM(I85+J85+K85)</f>
        <v>0</v>
      </c>
    </row>
    <row r="86" spans="2:15">
      <c r="I86" s="822"/>
      <c r="J86" s="822"/>
      <c r="K86" s="822"/>
      <c r="L86" s="822">
        <f t="shared" si="10"/>
        <v>0</v>
      </c>
    </row>
    <row r="87" spans="2:15" ht="17" thickBot="1">
      <c r="L87" s="822"/>
    </row>
    <row r="88" spans="2:15" ht="17" thickBot="1">
      <c r="B88" s="699" t="s">
        <v>703</v>
      </c>
      <c r="C88" s="725" t="s">
        <v>134</v>
      </c>
      <c r="D88" s="1082">
        <f>gCO2_km_bestel_dies_groot</f>
        <v>224.25</v>
      </c>
      <c r="E88" s="1083">
        <f>verbr_die_bestel_groot</f>
        <v>8.6</v>
      </c>
      <c r="F88" s="966">
        <f>AVERAGE(F83:F86)</f>
        <v>197</v>
      </c>
      <c r="G88" s="967">
        <f>AVERAGE(G83:G86)</f>
        <v>7.5</v>
      </c>
      <c r="H88" s="968">
        <v>2140</v>
      </c>
      <c r="I88" s="1086">
        <f>AVERAGE(I83:I86)</f>
        <v>37500</v>
      </c>
      <c r="J88" s="969"/>
      <c r="K88" s="969">
        <f>AVERAGE(K83:K86)</f>
        <v>7350</v>
      </c>
      <c r="L88" s="969">
        <f>AVERAGE(L83:L86)</f>
        <v>25783.333333333332</v>
      </c>
      <c r="M88" s="969">
        <f>647/3</f>
        <v>215.66666666666666</v>
      </c>
      <c r="N88" s="970"/>
    </row>
    <row r="89" spans="2:15">
      <c r="B89" s="972"/>
      <c r="C89" s="972"/>
      <c r="D89" s="975"/>
      <c r="E89" s="974"/>
      <c r="F89" s="974"/>
      <c r="G89" s="974"/>
      <c r="H89" s="975"/>
      <c r="I89" s="983"/>
      <c r="J89" s="976"/>
      <c r="K89" s="976"/>
      <c r="L89" s="976"/>
      <c r="M89" s="976"/>
      <c r="N89" s="972"/>
    </row>
    <row r="90" spans="2:15" ht="21">
      <c r="B90" s="980" t="s">
        <v>1228</v>
      </c>
      <c r="C90" s="972"/>
      <c r="F90" s="981"/>
      <c r="G90" s="981"/>
      <c r="H90" s="975"/>
      <c r="I90" s="976"/>
      <c r="J90" s="976"/>
      <c r="K90" s="976"/>
      <c r="L90" s="976"/>
      <c r="M90" s="976"/>
      <c r="N90" s="972"/>
    </row>
    <row r="91" spans="2:15">
      <c r="B91" s="972"/>
      <c r="C91" s="972"/>
      <c r="D91" s="1637" t="s">
        <v>1327</v>
      </c>
      <c r="E91" s="1637"/>
      <c r="F91" s="1588" t="s">
        <v>518</v>
      </c>
      <c r="G91" s="1588"/>
      <c r="H91" s="975"/>
      <c r="I91" s="976"/>
      <c r="J91" s="976"/>
      <c r="K91" s="976"/>
      <c r="L91" s="976"/>
      <c r="M91" s="976"/>
      <c r="N91" s="972"/>
    </row>
    <row r="92" spans="2:15">
      <c r="B92" s="1587" t="s">
        <v>315</v>
      </c>
      <c r="C92" s="1586" t="s">
        <v>316</v>
      </c>
      <c r="D92" s="1586" t="s">
        <v>871</v>
      </c>
      <c r="E92" s="1586" t="s">
        <v>872</v>
      </c>
      <c r="F92" s="1586" t="s">
        <v>871</v>
      </c>
      <c r="G92" s="1586" t="s">
        <v>872</v>
      </c>
      <c r="H92" s="1586" t="s">
        <v>873</v>
      </c>
      <c r="I92" s="1584" t="s">
        <v>874</v>
      </c>
      <c r="J92" s="1586" t="s">
        <v>875</v>
      </c>
      <c r="K92" s="1584" t="s">
        <v>317</v>
      </c>
      <c r="L92" s="1584" t="s">
        <v>876</v>
      </c>
      <c r="M92" s="1584" t="s">
        <v>877</v>
      </c>
      <c r="N92" s="1587" t="s">
        <v>878</v>
      </c>
    </row>
    <row r="93" spans="2:15">
      <c r="B93" s="1587"/>
      <c r="C93" s="1586"/>
      <c r="D93" s="1586"/>
      <c r="E93" s="1586"/>
      <c r="F93" s="1586"/>
      <c r="G93" s="1586"/>
      <c r="H93" s="1586"/>
      <c r="I93" s="1585"/>
      <c r="J93" s="1586"/>
      <c r="K93" s="1586"/>
      <c r="L93" s="1585"/>
      <c r="M93" s="1585"/>
      <c r="N93" s="1587"/>
    </row>
    <row r="94" spans="2:15" ht="16" customHeight="1">
      <c r="I94" s="822"/>
      <c r="J94" s="822"/>
      <c r="K94" s="822"/>
      <c r="L94" s="822"/>
    </row>
    <row r="95" spans="2:15">
      <c r="B95" s="171" t="s">
        <v>1393</v>
      </c>
      <c r="I95" s="822"/>
      <c r="J95" s="822"/>
      <c r="K95" s="822"/>
      <c r="L95" s="822"/>
    </row>
    <row r="96" spans="2:15">
      <c r="I96" s="822"/>
      <c r="J96" s="822"/>
      <c r="K96" s="822"/>
      <c r="L96" s="822"/>
    </row>
    <row r="97" spans="2:14" ht="17" thickBot="1">
      <c r="L97" s="822"/>
    </row>
    <row r="98" spans="2:14" ht="17" thickBot="1">
      <c r="B98" s="699" t="s">
        <v>703</v>
      </c>
      <c r="C98" s="725" t="s">
        <v>134</v>
      </c>
      <c r="D98" s="966"/>
      <c r="E98" s="966"/>
      <c r="F98" s="966"/>
      <c r="G98" s="966"/>
      <c r="H98" s="968"/>
      <c r="I98" s="1086"/>
      <c r="J98" s="969"/>
      <c r="K98" s="969"/>
      <c r="L98" s="969"/>
      <c r="M98" s="969"/>
      <c r="N98" s="970"/>
    </row>
    <row r="99" spans="2:14">
      <c r="B99" s="652"/>
      <c r="E99" s="171" t="s">
        <v>834</v>
      </c>
      <c r="L99" s="652"/>
      <c r="M99" s="1088"/>
    </row>
    <row r="100" spans="2:14">
      <c r="B100" s="652"/>
      <c r="L100" s="652"/>
      <c r="M100" s="1088"/>
    </row>
    <row r="101" spans="2:14" ht="21">
      <c r="B101" s="980" t="s">
        <v>1385</v>
      </c>
      <c r="C101" s="972"/>
      <c r="F101" s="981"/>
      <c r="G101" s="981"/>
      <c r="H101" s="975"/>
      <c r="I101" s="976"/>
      <c r="J101" s="976"/>
      <c r="K101" s="976"/>
      <c r="L101" s="976"/>
      <c r="M101" s="976"/>
      <c r="N101" s="972"/>
    </row>
    <row r="102" spans="2:14">
      <c r="B102" s="972"/>
      <c r="C102" s="972"/>
      <c r="D102" s="1637" t="s">
        <v>1327</v>
      </c>
      <c r="E102" s="1637"/>
      <c r="F102" s="1588" t="s">
        <v>518</v>
      </c>
      <c r="G102" s="1588"/>
      <c r="H102" s="975"/>
      <c r="I102" s="976"/>
      <c r="J102" s="976"/>
      <c r="K102" s="976"/>
      <c r="L102" s="976"/>
      <c r="M102" s="976"/>
      <c r="N102" s="972"/>
    </row>
    <row r="103" spans="2:14">
      <c r="B103" s="1587" t="s">
        <v>315</v>
      </c>
      <c r="C103" s="1586" t="s">
        <v>316</v>
      </c>
      <c r="D103" s="1586" t="s">
        <v>871</v>
      </c>
      <c r="E103" s="1586" t="s">
        <v>872</v>
      </c>
      <c r="F103" s="1586" t="s">
        <v>871</v>
      </c>
      <c r="G103" s="1586" t="s">
        <v>872</v>
      </c>
      <c r="H103" s="1586" t="s">
        <v>873</v>
      </c>
      <c r="I103" s="1584" t="s">
        <v>874</v>
      </c>
      <c r="J103" s="1586" t="s">
        <v>875</v>
      </c>
      <c r="K103" s="1584" t="s">
        <v>317</v>
      </c>
      <c r="L103" s="1584" t="s">
        <v>876</v>
      </c>
      <c r="M103" s="1584" t="s">
        <v>877</v>
      </c>
      <c r="N103" s="1587" t="s">
        <v>878</v>
      </c>
    </row>
    <row r="104" spans="2:14">
      <c r="B104" s="1587"/>
      <c r="C104" s="1586"/>
      <c r="D104" s="1586"/>
      <c r="E104" s="1586"/>
      <c r="F104" s="1586"/>
      <c r="G104" s="1586"/>
      <c r="H104" s="1586"/>
      <c r="I104" s="1585"/>
      <c r="J104" s="1586"/>
      <c r="K104" s="1586"/>
      <c r="L104" s="1585"/>
      <c r="M104" s="1585"/>
      <c r="N104" s="1587"/>
    </row>
    <row r="105" spans="2:14" ht="16" customHeight="1">
      <c r="B105" s="171" t="s">
        <v>1387</v>
      </c>
      <c r="C105" s="171" t="s">
        <v>790</v>
      </c>
      <c r="F105" s="541">
        <v>239</v>
      </c>
      <c r="G105" s="541">
        <v>6.3</v>
      </c>
      <c r="I105" s="822">
        <v>39201</v>
      </c>
      <c r="J105" s="822"/>
      <c r="K105" s="822">
        <f t="shared" ref="K105:K107" si="11">21%*I105</f>
        <v>8232.2099999999991</v>
      </c>
      <c r="L105" s="822">
        <f t="shared" ref="L105:L107" si="12">SUM(I105+J105+K105)</f>
        <v>47433.21</v>
      </c>
    </row>
    <row r="106" spans="2:14">
      <c r="B106" s="171" t="s">
        <v>1386</v>
      </c>
      <c r="C106" s="171" t="s">
        <v>790</v>
      </c>
      <c r="F106" s="541">
        <v>239</v>
      </c>
      <c r="G106" s="541">
        <v>6.5</v>
      </c>
      <c r="I106" s="822"/>
      <c r="J106" s="822"/>
      <c r="K106" s="822">
        <f t="shared" si="11"/>
        <v>0</v>
      </c>
      <c r="L106" s="822">
        <f t="shared" si="12"/>
        <v>0</v>
      </c>
    </row>
    <row r="107" spans="2:14">
      <c r="I107" s="822"/>
      <c r="J107" s="822"/>
      <c r="K107" s="822">
        <f t="shared" si="11"/>
        <v>0</v>
      </c>
      <c r="L107" s="822">
        <f t="shared" si="12"/>
        <v>0</v>
      </c>
    </row>
    <row r="108" spans="2:14" ht="17" thickBot="1">
      <c r="L108" s="822"/>
    </row>
    <row r="109" spans="2:14" ht="17" thickBot="1">
      <c r="B109" s="699" t="s">
        <v>703</v>
      </c>
      <c r="C109" s="725" t="s">
        <v>790</v>
      </c>
      <c r="D109" s="1082">
        <f>F109*_fossiel_LCV!$F$186</f>
        <v>263.00610432852386</v>
      </c>
      <c r="E109" s="1083">
        <f>verbr_die_groot_taxibus</f>
        <v>8.6</v>
      </c>
      <c r="F109" s="966">
        <f>AVERAGE(F105:F108)</f>
        <v>239</v>
      </c>
      <c r="G109" s="967">
        <f>AVERAGE(G105:G108)</f>
        <v>6.4</v>
      </c>
      <c r="H109" s="968">
        <v>2140</v>
      </c>
      <c r="I109" s="1086">
        <f>AVERAGE(I105:I107)</f>
        <v>39201</v>
      </c>
      <c r="J109" s="969"/>
      <c r="K109" s="969">
        <f>AVERAGE(K105:K107)</f>
        <v>2744.0699999999997</v>
      </c>
      <c r="L109" s="969">
        <f>AVERAGE(L105:L107)</f>
        <v>15811.07</v>
      </c>
      <c r="M109" s="1089">
        <f>565/3</f>
        <v>188.33333333333334</v>
      </c>
      <c r="N109" s="970"/>
    </row>
    <row r="110" spans="2:14">
      <c r="B110" s="652"/>
      <c r="L110" s="652"/>
    </row>
    <row r="111" spans="2:14">
      <c r="B111" s="652"/>
      <c r="L111" s="652"/>
      <c r="M111" s="1088"/>
    </row>
    <row r="112" spans="2:14" s="964" customFormat="1" ht="21">
      <c r="B112" s="963" t="s">
        <v>714</v>
      </c>
    </row>
    <row r="113" spans="2:15">
      <c r="B113" s="652"/>
      <c r="L113" s="652"/>
      <c r="M113" s="1088"/>
    </row>
    <row r="114" spans="2:15" ht="21">
      <c r="B114" s="965" t="s">
        <v>759</v>
      </c>
      <c r="D114" s="1637" t="s">
        <v>1327</v>
      </c>
      <c r="E114" s="1637"/>
      <c r="F114" s="1588" t="s">
        <v>518</v>
      </c>
      <c r="G114" s="1588"/>
    </row>
    <row r="115" spans="2:15">
      <c r="B115" s="1587" t="s">
        <v>315</v>
      </c>
      <c r="C115" s="1586" t="s">
        <v>316</v>
      </c>
      <c r="D115" s="1586" t="s">
        <v>871</v>
      </c>
      <c r="E115" s="1586" t="s">
        <v>872</v>
      </c>
      <c r="F115" s="1586" t="s">
        <v>871</v>
      </c>
      <c r="G115" s="1586" t="s">
        <v>872</v>
      </c>
      <c r="H115" s="1586" t="s">
        <v>873</v>
      </c>
      <c r="I115" s="1584" t="s">
        <v>1394</v>
      </c>
      <c r="J115" s="1586" t="s">
        <v>875</v>
      </c>
      <c r="K115" s="1584" t="s">
        <v>317</v>
      </c>
      <c r="L115" s="1584" t="s">
        <v>876</v>
      </c>
      <c r="M115" s="1584" t="s">
        <v>877</v>
      </c>
      <c r="N115" s="1587" t="s">
        <v>878</v>
      </c>
    </row>
    <row r="116" spans="2:15" ht="32" customHeight="1">
      <c r="B116" s="1587"/>
      <c r="C116" s="1586"/>
      <c r="D116" s="1586"/>
      <c r="E116" s="1586"/>
      <c r="F116" s="1586"/>
      <c r="G116" s="1586"/>
      <c r="H116" s="1586"/>
      <c r="I116" s="1585"/>
      <c r="J116" s="1586"/>
      <c r="K116" s="1586"/>
      <c r="L116" s="1585"/>
      <c r="M116" s="1585"/>
      <c r="N116" s="1587"/>
      <c r="O116" s="1090" t="s">
        <v>760</v>
      </c>
    </row>
    <row r="117" spans="2:15">
      <c r="B117" s="171" t="s">
        <v>761</v>
      </c>
      <c r="C117" s="171" t="s">
        <v>134</v>
      </c>
      <c r="D117" s="742">
        <f>189*_fossiel_LCV!$F$185</f>
        <v>241.50670559371682</v>
      </c>
      <c r="E117" s="171">
        <v>9.5</v>
      </c>
      <c r="F117" s="171"/>
      <c r="G117" s="171"/>
      <c r="H117" s="822">
        <v>2275</v>
      </c>
      <c r="I117" s="728">
        <f>33000+_Ombouwkosten_rolstoel_groot</f>
        <v>50000</v>
      </c>
      <c r="J117" s="822">
        <v>35882</v>
      </c>
      <c r="K117" s="822">
        <v>6491</v>
      </c>
      <c r="L117" s="822">
        <f>SUM(I117+J117+K117)</f>
        <v>92373</v>
      </c>
      <c r="O117" s="822">
        <f>_Ombouwkosten_rolstoel_groot</f>
        <v>17000</v>
      </c>
    </row>
    <row r="118" spans="2:15">
      <c r="B118" s="171" t="s">
        <v>762</v>
      </c>
      <c r="C118" s="171" t="s">
        <v>701</v>
      </c>
      <c r="D118" s="742">
        <f>179*_fossiel_LCV!$F$185</f>
        <v>228.72857302262068</v>
      </c>
      <c r="E118" s="813">
        <v>8</v>
      </c>
      <c r="F118" s="171"/>
      <c r="G118" s="813"/>
      <c r="H118" s="822">
        <v>2263</v>
      </c>
      <c r="I118" s="728">
        <f>30000+_Ombouwkosten_rolstoel_groot</f>
        <v>47000</v>
      </c>
    </row>
    <row r="119" spans="2:15">
      <c r="B119" s="171" t="s">
        <v>839</v>
      </c>
      <c r="C119" s="171" t="s">
        <v>701</v>
      </c>
      <c r="D119" s="742">
        <f>176*_fossiel_LCV!$F$185</f>
        <v>224.89513325129184</v>
      </c>
      <c r="E119" s="171">
        <v>10.1</v>
      </c>
      <c r="F119" s="171"/>
      <c r="G119" s="171"/>
      <c r="H119" s="822">
        <v>1935</v>
      </c>
    </row>
    <row r="120" spans="2:15" ht="17" thickBot="1"/>
    <row r="121" spans="2:15" s="652" customFormat="1" ht="17" thickBot="1">
      <c r="B121" s="699" t="s">
        <v>764</v>
      </c>
      <c r="C121" s="725" t="s">
        <v>134</v>
      </c>
      <c r="D121" s="1082">
        <f>AVERAGE(D117:D119)</f>
        <v>231.7101372892098</v>
      </c>
      <c r="E121" s="1083">
        <f>AVERAGE(E117:E119)</f>
        <v>9.2000000000000011</v>
      </c>
      <c r="F121" s="966"/>
      <c r="G121" s="967"/>
      <c r="H121" s="1091">
        <f t="shared" ref="H121:L121" si="13">AVERAGE(H117:H119)</f>
        <v>2157.6666666666665</v>
      </c>
      <c r="I121" s="1091">
        <f t="shared" si="13"/>
        <v>48500</v>
      </c>
      <c r="J121" s="1091">
        <f t="shared" si="13"/>
        <v>35882</v>
      </c>
      <c r="K121" s="1091">
        <f t="shared" si="13"/>
        <v>6491</v>
      </c>
      <c r="L121" s="1091">
        <f t="shared" si="13"/>
        <v>92373</v>
      </c>
      <c r="M121" s="1091">
        <f>395/3</f>
        <v>131.66666666666666</v>
      </c>
      <c r="N121" s="725"/>
      <c r="O121" s="1092">
        <f>AVERAGE(O117:O119)</f>
        <v>17000</v>
      </c>
    </row>
    <row r="122" spans="2:15" ht="17" customHeight="1">
      <c r="B122" s="546"/>
      <c r="C122" s="546"/>
      <c r="D122" s="546"/>
      <c r="E122" s="546"/>
      <c r="F122" s="617"/>
      <c r="G122" s="617"/>
      <c r="H122" s="1093"/>
      <c r="I122" s="1093"/>
      <c r="J122" s="1093"/>
      <c r="K122" s="1093"/>
      <c r="L122" s="1093"/>
      <c r="M122" s="1093"/>
      <c r="N122" s="546"/>
      <c r="O122" s="1093"/>
    </row>
    <row r="123" spans="2:15" ht="17" customHeight="1">
      <c r="B123" s="980" t="s">
        <v>820</v>
      </c>
      <c r="C123" s="972"/>
      <c r="F123" s="981"/>
      <c r="G123" s="981"/>
      <c r="H123" s="975"/>
      <c r="I123" s="976"/>
      <c r="J123" s="976"/>
      <c r="K123" s="976"/>
      <c r="L123" s="976"/>
      <c r="M123" s="976"/>
      <c r="N123" s="972"/>
      <c r="O123" s="1093"/>
    </row>
    <row r="124" spans="2:15" ht="17" customHeight="1">
      <c r="B124" s="972"/>
      <c r="C124" s="972"/>
      <c r="D124" s="1637" t="s">
        <v>1327</v>
      </c>
      <c r="E124" s="1637"/>
      <c r="F124" s="1588" t="s">
        <v>518</v>
      </c>
      <c r="G124" s="1588"/>
      <c r="H124" s="975"/>
      <c r="I124" s="976"/>
      <c r="J124" s="976"/>
      <c r="K124" s="976"/>
      <c r="L124" s="976"/>
      <c r="M124" s="976"/>
      <c r="N124" s="972"/>
      <c r="O124" s="1093"/>
    </row>
    <row r="125" spans="2:15" ht="17" customHeight="1">
      <c r="B125" s="1587" t="s">
        <v>315</v>
      </c>
      <c r="C125" s="1586" t="s">
        <v>316</v>
      </c>
      <c r="D125" s="1586" t="s">
        <v>871</v>
      </c>
      <c r="E125" s="1586" t="s">
        <v>872</v>
      </c>
      <c r="F125" s="1586" t="s">
        <v>871</v>
      </c>
      <c r="G125" s="1586" t="s">
        <v>872</v>
      </c>
      <c r="H125" s="1586" t="s">
        <v>873</v>
      </c>
      <c r="I125" s="1584" t="s">
        <v>1395</v>
      </c>
      <c r="J125" s="1586" t="s">
        <v>875</v>
      </c>
      <c r="K125" s="1584" t="s">
        <v>317</v>
      </c>
      <c r="L125" s="1584" t="s">
        <v>876</v>
      </c>
      <c r="M125" s="1584" t="s">
        <v>877</v>
      </c>
      <c r="N125" s="1587" t="s">
        <v>878</v>
      </c>
      <c r="O125" s="1636" t="s">
        <v>760</v>
      </c>
    </row>
    <row r="126" spans="2:15" ht="32" customHeight="1">
      <c r="B126" s="1587"/>
      <c r="C126" s="1586"/>
      <c r="D126" s="1586"/>
      <c r="E126" s="1586"/>
      <c r="F126" s="1586"/>
      <c r="G126" s="1586"/>
      <c r="H126" s="1586"/>
      <c r="I126" s="1585"/>
      <c r="J126" s="1586"/>
      <c r="K126" s="1586"/>
      <c r="L126" s="1585"/>
      <c r="M126" s="1585"/>
      <c r="N126" s="1587"/>
      <c r="O126" s="1557"/>
    </row>
    <row r="127" spans="2:15" ht="17" customHeight="1">
      <c r="E127" s="541"/>
      <c r="I127" s="822"/>
      <c r="J127" s="822"/>
      <c r="K127" s="822"/>
      <c r="L127" s="822"/>
      <c r="O127" s="822"/>
    </row>
    <row r="128" spans="2:15" ht="17" customHeight="1">
      <c r="B128" s="171" t="s">
        <v>1393</v>
      </c>
      <c r="I128" s="822"/>
      <c r="J128" s="822"/>
      <c r="K128" s="822"/>
      <c r="L128" s="822"/>
    </row>
    <row r="129" spans="2:15" ht="17" thickBot="1">
      <c r="L129" s="822"/>
    </row>
    <row r="130" spans="2:15" ht="17" thickBot="1">
      <c r="B130" s="699" t="s">
        <v>703</v>
      </c>
      <c r="C130" s="725" t="s">
        <v>163</v>
      </c>
      <c r="D130" s="966"/>
      <c r="E130" s="966"/>
      <c r="F130" s="966"/>
      <c r="G130" s="966"/>
      <c r="H130" s="968"/>
      <c r="I130" s="1086"/>
      <c r="J130" s="969"/>
      <c r="K130" s="969"/>
      <c r="L130" s="969"/>
      <c r="M130" s="969"/>
      <c r="N130" s="970"/>
      <c r="O130" s="1094"/>
    </row>
    <row r="131" spans="2:15" ht="17" customHeight="1">
      <c r="B131" s="546"/>
      <c r="C131" s="546"/>
      <c r="D131" s="546"/>
      <c r="H131" s="1093"/>
      <c r="I131" s="1093"/>
      <c r="J131" s="1093"/>
      <c r="K131" s="1093"/>
      <c r="L131" s="652"/>
      <c r="N131" s="546"/>
      <c r="O131" s="1093"/>
    </row>
    <row r="133" spans="2:15" ht="17" customHeight="1">
      <c r="B133" s="980" t="s">
        <v>1396</v>
      </c>
      <c r="C133" s="972"/>
      <c r="F133" s="981"/>
      <c r="G133" s="981"/>
      <c r="H133" s="975"/>
      <c r="I133" s="976"/>
      <c r="J133" s="976"/>
      <c r="K133" s="976"/>
      <c r="L133" s="976"/>
      <c r="M133" s="976"/>
      <c r="N133" s="972"/>
      <c r="O133" s="1093"/>
    </row>
    <row r="134" spans="2:15" ht="17" customHeight="1">
      <c r="B134" s="972"/>
      <c r="C134" s="972"/>
      <c r="D134" s="1637" t="s">
        <v>1327</v>
      </c>
      <c r="E134" s="1637"/>
      <c r="F134" s="1588" t="s">
        <v>518</v>
      </c>
      <c r="G134" s="1588"/>
      <c r="H134" s="975"/>
      <c r="I134" s="976"/>
      <c r="J134" s="976"/>
      <c r="K134" s="976"/>
      <c r="L134" s="976"/>
      <c r="M134" s="976"/>
      <c r="N134" s="972"/>
      <c r="O134" s="1093"/>
    </row>
    <row r="135" spans="2:15" ht="17" customHeight="1">
      <c r="B135" s="1587" t="s">
        <v>315</v>
      </c>
      <c r="C135" s="1586" t="s">
        <v>316</v>
      </c>
      <c r="D135" s="1586" t="s">
        <v>871</v>
      </c>
      <c r="E135" s="1586" t="s">
        <v>872</v>
      </c>
      <c r="F135" s="1586" t="s">
        <v>871</v>
      </c>
      <c r="G135" s="1586" t="s">
        <v>872</v>
      </c>
      <c r="H135" s="1586" t="s">
        <v>873</v>
      </c>
      <c r="I135" s="1584" t="s">
        <v>1395</v>
      </c>
      <c r="J135" s="1586" t="s">
        <v>875</v>
      </c>
      <c r="K135" s="1584" t="s">
        <v>317</v>
      </c>
      <c r="L135" s="1584" t="s">
        <v>876</v>
      </c>
      <c r="M135" s="1584" t="s">
        <v>877</v>
      </c>
      <c r="N135" s="1587" t="s">
        <v>878</v>
      </c>
      <c r="O135" s="1636" t="s">
        <v>760</v>
      </c>
    </row>
    <row r="136" spans="2:15" ht="32" customHeight="1">
      <c r="B136" s="1587"/>
      <c r="C136" s="1586"/>
      <c r="D136" s="1586"/>
      <c r="E136" s="1586"/>
      <c r="F136" s="1586"/>
      <c r="G136" s="1586"/>
      <c r="H136" s="1586"/>
      <c r="I136" s="1585"/>
      <c r="J136" s="1586"/>
      <c r="K136" s="1586"/>
      <c r="L136" s="1585"/>
      <c r="M136" s="1585"/>
      <c r="N136" s="1587"/>
      <c r="O136" s="1557"/>
    </row>
    <row r="137" spans="2:15" ht="17" customHeight="1">
      <c r="B137" s="171" t="s">
        <v>1387</v>
      </c>
      <c r="C137" s="171" t="s">
        <v>790</v>
      </c>
      <c r="E137" s="541"/>
      <c r="F137" s="541">
        <v>239</v>
      </c>
      <c r="G137" s="541">
        <v>6.3</v>
      </c>
      <c r="I137" s="822">
        <f>48546+_Ombouwkosten_rolstoel_groot</f>
        <v>65546</v>
      </c>
      <c r="J137" s="822"/>
      <c r="K137" s="822">
        <f>21%*I137</f>
        <v>13764.66</v>
      </c>
      <c r="L137" s="822">
        <f>SUM(I137+J137+K137)</f>
        <v>79310.66</v>
      </c>
      <c r="O137" s="822">
        <f>_Ombouwkosten_rolstoel_groot</f>
        <v>17000</v>
      </c>
    </row>
    <row r="138" spans="2:15" ht="17" customHeight="1">
      <c r="B138" s="171" t="s">
        <v>1386</v>
      </c>
      <c r="C138" s="171" t="s">
        <v>790</v>
      </c>
      <c r="F138" s="541">
        <v>239</v>
      </c>
      <c r="G138" s="541">
        <v>6.5</v>
      </c>
      <c r="I138" s="822"/>
      <c r="J138" s="822"/>
      <c r="K138" s="822">
        <f t="shared" ref="K138" si="14">21%*I138</f>
        <v>0</v>
      </c>
      <c r="L138" s="822">
        <f t="shared" ref="L138" si="15">SUM(I138+J138+K138)</f>
        <v>0</v>
      </c>
    </row>
    <row r="139" spans="2:15" ht="17" thickBot="1">
      <c r="L139" s="822"/>
    </row>
    <row r="140" spans="2:15" ht="17" thickBot="1">
      <c r="B140" s="699" t="s">
        <v>703</v>
      </c>
      <c r="C140" s="725" t="s">
        <v>790</v>
      </c>
      <c r="D140" s="1082">
        <f>F140*_fossiel_LCV!$F$186</f>
        <v>263.00610432852386</v>
      </c>
      <c r="E140" s="1083">
        <f>verbr_die_rolstoelbus</f>
        <v>9.2000000000000011</v>
      </c>
      <c r="F140" s="966">
        <f>AVERAGE(F138:F139)</f>
        <v>239</v>
      </c>
      <c r="G140" s="966">
        <f>AVERAGE(G138:G139)</f>
        <v>6.5</v>
      </c>
      <c r="H140" s="968"/>
      <c r="I140" s="1086">
        <f>AVERAGE(I137:I138)</f>
        <v>65546</v>
      </c>
      <c r="J140" s="969"/>
      <c r="K140" s="969">
        <f>AVERAGE(K137:K138)</f>
        <v>6882.33</v>
      </c>
      <c r="L140" s="969">
        <f>AVERAGE(L137:L138)</f>
        <v>39655.33</v>
      </c>
      <c r="M140" s="1089">
        <f>604/3</f>
        <v>201.33333333333334</v>
      </c>
      <c r="N140" s="970"/>
      <c r="O140" s="1094">
        <f>AVERAGE(O137:O138)</f>
        <v>17000</v>
      </c>
    </row>
    <row r="147" spans="1:17">
      <c r="A147" s="984" t="s">
        <v>399</v>
      </c>
      <c r="B147" s="546" t="s">
        <v>1320</v>
      </c>
      <c r="C147" s="546"/>
      <c r="D147" s="546"/>
      <c r="E147" s="546"/>
      <c r="F147" s="617"/>
      <c r="G147" s="617"/>
      <c r="H147" s="546"/>
      <c r="I147" s="686"/>
      <c r="J147" s="686"/>
      <c r="K147" s="985"/>
      <c r="L147" s="985"/>
      <c r="M147" s="986"/>
      <c r="N147" s="986"/>
      <c r="O147" s="986"/>
      <c r="P147" s="986"/>
      <c r="Q147" s="986"/>
    </row>
    <row r="148" spans="1:17">
      <c r="B148" s="703" t="s">
        <v>704</v>
      </c>
    </row>
    <row r="149" spans="1:17">
      <c r="A149" s="984"/>
      <c r="B149" s="703" t="s">
        <v>702</v>
      </c>
    </row>
    <row r="150" spans="1:17">
      <c r="A150" s="984"/>
      <c r="B150" s="171" t="s">
        <v>770</v>
      </c>
    </row>
    <row r="151" spans="1:17">
      <c r="A151" s="984"/>
    </row>
    <row r="152" spans="1:17">
      <c r="A152" s="984" t="s">
        <v>400</v>
      </c>
      <c r="B152" s="703" t="s">
        <v>765</v>
      </c>
    </row>
    <row r="153" spans="1:17">
      <c r="A153" s="984"/>
      <c r="B153" s="703" t="s">
        <v>832</v>
      </c>
    </row>
    <row r="154" spans="1:17">
      <c r="A154" s="984"/>
      <c r="B154" s="703" t="s">
        <v>833</v>
      </c>
    </row>
    <row r="155" spans="1:17">
      <c r="A155" s="984"/>
      <c r="B155" s="703"/>
    </row>
    <row r="156" spans="1:17">
      <c r="A156" s="984" t="s">
        <v>404</v>
      </c>
      <c r="B156" s="703" t="s">
        <v>766</v>
      </c>
    </row>
    <row r="157" spans="1:17">
      <c r="B157" s="703" t="s">
        <v>768</v>
      </c>
    </row>
    <row r="159" spans="1:17">
      <c r="B159" s="171" t="s">
        <v>767</v>
      </c>
    </row>
  </sheetData>
  <sheetProtection algorithmName="SHA-512" hashValue="L+cQJnxgKzBHXFs/RVgEafJAEqVxuD4jZ0GICXpOkdHVbFx7POr8G1X65UZavX1ZCxUNG7e0ZCnP6XBpZ8V8jw==" saltValue="zcvmq3+Ywv6g7HmhyLxw2Q==" spinCount="100000" sheet="1" objects="1" scenarios="1"/>
  <mergeCells count="184">
    <mergeCell ref="O135:O136"/>
    <mergeCell ref="L67:L68"/>
    <mergeCell ref="M67:M68"/>
    <mergeCell ref="N67:N68"/>
    <mergeCell ref="D134:E134"/>
    <mergeCell ref="F134:G134"/>
    <mergeCell ref="B135:B136"/>
    <mergeCell ref="C135:C136"/>
    <mergeCell ref="D135:D136"/>
    <mergeCell ref="E135:E136"/>
    <mergeCell ref="F135:F136"/>
    <mergeCell ref="G135:G136"/>
    <mergeCell ref="H135:H136"/>
    <mergeCell ref="I135:I136"/>
    <mergeCell ref="J135:J136"/>
    <mergeCell ref="K135:K136"/>
    <mergeCell ref="L135:L136"/>
    <mergeCell ref="M135:M136"/>
    <mergeCell ref="N135:N136"/>
    <mergeCell ref="D80:E80"/>
    <mergeCell ref="D91:E91"/>
    <mergeCell ref="D114:E114"/>
    <mergeCell ref="D124:E124"/>
    <mergeCell ref="I103:I104"/>
    <mergeCell ref="D66:E66"/>
    <mergeCell ref="F66:G66"/>
    <mergeCell ref="B67:B68"/>
    <mergeCell ref="C67:C68"/>
    <mergeCell ref="D67:D68"/>
    <mergeCell ref="E67:E68"/>
    <mergeCell ref="F67:F68"/>
    <mergeCell ref="G67:G68"/>
    <mergeCell ref="H67:H68"/>
    <mergeCell ref="L57:L58"/>
    <mergeCell ref="D33:E33"/>
    <mergeCell ref="F33:G33"/>
    <mergeCell ref="B34:B35"/>
    <mergeCell ref="C34:C35"/>
    <mergeCell ref="D34:D35"/>
    <mergeCell ref="E34:E35"/>
    <mergeCell ref="F34:F35"/>
    <mergeCell ref="G34:G35"/>
    <mergeCell ref="H34:H35"/>
    <mergeCell ref="B57:B58"/>
    <mergeCell ref="C57:C58"/>
    <mergeCell ref="D57:D58"/>
    <mergeCell ref="F124:G124"/>
    <mergeCell ref="F125:F126"/>
    <mergeCell ref="G125:G126"/>
    <mergeCell ref="F80:G80"/>
    <mergeCell ref="F81:F82"/>
    <mergeCell ref="G81:G82"/>
    <mergeCell ref="F91:G91"/>
    <mergeCell ref="F92:F93"/>
    <mergeCell ref="G92:G93"/>
    <mergeCell ref="F102:G102"/>
    <mergeCell ref="F103:F104"/>
    <mergeCell ref="G103:G104"/>
    <mergeCell ref="D8:E8"/>
    <mergeCell ref="D21:E21"/>
    <mergeCell ref="D46:E46"/>
    <mergeCell ref="D56:E56"/>
    <mergeCell ref="O9:O10"/>
    <mergeCell ref="K9:K10"/>
    <mergeCell ref="L9:L10"/>
    <mergeCell ref="M9:M10"/>
    <mergeCell ref="N9:N10"/>
    <mergeCell ref="L47:L48"/>
    <mergeCell ref="M47:M48"/>
    <mergeCell ref="N22:N23"/>
    <mergeCell ref="N47:N48"/>
    <mergeCell ref="K22:K23"/>
    <mergeCell ref="L22:L23"/>
    <mergeCell ref="M22:M23"/>
    <mergeCell ref="K47:K48"/>
    <mergeCell ref="I34:I35"/>
    <mergeCell ref="J34:J35"/>
    <mergeCell ref="K34:K35"/>
    <mergeCell ref="L34:L35"/>
    <mergeCell ref="M34:M35"/>
    <mergeCell ref="N34:N35"/>
    <mergeCell ref="J9:J10"/>
    <mergeCell ref="I9:I10"/>
    <mergeCell ref="I22:I23"/>
    <mergeCell ref="J22:J23"/>
    <mergeCell ref="F56:G56"/>
    <mergeCell ref="F8:G8"/>
    <mergeCell ref="F21:G21"/>
    <mergeCell ref="F46:G46"/>
    <mergeCell ref="F9:F10"/>
    <mergeCell ref="G9:G10"/>
    <mergeCell ref="F22:F23"/>
    <mergeCell ref="G22:G23"/>
    <mergeCell ref="F47:F48"/>
    <mergeCell ref="G47:G48"/>
    <mergeCell ref="I47:I48"/>
    <mergeCell ref="J47:J48"/>
    <mergeCell ref="B9:B10"/>
    <mergeCell ref="C9:C10"/>
    <mergeCell ref="D9:D10"/>
    <mergeCell ref="E9:E10"/>
    <mergeCell ref="H9:H10"/>
    <mergeCell ref="B47:B48"/>
    <mergeCell ref="C47:C48"/>
    <mergeCell ref="D47:D48"/>
    <mergeCell ref="E47:E48"/>
    <mergeCell ref="H47:H48"/>
    <mergeCell ref="B22:B23"/>
    <mergeCell ref="C22:C23"/>
    <mergeCell ref="D22:D23"/>
    <mergeCell ref="E22:E23"/>
    <mergeCell ref="H22:H23"/>
    <mergeCell ref="E115:E116"/>
    <mergeCell ref="H115:H116"/>
    <mergeCell ref="H92:H93"/>
    <mergeCell ref="E57:E58"/>
    <mergeCell ref="H57:H58"/>
    <mergeCell ref="F57:F58"/>
    <mergeCell ref="G57:G58"/>
    <mergeCell ref="M103:M104"/>
    <mergeCell ref="N103:N104"/>
    <mergeCell ref="I67:I68"/>
    <mergeCell ref="J67:J68"/>
    <mergeCell ref="K67:K68"/>
    <mergeCell ref="L81:L82"/>
    <mergeCell ref="M57:M58"/>
    <mergeCell ref="M81:M82"/>
    <mergeCell ref="N81:N82"/>
    <mergeCell ref="I92:I93"/>
    <mergeCell ref="J92:J93"/>
    <mergeCell ref="K92:K93"/>
    <mergeCell ref="L92:L93"/>
    <mergeCell ref="M92:M93"/>
    <mergeCell ref="N92:N93"/>
    <mergeCell ref="M115:M116"/>
    <mergeCell ref="N115:N116"/>
    <mergeCell ref="K81:K82"/>
    <mergeCell ref="L115:L116"/>
    <mergeCell ref="F114:G114"/>
    <mergeCell ref="F115:F116"/>
    <mergeCell ref="G115:G116"/>
    <mergeCell ref="D102:E102"/>
    <mergeCell ref="B103:B104"/>
    <mergeCell ref="C103:C104"/>
    <mergeCell ref="D103:D104"/>
    <mergeCell ref="E103:E104"/>
    <mergeCell ref="H103:H104"/>
    <mergeCell ref="J103:J104"/>
    <mergeCell ref="K103:K104"/>
    <mergeCell ref="L103:L104"/>
    <mergeCell ref="I115:I116"/>
    <mergeCell ref="J115:J116"/>
    <mergeCell ref="K115:K116"/>
    <mergeCell ref="B92:B93"/>
    <mergeCell ref="C92:C93"/>
    <mergeCell ref="D92:D93"/>
    <mergeCell ref="E92:E93"/>
    <mergeCell ref="B115:B116"/>
    <mergeCell ref="C115:C116"/>
    <mergeCell ref="D115:D116"/>
    <mergeCell ref="O47:O48"/>
    <mergeCell ref="B81:B82"/>
    <mergeCell ref="C81:C82"/>
    <mergeCell ref="D81:D82"/>
    <mergeCell ref="E81:E82"/>
    <mergeCell ref="H81:H82"/>
    <mergeCell ref="O125:O126"/>
    <mergeCell ref="N57:N58"/>
    <mergeCell ref="B125:B126"/>
    <mergeCell ref="C125:C126"/>
    <mergeCell ref="D125:D126"/>
    <mergeCell ref="E125:E126"/>
    <mergeCell ref="H125:H126"/>
    <mergeCell ref="I125:I126"/>
    <mergeCell ref="J125:J126"/>
    <mergeCell ref="K125:K126"/>
    <mergeCell ref="L125:L126"/>
    <mergeCell ref="M125:M126"/>
    <mergeCell ref="N125:N126"/>
    <mergeCell ref="I57:I58"/>
    <mergeCell ref="J57:J58"/>
    <mergeCell ref="K57:K58"/>
    <mergeCell ref="I81:I82"/>
    <mergeCell ref="J81:J82"/>
  </mergeCells>
  <hyperlinks>
    <hyperlink ref="C54" r:id="rId1" display="https://www.cdn.renault.com/content/dam/Renault/NL/prijslijst/kangoo.pdf" xr:uid="{39F75EBB-0D97-E846-A6CE-59826646B5BE}"/>
    <hyperlink ref="B152" r:id="rId2" xr:uid="{554C0288-662B-D649-835B-A82BDF4D0D02}"/>
    <hyperlink ref="B148" r:id="rId3" xr:uid="{BFE4A2A8-FF91-7140-8F91-6E55454B37AA}"/>
    <hyperlink ref="B156" r:id="rId4" xr:uid="{6A53285A-A579-CE43-8575-6B3A53153B5C}"/>
    <hyperlink ref="B149" r:id="rId5" xr:uid="{1745B291-C0FD-AF48-981C-0BDADC0F16B5}"/>
    <hyperlink ref="B157" r:id="rId6" xr:uid="{327265E8-6160-114A-849D-B5D6B57951AF}"/>
    <hyperlink ref="C99" r:id="rId7" display="https://www.autowereld.nl/renault/kangoo/l1-comfort-tce-115-edc-eu6-25411343/details.html" xr:uid="{4787CF47-549F-7B4A-A85E-B76652F0064F}"/>
    <hyperlink ref="B153" r:id="rId8" xr:uid="{6B9CC835-51CF-0046-98F4-48A966B40FBB}"/>
    <hyperlink ref="O25" r:id="rId9" xr:uid="{B087EFA6-882F-9E42-82CB-4D8FE2FFB318}"/>
    <hyperlink ref="O37" r:id="rId10" xr:uid="{AE721626-3C60-E64F-B794-AA0481F3C41F}"/>
    <hyperlink ref="C110" r:id="rId11" display="https://www.autowereld.nl/renault/kangoo/l1-comfort-tce-115-edc-eu6-25411343/details.html" xr:uid="{655135B2-B670-FE41-BAB4-8CCC03FF83B4}"/>
    <hyperlink ref="O51" r:id="rId12" xr:uid="{2F7647FB-CD14-6447-858B-466C5E5EB30B}"/>
    <hyperlink ref="O83" r:id="rId13" xr:uid="{87F1836F-BB1F-E043-A2EC-B9E7FC83CA87}"/>
  </hyperlinks>
  <pageMargins left="0.7" right="0.7" top="0.75" bottom="0.75" header="0.3" footer="0.3"/>
  <drawing r:id="rId14"/>
  <legacyDrawing r:id="rId1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DC773-7821-3348-921A-C3B0F572A1BE}">
  <sheetPr codeName="Sheet15">
    <tabColor theme="4"/>
  </sheetPr>
  <dimension ref="A1:AQ23"/>
  <sheetViews>
    <sheetView zoomScale="85" zoomScaleNormal="85" workbookViewId="0">
      <selection sqref="A1:XFD1048576"/>
    </sheetView>
  </sheetViews>
  <sheetFormatPr baseColWidth="10" defaultRowHeight="16"/>
  <cols>
    <col min="1" max="1" width="10.83203125" style="1045"/>
    <col min="2" max="2" width="24.6640625" style="1045" customWidth="1"/>
    <col min="3" max="3" width="10.83203125" style="1045"/>
    <col min="4" max="4" width="14.33203125" style="1045" customWidth="1"/>
    <col min="5" max="29" width="10.83203125" style="1045"/>
    <col min="30" max="30" width="13" style="1045" customWidth="1"/>
    <col min="31" max="32" width="10.83203125" style="1045"/>
    <col min="33" max="33" width="13.5" style="1045" customWidth="1"/>
    <col min="34" max="35" width="14.83203125" style="1045" customWidth="1"/>
    <col min="36" max="36" width="10.83203125" style="1045"/>
    <col min="37" max="37" width="12.1640625" style="1045" customWidth="1"/>
    <col min="38" max="39" width="15.33203125" style="1045" customWidth="1"/>
    <col min="40" max="41" width="10.83203125" style="1045"/>
    <col min="42" max="42" width="12" style="1045" bestFit="1" customWidth="1"/>
    <col min="43" max="43" width="14.33203125" style="1045" customWidth="1"/>
    <col min="44" max="16384" width="10.83203125" style="1045"/>
  </cols>
  <sheetData>
    <row r="1" spans="1:43" ht="17" thickBot="1">
      <c r="A1" s="1095"/>
      <c r="B1" s="1609" t="s">
        <v>1054</v>
      </c>
      <c r="C1" s="1625"/>
      <c r="D1" s="1625"/>
      <c r="E1" s="1625"/>
      <c r="F1" s="1626"/>
      <c r="G1" s="1610" t="s">
        <v>1055</v>
      </c>
      <c r="H1" s="1625"/>
      <c r="I1" s="1625"/>
      <c r="J1" s="1625"/>
      <c r="K1" s="1625"/>
      <c r="L1" s="1625"/>
      <c r="M1" s="1625"/>
      <c r="N1" s="1625"/>
      <c r="O1" s="1625"/>
      <c r="P1" s="1625"/>
      <c r="Q1" s="1626"/>
      <c r="R1" s="1616" t="s">
        <v>1056</v>
      </c>
      <c r="S1" s="1634"/>
      <c r="T1" s="1634"/>
      <c r="U1" s="1634"/>
      <c r="V1" s="1625"/>
      <c r="W1" s="1625"/>
      <c r="X1" s="1625"/>
      <c r="Y1" s="1634"/>
      <c r="Z1" s="1634"/>
      <c r="AA1" s="1634"/>
      <c r="AB1" s="1634"/>
      <c r="AC1" s="1634"/>
      <c r="AD1" s="1634"/>
      <c r="AE1" s="1634"/>
      <c r="AF1" s="1634"/>
      <c r="AG1" s="1634"/>
      <c r="AH1" s="1634"/>
      <c r="AI1" s="1634"/>
      <c r="AJ1" s="1634"/>
      <c r="AK1" s="1634"/>
      <c r="AL1" s="1634"/>
      <c r="AM1" s="1635"/>
      <c r="AN1" s="1619" t="s">
        <v>1057</v>
      </c>
      <c r="AO1" s="1625"/>
      <c r="AP1" s="1625"/>
      <c r="AQ1" s="1626"/>
    </row>
    <row r="2" spans="1:43" ht="17" thickBot="1">
      <c r="A2" s="1095"/>
      <c r="B2" s="1627"/>
      <c r="C2" s="1628"/>
      <c r="D2" s="1628"/>
      <c r="E2" s="1628"/>
      <c r="F2" s="1629"/>
      <c r="G2" s="1628"/>
      <c r="H2" s="1628"/>
      <c r="I2" s="1628"/>
      <c r="J2" s="1628"/>
      <c r="K2" s="1628"/>
      <c r="L2" s="1628"/>
      <c r="M2" s="1628"/>
      <c r="N2" s="1628"/>
      <c r="O2" s="1628"/>
      <c r="P2" s="1628"/>
      <c r="Q2" s="1629"/>
      <c r="R2" s="1613" t="s">
        <v>1058</v>
      </c>
      <c r="S2" s="1628"/>
      <c r="T2" s="1628"/>
      <c r="U2" s="1628"/>
      <c r="V2" s="1639" t="s">
        <v>1471</v>
      </c>
      <c r="W2" s="1640"/>
      <c r="X2" s="1643"/>
      <c r="Y2" s="1613" t="s">
        <v>1059</v>
      </c>
      <c r="Z2" s="1628"/>
      <c r="AA2" s="1629"/>
      <c r="AB2" s="1613" t="s">
        <v>1470</v>
      </c>
      <c r="AC2" s="1628"/>
      <c r="AD2" s="1628"/>
      <c r="AE2" s="1628"/>
      <c r="AF2" s="1629"/>
      <c r="AG2" s="1613" t="s">
        <v>1061</v>
      </c>
      <c r="AH2" s="1628"/>
      <c r="AI2" s="1628"/>
      <c r="AJ2" s="1628"/>
      <c r="AK2" s="1628"/>
      <c r="AL2" s="1628"/>
      <c r="AM2" s="1629"/>
      <c r="AN2" s="1628"/>
      <c r="AO2" s="1628"/>
      <c r="AP2" s="1628"/>
      <c r="AQ2" s="1629"/>
    </row>
    <row r="3" spans="1:43" ht="69" thickBot="1">
      <c r="A3" s="1046" t="s">
        <v>1242</v>
      </c>
      <c r="B3" s="1046" t="s">
        <v>921</v>
      </c>
      <c r="C3" s="1047" t="s">
        <v>922</v>
      </c>
      <c r="D3" s="1047" t="s">
        <v>565</v>
      </c>
      <c r="E3" s="1048" t="s">
        <v>112</v>
      </c>
      <c r="F3" s="1048" t="s">
        <v>923</v>
      </c>
      <c r="G3" s="1047" t="s">
        <v>924</v>
      </c>
      <c r="H3" s="1047" t="s">
        <v>925</v>
      </c>
      <c r="I3" s="1047" t="s">
        <v>926</v>
      </c>
      <c r="J3" s="1047" t="s">
        <v>927</v>
      </c>
      <c r="K3" s="1047" t="s">
        <v>928</v>
      </c>
      <c r="L3" s="1047" t="s">
        <v>929</v>
      </c>
      <c r="M3" s="1047" t="s">
        <v>930</v>
      </c>
      <c r="N3" s="1047" t="s">
        <v>931</v>
      </c>
      <c r="O3" s="1049" t="s">
        <v>932</v>
      </c>
      <c r="P3" s="1049" t="s">
        <v>933</v>
      </c>
      <c r="Q3" s="1049" t="s">
        <v>934</v>
      </c>
      <c r="R3" s="1049" t="s">
        <v>935</v>
      </c>
      <c r="S3" s="1049" t="s">
        <v>936</v>
      </c>
      <c r="T3" s="1049" t="s">
        <v>1062</v>
      </c>
      <c r="U3" s="1049" t="s">
        <v>1063</v>
      </c>
      <c r="V3" s="1050" t="s">
        <v>1461</v>
      </c>
      <c r="W3" s="1050" t="s">
        <v>1460</v>
      </c>
      <c r="X3" s="1050" t="s">
        <v>1459</v>
      </c>
      <c r="Y3" s="1047" t="s">
        <v>937</v>
      </c>
      <c r="Z3" s="1047" t="s">
        <v>938</v>
      </c>
      <c r="AA3" s="1047" t="s">
        <v>939</v>
      </c>
      <c r="AB3" s="1051" t="s">
        <v>1064</v>
      </c>
      <c r="AC3" s="1051" t="s">
        <v>1483</v>
      </c>
      <c r="AD3" s="1051" t="s">
        <v>1484</v>
      </c>
      <c r="AE3" s="1051" t="s">
        <v>519</v>
      </c>
      <c r="AF3" s="1049" t="s">
        <v>940</v>
      </c>
      <c r="AG3" s="1049" t="s">
        <v>941</v>
      </c>
      <c r="AH3" s="1052" t="s">
        <v>942</v>
      </c>
      <c r="AI3" s="1052" t="s">
        <v>943</v>
      </c>
      <c r="AJ3" s="1052" t="s">
        <v>944</v>
      </c>
      <c r="AK3" s="1049" t="s">
        <v>945</v>
      </c>
      <c r="AL3" s="1051" t="s">
        <v>946</v>
      </c>
      <c r="AM3" s="1051" t="s">
        <v>947</v>
      </c>
      <c r="AN3" s="1053" t="s">
        <v>1066</v>
      </c>
      <c r="AO3" s="1051" t="s">
        <v>121</v>
      </c>
      <c r="AP3" s="1051" t="s">
        <v>464</v>
      </c>
      <c r="AQ3" s="1054" t="s">
        <v>948</v>
      </c>
    </row>
    <row r="4" spans="1:43" ht="17" thickTop="1">
      <c r="A4" s="1045" t="s">
        <v>1481</v>
      </c>
      <c r="B4" s="1045" t="s">
        <v>1469</v>
      </c>
      <c r="C4" s="1074">
        <v>43009</v>
      </c>
      <c r="D4" s="1045" t="s">
        <v>1468</v>
      </c>
      <c r="E4" s="1060" t="s">
        <v>1467</v>
      </c>
      <c r="F4" s="1045">
        <v>5</v>
      </c>
      <c r="G4" s="1045">
        <v>1825</v>
      </c>
      <c r="H4" s="1045">
        <v>361</v>
      </c>
      <c r="J4" s="1045">
        <v>113</v>
      </c>
      <c r="K4" s="1045">
        <v>154</v>
      </c>
      <c r="L4" s="1045">
        <v>335</v>
      </c>
      <c r="M4" s="1045">
        <v>178</v>
      </c>
      <c r="N4" s="1045" t="s">
        <v>957</v>
      </c>
      <c r="O4" s="1045" t="s">
        <v>961</v>
      </c>
      <c r="P4" s="1045" t="s">
        <v>118</v>
      </c>
      <c r="Q4" s="1045" t="s">
        <v>118</v>
      </c>
      <c r="R4" s="1045" t="s">
        <v>118</v>
      </c>
      <c r="S4" s="1045" t="s">
        <v>118</v>
      </c>
      <c r="T4" s="1045" t="s">
        <v>118</v>
      </c>
      <c r="U4" s="1045" t="s">
        <v>118</v>
      </c>
      <c r="V4" s="1057">
        <v>5</v>
      </c>
      <c r="W4" s="1096">
        <v>63</v>
      </c>
      <c r="X4" s="1045">
        <v>700</v>
      </c>
      <c r="Z4" s="1045">
        <v>500</v>
      </c>
      <c r="AC4" s="1057">
        <v>1.05</v>
      </c>
      <c r="AD4" s="1057">
        <f>W4/Z4*100</f>
        <v>12.6</v>
      </c>
      <c r="AG4" s="1045" t="s">
        <v>118</v>
      </c>
      <c r="AH4" s="1045" t="s">
        <v>118</v>
      </c>
      <c r="AI4" s="1045" t="s">
        <v>118</v>
      </c>
      <c r="AJ4" s="1045" t="s">
        <v>118</v>
      </c>
      <c r="AK4" s="1045" t="s">
        <v>118</v>
      </c>
      <c r="AL4" s="1045" t="s">
        <v>118</v>
      </c>
      <c r="AM4" s="1045" t="s">
        <v>118</v>
      </c>
      <c r="AN4" s="1062">
        <f>SUM(AO4:AQ4)</f>
        <v>80295.600000000006</v>
      </c>
      <c r="AO4" s="1097">
        <v>0</v>
      </c>
      <c r="AP4" s="1062">
        <f>21%*AQ4</f>
        <v>13935.6</v>
      </c>
      <c r="AQ4" s="1068">
        <v>66360</v>
      </c>
    </row>
    <row r="5" spans="1:43">
      <c r="A5" s="1045" t="s">
        <v>1481</v>
      </c>
      <c r="B5" s="1045" t="s">
        <v>581</v>
      </c>
      <c r="C5" s="1074">
        <v>43252</v>
      </c>
      <c r="D5" s="1045" t="s">
        <v>1466</v>
      </c>
      <c r="E5" s="1060" t="s">
        <v>1465</v>
      </c>
      <c r="F5" s="1045">
        <v>5</v>
      </c>
      <c r="G5" s="1045">
        <v>1889</v>
      </c>
      <c r="H5" s="1045">
        <v>461</v>
      </c>
      <c r="I5" s="1045">
        <v>1466</v>
      </c>
      <c r="J5" s="1045">
        <v>120</v>
      </c>
      <c r="K5" s="1045">
        <v>163</v>
      </c>
      <c r="L5" s="1045">
        <v>395</v>
      </c>
      <c r="M5" s="1045">
        <v>177</v>
      </c>
      <c r="N5" s="1045" t="s">
        <v>957</v>
      </c>
      <c r="O5" s="1045" t="s">
        <v>961</v>
      </c>
      <c r="P5" s="1045" t="s">
        <v>118</v>
      </c>
      <c r="Q5" s="1045" t="s">
        <v>118</v>
      </c>
      <c r="R5" s="1045" t="s">
        <v>118</v>
      </c>
      <c r="S5" s="1045" t="s">
        <v>118</v>
      </c>
      <c r="T5" s="1045" t="s">
        <v>118</v>
      </c>
      <c r="U5" s="1045" t="s">
        <v>118</v>
      </c>
      <c r="V5" s="1045">
        <v>6.2</v>
      </c>
      <c r="W5" s="1096">
        <v>77</v>
      </c>
      <c r="X5" s="1045">
        <v>700</v>
      </c>
      <c r="Z5" s="1045">
        <v>665</v>
      </c>
      <c r="AC5" s="1045">
        <v>1.1000000000000001</v>
      </c>
      <c r="AD5" s="1057">
        <f>W5/Z5*100</f>
        <v>11.578947368421053</v>
      </c>
      <c r="AG5" s="1045" t="s">
        <v>118</v>
      </c>
      <c r="AH5" s="1045" t="s">
        <v>118</v>
      </c>
      <c r="AI5" s="1045" t="s">
        <v>118</v>
      </c>
      <c r="AJ5" s="1045" t="s">
        <v>118</v>
      </c>
      <c r="AK5" s="1045" t="s">
        <v>118</v>
      </c>
      <c r="AL5" s="1045" t="s">
        <v>118</v>
      </c>
      <c r="AM5" s="1045" t="s">
        <v>118</v>
      </c>
      <c r="AN5" s="1062">
        <f>SUM(AO5:AQ5)</f>
        <v>69559.27</v>
      </c>
      <c r="AO5" s="1097">
        <v>0</v>
      </c>
      <c r="AP5" s="1062">
        <f>21%*AQ5</f>
        <v>12072.27</v>
      </c>
      <c r="AQ5" s="1068">
        <v>57487</v>
      </c>
    </row>
    <row r="10" spans="1:43">
      <c r="B10" s="171"/>
      <c r="C10" s="652"/>
      <c r="D10" s="171"/>
      <c r="E10" s="171"/>
      <c r="F10" s="719"/>
      <c r="G10" s="742"/>
      <c r="H10" s="742"/>
      <c r="I10" s="742"/>
      <c r="J10" s="742"/>
      <c r="K10" s="742"/>
      <c r="L10" s="742"/>
      <c r="M10" s="742"/>
      <c r="N10" s="742"/>
      <c r="O10" s="742"/>
      <c r="P10" s="742"/>
      <c r="Q10" s="742"/>
      <c r="R10" s="742"/>
      <c r="S10" s="742"/>
      <c r="T10" s="742"/>
      <c r="U10" s="742"/>
      <c r="V10" s="742"/>
      <c r="W10" s="742"/>
      <c r="X10" s="742"/>
      <c r="Y10" s="742"/>
      <c r="Z10" s="742"/>
      <c r="AA10" s="742"/>
      <c r="AB10" s="742"/>
      <c r="AC10" s="742"/>
      <c r="AD10" s="742"/>
      <c r="AE10" s="742"/>
      <c r="AF10" s="742"/>
      <c r="AG10" s="742"/>
      <c r="AH10" s="742"/>
      <c r="AI10" s="742"/>
      <c r="AJ10" s="742"/>
      <c r="AK10" s="707"/>
      <c r="AL10" s="707"/>
      <c r="AM10" s="707"/>
      <c r="AN10" s="707"/>
    </row>
    <row r="17" spans="1:43" ht="17" thickBot="1"/>
    <row r="18" spans="1:43" ht="17" thickBot="1">
      <c r="A18" s="1095"/>
      <c r="B18" s="1609" t="s">
        <v>1054</v>
      </c>
      <c r="C18" s="1610"/>
      <c r="D18" s="1610"/>
      <c r="E18" s="1610"/>
      <c r="F18" s="1611"/>
      <c r="G18" s="1609" t="s">
        <v>1055</v>
      </c>
      <c r="H18" s="1610"/>
      <c r="I18" s="1610"/>
      <c r="J18" s="1610"/>
      <c r="K18" s="1610"/>
      <c r="L18" s="1610"/>
      <c r="M18" s="1610"/>
      <c r="N18" s="1610"/>
      <c r="O18" s="1610"/>
      <c r="P18" s="1610"/>
      <c r="Q18" s="1611"/>
      <c r="R18" s="1609" t="s">
        <v>1056</v>
      </c>
      <c r="S18" s="1610"/>
      <c r="T18" s="1610"/>
      <c r="U18" s="1610"/>
      <c r="V18" s="1610"/>
      <c r="W18" s="1610"/>
      <c r="X18" s="1610"/>
      <c r="Y18" s="1610"/>
      <c r="Z18" s="1610"/>
      <c r="AA18" s="1610"/>
      <c r="AB18" s="1610"/>
      <c r="AC18" s="1610"/>
      <c r="AD18" s="1610"/>
      <c r="AE18" s="1610"/>
      <c r="AF18" s="1610"/>
      <c r="AG18" s="1610"/>
      <c r="AH18" s="1610"/>
      <c r="AI18" s="1610"/>
      <c r="AJ18" s="1610"/>
      <c r="AK18" s="1610"/>
      <c r="AL18" s="1610"/>
      <c r="AM18" s="1611"/>
      <c r="AN18" s="1618" t="s">
        <v>1057</v>
      </c>
      <c r="AO18" s="1619"/>
      <c r="AP18" s="1619"/>
      <c r="AQ18" s="1620"/>
    </row>
    <row r="19" spans="1:43" ht="17" thickBot="1">
      <c r="A19" s="1095"/>
      <c r="B19" s="1612"/>
      <c r="C19" s="1613"/>
      <c r="D19" s="1613"/>
      <c r="E19" s="1613"/>
      <c r="F19" s="1614"/>
      <c r="G19" s="1612"/>
      <c r="H19" s="1613"/>
      <c r="I19" s="1613"/>
      <c r="J19" s="1613"/>
      <c r="K19" s="1613"/>
      <c r="L19" s="1613"/>
      <c r="M19" s="1613"/>
      <c r="N19" s="1613"/>
      <c r="O19" s="1613"/>
      <c r="P19" s="1613"/>
      <c r="Q19" s="1614"/>
      <c r="R19" s="1615" t="s">
        <v>1058</v>
      </c>
      <c r="S19" s="1616"/>
      <c r="T19" s="1616"/>
      <c r="U19" s="1638"/>
      <c r="V19" s="1639" t="s">
        <v>1471</v>
      </c>
      <c r="W19" s="1640"/>
      <c r="X19" s="1641"/>
      <c r="Y19" s="1642" t="s">
        <v>1059</v>
      </c>
      <c r="Z19" s="1616"/>
      <c r="AA19" s="1617"/>
      <c r="AB19" s="1615" t="s">
        <v>1470</v>
      </c>
      <c r="AC19" s="1616"/>
      <c r="AD19" s="1616"/>
      <c r="AE19" s="1616"/>
      <c r="AF19" s="1617"/>
      <c r="AG19" s="1615" t="s">
        <v>1061</v>
      </c>
      <c r="AH19" s="1616"/>
      <c r="AI19" s="1616"/>
      <c r="AJ19" s="1616"/>
      <c r="AK19" s="1616"/>
      <c r="AL19" s="1616"/>
      <c r="AM19" s="1617"/>
      <c r="AN19" s="1621"/>
      <c r="AO19" s="1622"/>
      <c r="AP19" s="1622"/>
      <c r="AQ19" s="1623"/>
    </row>
    <row r="20" spans="1:43" ht="69" thickBot="1">
      <c r="A20" s="1046"/>
      <c r="B20" s="1046" t="s">
        <v>921</v>
      </c>
      <c r="C20" s="1047" t="s">
        <v>922</v>
      </c>
      <c r="D20" s="1047" t="s">
        <v>565</v>
      </c>
      <c r="E20" s="1048" t="s">
        <v>112</v>
      </c>
      <c r="F20" s="1048" t="s">
        <v>923</v>
      </c>
      <c r="G20" s="1047" t="s">
        <v>924</v>
      </c>
      <c r="H20" s="1047" t="s">
        <v>925</v>
      </c>
      <c r="I20" s="1047" t="s">
        <v>926</v>
      </c>
      <c r="J20" s="1047" t="s">
        <v>927</v>
      </c>
      <c r="K20" s="1047" t="s">
        <v>928</v>
      </c>
      <c r="L20" s="1047" t="s">
        <v>929</v>
      </c>
      <c r="M20" s="1047" t="s">
        <v>930</v>
      </c>
      <c r="N20" s="1047" t="s">
        <v>931</v>
      </c>
      <c r="O20" s="1049" t="s">
        <v>932</v>
      </c>
      <c r="P20" s="1049" t="s">
        <v>933</v>
      </c>
      <c r="Q20" s="1049" t="s">
        <v>934</v>
      </c>
      <c r="R20" s="1049" t="s">
        <v>935</v>
      </c>
      <c r="S20" s="1049" t="s">
        <v>936</v>
      </c>
      <c r="T20" s="1049" t="s">
        <v>1062</v>
      </c>
      <c r="U20" s="1049" t="s">
        <v>1063</v>
      </c>
      <c r="V20" s="1050" t="s">
        <v>1461</v>
      </c>
      <c r="W20" s="1050" t="s">
        <v>1460</v>
      </c>
      <c r="X20" s="1050" t="s">
        <v>1459</v>
      </c>
      <c r="Y20" s="1047" t="s">
        <v>937</v>
      </c>
      <c r="Z20" s="1047" t="s">
        <v>938</v>
      </c>
      <c r="AA20" s="1047" t="s">
        <v>939</v>
      </c>
      <c r="AB20" s="1051" t="s">
        <v>1064</v>
      </c>
      <c r="AC20" s="1051" t="s">
        <v>1065</v>
      </c>
      <c r="AD20" s="1051" t="s">
        <v>1327</v>
      </c>
      <c r="AE20" s="1051" t="s">
        <v>519</v>
      </c>
      <c r="AF20" s="1049" t="s">
        <v>940</v>
      </c>
      <c r="AG20" s="1049" t="s">
        <v>941</v>
      </c>
      <c r="AH20" s="1052" t="s">
        <v>942</v>
      </c>
      <c r="AI20" s="1052" t="s">
        <v>943</v>
      </c>
      <c r="AJ20" s="1052" t="s">
        <v>944</v>
      </c>
      <c r="AK20" s="1049" t="s">
        <v>945</v>
      </c>
      <c r="AL20" s="1051" t="s">
        <v>946</v>
      </c>
      <c r="AM20" s="1051" t="s">
        <v>947</v>
      </c>
      <c r="AN20" s="1053" t="s">
        <v>1066</v>
      </c>
      <c r="AO20" s="1051" t="s">
        <v>121</v>
      </c>
      <c r="AP20" s="1051" t="s">
        <v>464</v>
      </c>
      <c r="AQ20" s="1054" t="s">
        <v>948</v>
      </c>
    </row>
    <row r="21" spans="1:43" ht="17" thickTop="1">
      <c r="B21" s="1098" t="s">
        <v>1072</v>
      </c>
      <c r="E21" s="1045" t="str">
        <f t="shared" ref="E21:Y22" si="0">E4</f>
        <v>D/E</v>
      </c>
      <c r="F21" s="1045">
        <f t="shared" si="0"/>
        <v>5</v>
      </c>
      <c r="G21" s="1045">
        <f t="shared" si="0"/>
        <v>1825</v>
      </c>
      <c r="H21" s="1045">
        <f t="shared" si="0"/>
        <v>361</v>
      </c>
      <c r="I21" s="1045">
        <f t="shared" si="0"/>
        <v>0</v>
      </c>
      <c r="J21" s="1045">
        <f t="shared" si="0"/>
        <v>113</v>
      </c>
      <c r="K21" s="1045">
        <f t="shared" si="0"/>
        <v>154</v>
      </c>
      <c r="L21" s="1045">
        <f t="shared" si="0"/>
        <v>335</v>
      </c>
      <c r="M21" s="1045">
        <f t="shared" si="0"/>
        <v>178</v>
      </c>
      <c r="N21" s="1045" t="str">
        <f t="shared" si="0"/>
        <v>Front</v>
      </c>
      <c r="O21" s="1045" t="str">
        <f t="shared" si="0"/>
        <v>no</v>
      </c>
      <c r="P21" s="1045" t="str">
        <f t="shared" si="0"/>
        <v>-</v>
      </c>
      <c r="Q21" s="1045" t="str">
        <f t="shared" si="0"/>
        <v>-</v>
      </c>
      <c r="R21" s="1045" t="str">
        <f t="shared" si="0"/>
        <v>-</v>
      </c>
      <c r="S21" s="1045" t="str">
        <f t="shared" si="0"/>
        <v>-</v>
      </c>
      <c r="T21" s="1045" t="str">
        <f t="shared" si="0"/>
        <v>-</v>
      </c>
      <c r="U21" s="1045" t="str">
        <f t="shared" si="0"/>
        <v>-</v>
      </c>
      <c r="V21" s="1045">
        <f t="shared" si="0"/>
        <v>5</v>
      </c>
      <c r="W21" s="1045">
        <f t="shared" si="0"/>
        <v>63</v>
      </c>
      <c r="X21" s="1045">
        <f t="shared" si="0"/>
        <v>700</v>
      </c>
      <c r="Y21" s="1045">
        <f t="shared" si="0"/>
        <v>0</v>
      </c>
      <c r="Z21" s="1045">
        <f>Z4</f>
        <v>500</v>
      </c>
      <c r="AC21" s="1057">
        <f>AC4</f>
        <v>1.05</v>
      </c>
      <c r="AD21" s="1099">
        <f t="shared" ref="AD21:AP22" si="1">AD4</f>
        <v>12.6</v>
      </c>
      <c r="AE21" s="1062">
        <f t="shared" si="1"/>
        <v>0</v>
      </c>
      <c r="AF21" s="1062">
        <f t="shared" si="1"/>
        <v>0</v>
      </c>
      <c r="AG21" s="1062" t="str">
        <f t="shared" si="1"/>
        <v>-</v>
      </c>
      <c r="AH21" s="1062" t="str">
        <f t="shared" si="1"/>
        <v>-</v>
      </c>
      <c r="AI21" s="1062" t="str">
        <f t="shared" si="1"/>
        <v>-</v>
      </c>
      <c r="AJ21" s="1062" t="str">
        <f t="shared" si="1"/>
        <v>-</v>
      </c>
      <c r="AK21" s="1062" t="str">
        <f t="shared" si="1"/>
        <v>-</v>
      </c>
      <c r="AL21" s="1062" t="str">
        <f t="shared" si="1"/>
        <v>-</v>
      </c>
      <c r="AM21" s="1062" t="str">
        <f t="shared" si="1"/>
        <v>-</v>
      </c>
      <c r="AN21" s="1062">
        <f t="shared" si="1"/>
        <v>80295.600000000006</v>
      </c>
      <c r="AO21" s="1062">
        <f t="shared" si="1"/>
        <v>0</v>
      </c>
      <c r="AP21" s="1062">
        <f t="shared" si="1"/>
        <v>13935.6</v>
      </c>
      <c r="AQ21" s="1062">
        <f>AQ4</f>
        <v>66360</v>
      </c>
    </row>
    <row r="22" spans="1:43">
      <c r="B22" s="1098" t="s">
        <v>1482</v>
      </c>
      <c r="E22" s="1045" t="str">
        <f t="shared" si="0"/>
        <v>L/M</v>
      </c>
      <c r="F22" s="1045">
        <f t="shared" si="0"/>
        <v>5</v>
      </c>
      <c r="G22" s="1045">
        <f t="shared" si="0"/>
        <v>1889</v>
      </c>
      <c r="H22" s="1045">
        <f t="shared" si="0"/>
        <v>461</v>
      </c>
      <c r="I22" s="1045">
        <f t="shared" si="0"/>
        <v>1466</v>
      </c>
      <c r="J22" s="1045">
        <f t="shared" si="0"/>
        <v>120</v>
      </c>
      <c r="K22" s="1045">
        <f t="shared" si="0"/>
        <v>163</v>
      </c>
      <c r="L22" s="1045">
        <f t="shared" si="0"/>
        <v>395</v>
      </c>
      <c r="M22" s="1045">
        <f t="shared" si="0"/>
        <v>177</v>
      </c>
      <c r="N22" s="1045" t="str">
        <f t="shared" si="0"/>
        <v>Front</v>
      </c>
      <c r="O22" s="1045" t="str">
        <f t="shared" si="0"/>
        <v>no</v>
      </c>
      <c r="P22" s="1045" t="str">
        <f t="shared" si="0"/>
        <v>-</v>
      </c>
      <c r="Q22" s="1045" t="str">
        <f t="shared" si="0"/>
        <v>-</v>
      </c>
      <c r="R22" s="1045" t="str">
        <f t="shared" si="0"/>
        <v>-</v>
      </c>
      <c r="S22" s="1045" t="str">
        <f t="shared" si="0"/>
        <v>-</v>
      </c>
      <c r="T22" s="1045" t="str">
        <f t="shared" si="0"/>
        <v>-</v>
      </c>
      <c r="U22" s="1045" t="str">
        <f t="shared" si="0"/>
        <v>-</v>
      </c>
      <c r="V22" s="1045">
        <f t="shared" si="0"/>
        <v>6.2</v>
      </c>
      <c r="W22" s="1045">
        <f t="shared" si="0"/>
        <v>77</v>
      </c>
      <c r="X22" s="1045">
        <f t="shared" si="0"/>
        <v>700</v>
      </c>
      <c r="Y22" s="1045">
        <f t="shared" si="0"/>
        <v>0</v>
      </c>
      <c r="Z22" s="1045">
        <f>Z5</f>
        <v>665</v>
      </c>
      <c r="AC22" s="1045">
        <f>AC5</f>
        <v>1.1000000000000001</v>
      </c>
      <c r="AD22" s="1099">
        <f t="shared" si="1"/>
        <v>11.578947368421053</v>
      </c>
      <c r="AE22" s="1062">
        <f t="shared" si="1"/>
        <v>0</v>
      </c>
      <c r="AF22" s="1062">
        <f t="shared" si="1"/>
        <v>0</v>
      </c>
      <c r="AG22" s="1062" t="str">
        <f t="shared" si="1"/>
        <v>-</v>
      </c>
      <c r="AH22" s="1062" t="str">
        <f t="shared" si="1"/>
        <v>-</v>
      </c>
      <c r="AI22" s="1062" t="str">
        <f t="shared" si="1"/>
        <v>-</v>
      </c>
      <c r="AJ22" s="1062" t="str">
        <f t="shared" si="1"/>
        <v>-</v>
      </c>
      <c r="AK22" s="1062" t="str">
        <f t="shared" si="1"/>
        <v>-</v>
      </c>
      <c r="AL22" s="1062" t="str">
        <f t="shared" si="1"/>
        <v>-</v>
      </c>
      <c r="AM22" s="1062" t="str">
        <f t="shared" si="1"/>
        <v>-</v>
      </c>
      <c r="AN22" s="1062">
        <f t="shared" si="1"/>
        <v>69559.27</v>
      </c>
      <c r="AO22" s="1062">
        <f t="shared" si="1"/>
        <v>0</v>
      </c>
      <c r="AP22" s="1062">
        <f t="shared" si="1"/>
        <v>12072.27</v>
      </c>
      <c r="AQ22" s="1062">
        <f>AQ5</f>
        <v>57487</v>
      </c>
    </row>
    <row r="23" spans="1:43">
      <c r="B23" s="1098"/>
    </row>
  </sheetData>
  <sheetProtection algorithmName="SHA-512" hashValue="HV7pO1/xsIbXMfehGnAEcpRSLVPGLol9DTKmdSlow1azrXkjg4WGRSEaOy4+0uBdE6y+zG5mjz33Ex6KjOybew==" saltValue="P2WiCMx6jq64y3e5q44xXw==" spinCount="100000" sheet="1" objects="1" scenarios="1"/>
  <mergeCells count="18">
    <mergeCell ref="B1:F2"/>
    <mergeCell ref="G1:Q2"/>
    <mergeCell ref="R1:AM1"/>
    <mergeCell ref="AN1:AQ2"/>
    <mergeCell ref="R2:U2"/>
    <mergeCell ref="Y2:AA2"/>
    <mergeCell ref="AB2:AF2"/>
    <mergeCell ref="AG2:AM2"/>
    <mergeCell ref="V2:X2"/>
    <mergeCell ref="B18:F19"/>
    <mergeCell ref="G18:Q19"/>
    <mergeCell ref="R18:AM18"/>
    <mergeCell ref="AN18:AQ19"/>
    <mergeCell ref="R19:U19"/>
    <mergeCell ref="V19:X19"/>
    <mergeCell ref="Y19:AA19"/>
    <mergeCell ref="AB19:AF19"/>
    <mergeCell ref="AG19:AM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A342C-9BE2-9B47-A972-9B47569094BC}">
  <sheetPr codeName="Sheet20">
    <tabColor rgb="FFFFC000"/>
  </sheetPr>
  <dimension ref="B1:K36"/>
  <sheetViews>
    <sheetView topLeftCell="A4" zoomScaleNormal="100" workbookViewId="0">
      <selection activeCell="B3" sqref="B3:F4"/>
    </sheetView>
  </sheetViews>
  <sheetFormatPr baseColWidth="10" defaultRowHeight="16"/>
  <cols>
    <col min="1" max="1" width="3.83203125" customWidth="1"/>
    <col min="2" max="2" width="61.33203125" customWidth="1"/>
    <col min="3" max="3" width="28.1640625" customWidth="1"/>
    <col min="5" max="5" width="9.1640625" customWidth="1"/>
    <col min="6" max="6" width="8.5" customWidth="1"/>
    <col min="7" max="7" width="4" customWidth="1"/>
    <col min="8" max="8" width="6.6640625" customWidth="1"/>
    <col min="9" max="9" width="22.83203125" customWidth="1"/>
    <col min="11" max="11" width="67.33203125" customWidth="1"/>
  </cols>
  <sheetData>
    <row r="1" spans="2:11" ht="44" customHeight="1" thickBot="1">
      <c r="B1" s="1189"/>
      <c r="C1" s="1189"/>
      <c r="D1" s="1189"/>
      <c r="E1" s="1189"/>
      <c r="F1" s="1189"/>
      <c r="G1" s="1189"/>
      <c r="H1" s="1189"/>
      <c r="I1" s="1189"/>
      <c r="J1" s="1189"/>
      <c r="K1" s="1189"/>
    </row>
    <row r="2" spans="2:11" ht="29" thickBot="1">
      <c r="B2" s="1208" t="s">
        <v>4190</v>
      </c>
      <c r="C2" s="1209"/>
      <c r="D2" s="1209"/>
      <c r="E2" s="1209"/>
      <c r="F2" s="1210"/>
      <c r="H2" s="1178" t="s">
        <v>4172</v>
      </c>
      <c r="I2" s="1181"/>
      <c r="J2" s="1181"/>
      <c r="K2" s="1182"/>
    </row>
    <row r="3" spans="2:11" ht="154" customHeight="1">
      <c r="B3" s="1202" t="s">
        <v>4317</v>
      </c>
      <c r="C3" s="1203"/>
      <c r="D3" s="1203"/>
      <c r="E3" s="1203"/>
      <c r="F3" s="1204"/>
      <c r="H3" s="1183"/>
      <c r="I3" s="1184"/>
      <c r="J3" s="1184"/>
      <c r="K3" s="1185"/>
    </row>
    <row r="4" spans="2:11" ht="409" customHeight="1" thickBot="1">
      <c r="B4" s="1205"/>
      <c r="C4" s="1206"/>
      <c r="D4" s="1206"/>
      <c r="E4" s="1206"/>
      <c r="F4" s="1207"/>
      <c r="H4" s="1186"/>
      <c r="I4" s="1187"/>
      <c r="J4" s="1187"/>
      <c r="K4" s="1188"/>
    </row>
    <row r="5" spans="2:11" ht="17" thickBot="1"/>
    <row r="6" spans="2:11" ht="29" thickBot="1">
      <c r="B6" s="1211" t="s">
        <v>4176</v>
      </c>
      <c r="C6" s="1212"/>
      <c r="D6" s="1212"/>
      <c r="E6" s="1212"/>
      <c r="F6" s="1213"/>
      <c r="H6" s="1178" t="s">
        <v>4173</v>
      </c>
      <c r="I6" s="1179"/>
      <c r="J6" s="1179"/>
      <c r="K6" s="1180"/>
    </row>
    <row r="7" spans="2:11" ht="409" customHeight="1">
      <c r="B7" s="1202" t="s">
        <v>4191</v>
      </c>
      <c r="C7" s="1203"/>
      <c r="D7" s="1203"/>
      <c r="E7" s="1203"/>
      <c r="F7" s="1204"/>
      <c r="H7" s="1190" t="s">
        <v>4189</v>
      </c>
      <c r="I7" s="1191"/>
      <c r="J7" s="1191"/>
      <c r="K7" s="1192"/>
    </row>
    <row r="8" spans="2:11" ht="59" customHeight="1" thickBot="1">
      <c r="B8" s="1214"/>
      <c r="C8" s="1215"/>
      <c r="D8" s="1215"/>
      <c r="E8" s="1215"/>
      <c r="F8" s="1216"/>
      <c r="G8" s="349"/>
      <c r="H8" s="350" t="s">
        <v>4174</v>
      </c>
      <c r="I8" s="1193" t="s">
        <v>4175</v>
      </c>
      <c r="J8" s="1194"/>
      <c r="K8" s="1195"/>
    </row>
    <row r="9" spans="2:11" ht="18" customHeight="1" thickBot="1">
      <c r="B9" s="1"/>
      <c r="C9" s="1"/>
      <c r="D9" s="1"/>
      <c r="E9" s="1"/>
      <c r="F9" s="1"/>
    </row>
    <row r="10" spans="2:11" ht="29" thickBot="1">
      <c r="B10" s="1196" t="s">
        <v>4188</v>
      </c>
      <c r="C10" s="1197"/>
      <c r="D10" s="1197"/>
      <c r="E10" s="1197"/>
      <c r="F10" s="1198"/>
      <c r="H10" s="1178" t="s">
        <v>4177</v>
      </c>
      <c r="I10" s="1179"/>
      <c r="J10" s="1179"/>
      <c r="K10" s="1180"/>
    </row>
    <row r="11" spans="2:11" ht="409" customHeight="1" thickBot="1">
      <c r="B11" s="1217" t="s">
        <v>4192</v>
      </c>
      <c r="C11" s="1200"/>
      <c r="D11" s="1200"/>
      <c r="E11" s="1200"/>
      <c r="F11" s="1201"/>
      <c r="H11" s="1186"/>
      <c r="I11" s="1187"/>
      <c r="J11" s="1187"/>
      <c r="K11" s="1188"/>
    </row>
    <row r="12" spans="2:11" ht="17" thickBot="1"/>
    <row r="13" spans="2:11" ht="33" customHeight="1" thickBot="1">
      <c r="B13" s="1178" t="s">
        <v>4178</v>
      </c>
      <c r="C13" s="1179"/>
      <c r="D13" s="1179"/>
      <c r="E13" s="1179"/>
      <c r="F13" s="1181"/>
      <c r="G13" s="1181"/>
      <c r="H13" s="1181"/>
      <c r="I13" s="1181"/>
      <c r="J13" s="1181"/>
      <c r="K13" s="1182"/>
    </row>
    <row r="14" spans="2:11" ht="303" customHeight="1">
      <c r="B14" s="1183"/>
      <c r="C14" s="1184"/>
      <c r="D14" s="1184"/>
      <c r="E14" s="1184"/>
      <c r="F14" s="1184"/>
      <c r="G14" s="1184"/>
      <c r="H14" s="1184"/>
      <c r="I14" s="1184"/>
      <c r="J14" s="1184"/>
      <c r="K14" s="1185"/>
    </row>
    <row r="15" spans="2:11" ht="37" customHeight="1" thickBot="1">
      <c r="B15" s="1186"/>
      <c r="C15" s="1187"/>
      <c r="D15" s="1187"/>
      <c r="E15" s="1187"/>
      <c r="F15" s="1187"/>
      <c r="G15" s="1187"/>
      <c r="H15" s="1187"/>
      <c r="I15" s="1187"/>
      <c r="J15" s="1187"/>
      <c r="K15" s="1188"/>
    </row>
    <row r="16" spans="2:11">
      <c r="B16" s="161"/>
      <c r="C16" s="161"/>
      <c r="D16" s="161"/>
      <c r="E16" s="161"/>
      <c r="F16" s="161"/>
      <c r="G16" s="161"/>
      <c r="H16" s="161"/>
      <c r="I16" s="161"/>
      <c r="J16" s="161"/>
      <c r="K16" s="161"/>
    </row>
    <row r="17" spans="2:11">
      <c r="B17" s="351"/>
      <c r="C17" s="161"/>
      <c r="D17" s="161"/>
      <c r="E17" s="161"/>
      <c r="F17" s="161"/>
      <c r="G17" s="161"/>
      <c r="H17" s="161"/>
      <c r="I17" s="161"/>
      <c r="J17" s="161"/>
      <c r="K17" s="161"/>
    </row>
    <row r="18" spans="2:11">
      <c r="B18" s="161"/>
      <c r="C18" s="161"/>
      <c r="D18" s="161"/>
      <c r="E18" s="161"/>
      <c r="F18" s="161"/>
      <c r="G18" s="161"/>
      <c r="H18" s="161"/>
      <c r="I18" s="161"/>
      <c r="J18" s="161"/>
      <c r="K18" s="161"/>
    </row>
    <row r="19" spans="2:11">
      <c r="C19" s="161"/>
      <c r="D19" s="161"/>
      <c r="E19" s="161"/>
      <c r="F19" s="161"/>
      <c r="G19" s="161"/>
      <c r="H19" s="161"/>
      <c r="I19" s="161"/>
      <c r="J19" s="161"/>
      <c r="K19" s="161"/>
    </row>
    <row r="20" spans="2:11">
      <c r="B20" s="161"/>
      <c r="C20" s="161"/>
      <c r="D20" s="161"/>
      <c r="E20" s="161"/>
      <c r="F20" s="161"/>
      <c r="G20" s="161"/>
      <c r="H20" s="161"/>
      <c r="I20" s="161"/>
      <c r="J20" s="161"/>
      <c r="K20" s="161"/>
    </row>
    <row r="21" spans="2:11">
      <c r="B21" s="161"/>
      <c r="C21" s="161"/>
      <c r="D21" s="161"/>
      <c r="E21" s="161"/>
      <c r="F21" s="161"/>
      <c r="G21" s="161"/>
      <c r="H21" s="161"/>
      <c r="I21" s="161"/>
      <c r="J21" s="161"/>
      <c r="K21" s="161"/>
    </row>
    <row r="22" spans="2:11">
      <c r="B22" s="161"/>
      <c r="C22" s="161"/>
      <c r="D22" s="161"/>
      <c r="E22" s="161"/>
      <c r="F22" s="161"/>
      <c r="G22" s="161"/>
      <c r="H22" s="161"/>
      <c r="I22" s="161"/>
      <c r="J22" s="161"/>
      <c r="K22" s="161"/>
    </row>
    <row r="23" spans="2:11">
      <c r="B23" s="161"/>
      <c r="C23" s="161"/>
      <c r="D23" s="161"/>
      <c r="E23" s="161"/>
      <c r="F23" s="161"/>
      <c r="G23" s="161"/>
      <c r="H23" s="161"/>
      <c r="I23" s="161"/>
      <c r="J23" s="161"/>
      <c r="K23" s="161"/>
    </row>
    <row r="24" spans="2:11">
      <c r="B24" s="161"/>
      <c r="C24" s="161"/>
      <c r="D24" s="161"/>
      <c r="E24" s="161"/>
      <c r="F24" s="161"/>
      <c r="G24" s="161"/>
      <c r="H24" s="161"/>
      <c r="I24" s="161"/>
      <c r="J24" s="161"/>
      <c r="K24" s="161"/>
    </row>
    <row r="25" spans="2:11">
      <c r="B25" s="161"/>
      <c r="C25" s="161"/>
      <c r="D25" s="161"/>
      <c r="E25" s="161"/>
      <c r="F25" s="161"/>
      <c r="G25" s="161"/>
      <c r="H25" s="161"/>
      <c r="I25" s="161"/>
      <c r="J25" s="161"/>
      <c r="K25" s="161"/>
    </row>
    <row r="26" spans="2:11">
      <c r="B26" s="161"/>
      <c r="C26" s="161"/>
      <c r="D26" s="161"/>
      <c r="E26" s="161"/>
      <c r="F26" s="161"/>
      <c r="G26" s="161"/>
      <c r="H26" s="161"/>
      <c r="I26" s="161"/>
      <c r="J26" s="161"/>
      <c r="K26" s="161"/>
    </row>
    <row r="27" spans="2:11">
      <c r="B27" s="161"/>
      <c r="C27" s="161"/>
      <c r="D27" s="161"/>
      <c r="E27" s="161"/>
      <c r="F27" s="161"/>
      <c r="G27" s="161"/>
      <c r="H27" s="161"/>
      <c r="I27" s="161"/>
      <c r="J27" s="161"/>
      <c r="K27" s="161"/>
    </row>
    <row r="28" spans="2:11">
      <c r="B28" s="161"/>
      <c r="C28" s="161"/>
      <c r="D28" s="161"/>
      <c r="E28" s="161"/>
      <c r="F28" s="161"/>
      <c r="G28" s="161"/>
      <c r="H28" s="161"/>
      <c r="I28" s="161"/>
      <c r="J28" s="161"/>
      <c r="K28" s="161"/>
    </row>
    <row r="29" spans="2:11">
      <c r="B29" s="161"/>
      <c r="C29" s="161"/>
      <c r="D29" s="161"/>
      <c r="E29" s="161"/>
      <c r="F29" s="161"/>
      <c r="G29" s="161"/>
      <c r="H29" s="161"/>
      <c r="I29" s="161"/>
      <c r="J29" s="161"/>
      <c r="K29" s="161"/>
    </row>
    <row r="30" spans="2:11">
      <c r="B30" s="161"/>
      <c r="C30" s="161"/>
      <c r="D30" s="161"/>
      <c r="E30" s="161"/>
      <c r="F30" s="161"/>
      <c r="G30" s="161"/>
      <c r="H30" s="161"/>
      <c r="I30" s="161"/>
      <c r="J30" s="161"/>
      <c r="K30" s="161"/>
    </row>
    <row r="31" spans="2:11">
      <c r="B31" s="161"/>
      <c r="C31" s="161"/>
      <c r="D31" s="161"/>
      <c r="E31" s="161"/>
      <c r="F31" s="161"/>
      <c r="G31" s="161"/>
      <c r="H31" s="161"/>
      <c r="I31" s="161"/>
      <c r="J31" s="161"/>
      <c r="K31" s="161"/>
    </row>
    <row r="32" spans="2:11">
      <c r="B32" s="161"/>
      <c r="C32" s="161"/>
      <c r="D32" s="161"/>
      <c r="E32" s="161"/>
      <c r="F32" s="161"/>
      <c r="G32" s="161"/>
      <c r="H32" s="161"/>
      <c r="I32" s="161"/>
      <c r="J32" s="161"/>
      <c r="K32" s="161"/>
    </row>
    <row r="33" spans="2:11">
      <c r="B33" s="161"/>
      <c r="C33" s="161"/>
      <c r="D33" s="161"/>
      <c r="E33" s="161"/>
      <c r="F33" s="161"/>
      <c r="G33" s="161"/>
      <c r="H33" s="161"/>
      <c r="I33" s="161"/>
      <c r="J33" s="161"/>
      <c r="K33" s="161"/>
    </row>
    <row r="34" spans="2:11">
      <c r="B34" s="161"/>
      <c r="C34" s="161"/>
      <c r="D34" s="161"/>
      <c r="E34" s="161"/>
      <c r="F34" s="161"/>
      <c r="G34" s="161"/>
      <c r="H34" s="161"/>
      <c r="I34" s="161"/>
      <c r="J34" s="161"/>
      <c r="K34" s="161"/>
    </row>
    <row r="35" spans="2:11">
      <c r="B35" s="161"/>
      <c r="C35" s="161"/>
      <c r="D35" s="161"/>
      <c r="E35" s="161"/>
      <c r="F35" s="161"/>
      <c r="G35" s="161"/>
      <c r="H35" s="161"/>
      <c r="I35" s="161"/>
      <c r="J35" s="161"/>
      <c r="K35" s="161"/>
    </row>
    <row r="36" spans="2:11">
      <c r="B36" s="161"/>
      <c r="C36" s="161"/>
      <c r="D36" s="161"/>
      <c r="E36" s="161"/>
      <c r="F36" s="161"/>
      <c r="G36" s="161"/>
      <c r="H36" s="161"/>
      <c r="I36" s="161"/>
      <c r="J36" s="161"/>
      <c r="K36" s="161"/>
    </row>
  </sheetData>
  <sheetProtection algorithmName="SHA-512" hashValue="4Y5RpuD6ovb3kYGSeI1tXsxqjvzDsqI9PMeCDh52+64KObxQvfaoiJbQcYCclY/5r0FkZo2n5f0r/vzx7XHkqQ==" saltValue="3skFEVVd0H0Nam/Afvom0Q==" spinCount="100000" sheet="1" objects="1" scenarios="1"/>
  <mergeCells count="16">
    <mergeCell ref="B13:K13"/>
    <mergeCell ref="B14:K15"/>
    <mergeCell ref="B7:F8"/>
    <mergeCell ref="H7:K7"/>
    <mergeCell ref="I8:K8"/>
    <mergeCell ref="B10:F10"/>
    <mergeCell ref="H10:K10"/>
    <mergeCell ref="B11:F11"/>
    <mergeCell ref="H11:K11"/>
    <mergeCell ref="B6:F6"/>
    <mergeCell ref="H6:K6"/>
    <mergeCell ref="B1:K1"/>
    <mergeCell ref="B2:F2"/>
    <mergeCell ref="H2:K2"/>
    <mergeCell ref="B3:F4"/>
    <mergeCell ref="H3:K4"/>
  </mergeCells>
  <hyperlinks>
    <hyperlink ref="I8" r:id="rId1" xr:uid="{C4886516-4CAE-074C-9E42-86F79931F604}"/>
    <hyperlink ref="I8:K8" r:id="rId2" tooltip="Natuur &amp; Milieu, Factsheet brandstofranking" display="https://www.natuurenmilieu.nl/nieuwsberichten/brandstofranking/" xr:uid="{A7DE85DC-1275-134C-9203-93860D02DD09}"/>
  </hyperlinks>
  <pageMargins left="0.7" right="0.7" top="0.75" bottom="0.75" header="0.3" footer="0.3"/>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8C893-1E0C-B444-8B80-05104445C6FE}">
  <sheetPr codeName="Blad1">
    <tabColor theme="4"/>
  </sheetPr>
  <dimension ref="A1:AQ108"/>
  <sheetViews>
    <sheetView topLeftCell="A85" zoomScaleNormal="100" workbookViewId="0">
      <selection activeCell="B85" sqref="A1:XFD1048576"/>
    </sheetView>
  </sheetViews>
  <sheetFormatPr baseColWidth="10" defaultRowHeight="16"/>
  <cols>
    <col min="1" max="1" width="12.83203125" style="171" customWidth="1"/>
    <col min="2" max="2" width="50.5" style="171" bestFit="1" customWidth="1"/>
    <col min="3" max="3" width="13.6640625" style="171" customWidth="1"/>
    <col min="4" max="4" width="32" style="171" customWidth="1"/>
    <col min="5" max="5" width="9.5" style="171" customWidth="1"/>
    <col min="6" max="7" width="10.83203125" style="719"/>
    <col min="8" max="8" width="13" style="171" customWidth="1"/>
    <col min="9" max="13" width="15.5" style="171" customWidth="1"/>
    <col min="14" max="18" width="13" style="171" customWidth="1"/>
    <col min="19" max="19" width="13.1640625" style="171" customWidth="1"/>
    <col min="20" max="20" width="19.83203125" style="171" customWidth="1"/>
    <col min="21" max="22" width="19.83203125" style="171" hidden="1" customWidth="1"/>
    <col min="23" max="24" width="13" style="171" customWidth="1"/>
    <col min="25" max="25" width="13.1640625" style="171" customWidth="1"/>
    <col min="26" max="28" width="19.83203125" style="171" customWidth="1"/>
    <col min="29" max="31" width="15.6640625" style="171" customWidth="1"/>
    <col min="32" max="32" width="15.6640625" style="732" customWidth="1"/>
    <col min="33" max="34" width="15.6640625" style="171" customWidth="1"/>
    <col min="35" max="35" width="20.33203125" style="171" bestFit="1" customWidth="1"/>
    <col min="36" max="37" width="15.6640625" style="171" customWidth="1"/>
    <col min="38" max="40" width="19.6640625" style="1001" customWidth="1"/>
    <col min="41" max="41" width="15.33203125" style="171" customWidth="1"/>
    <col min="42" max="16384" width="10.83203125" style="171"/>
  </cols>
  <sheetData>
    <row r="1" spans="1:43" s="652" customFormat="1" ht="17" hidden="1" thickBot="1">
      <c r="B1" s="1644" t="s">
        <v>1054</v>
      </c>
      <c r="C1" s="1645"/>
      <c r="D1" s="1645"/>
      <c r="E1" s="1645"/>
      <c r="F1" s="1645"/>
      <c r="G1" s="1646"/>
      <c r="H1" s="1644" t="s">
        <v>1055</v>
      </c>
      <c r="I1" s="1645"/>
      <c r="J1" s="1645"/>
      <c r="K1" s="1645"/>
      <c r="L1" s="1645"/>
      <c r="M1" s="1645"/>
      <c r="N1" s="1645"/>
      <c r="O1" s="1645"/>
      <c r="P1" s="1645"/>
      <c r="Q1" s="1645"/>
      <c r="R1" s="1646"/>
      <c r="S1" s="1650" t="s">
        <v>1056</v>
      </c>
      <c r="T1" s="1650"/>
      <c r="U1" s="1650"/>
      <c r="V1" s="1650"/>
      <c r="W1" s="1650"/>
      <c r="X1" s="1650"/>
      <c r="Y1" s="1650"/>
      <c r="Z1" s="1650"/>
      <c r="AA1" s="1650"/>
      <c r="AB1" s="1650"/>
      <c r="AC1" s="1650"/>
      <c r="AD1" s="1650"/>
      <c r="AE1" s="1650"/>
      <c r="AF1" s="1650"/>
      <c r="AG1" s="1650"/>
      <c r="AH1" s="1650"/>
      <c r="AI1" s="1650"/>
      <c r="AJ1" s="1650"/>
      <c r="AK1" s="1651"/>
      <c r="AL1" s="1652" t="s">
        <v>1057</v>
      </c>
      <c r="AM1" s="1653"/>
      <c r="AN1" s="1653"/>
      <c r="AO1" s="1654"/>
    </row>
    <row r="2" spans="1:43" s="652" customFormat="1" ht="17" hidden="1" customHeight="1">
      <c r="B2" s="1647"/>
      <c r="C2" s="1648"/>
      <c r="D2" s="1648"/>
      <c r="E2" s="1648"/>
      <c r="F2" s="1648"/>
      <c r="G2" s="1649"/>
      <c r="H2" s="1647"/>
      <c r="I2" s="1648"/>
      <c r="J2" s="1648"/>
      <c r="K2" s="1648"/>
      <c r="L2" s="1648"/>
      <c r="M2" s="1648"/>
      <c r="N2" s="1648"/>
      <c r="O2" s="1648"/>
      <c r="P2" s="1648"/>
      <c r="Q2" s="1648"/>
      <c r="R2" s="1649"/>
      <c r="S2" s="1650" t="s">
        <v>1058</v>
      </c>
      <c r="T2" s="1650"/>
      <c r="U2" s="1650"/>
      <c r="V2" s="1651"/>
      <c r="W2" s="1658" t="s">
        <v>1059</v>
      </c>
      <c r="X2" s="1650"/>
      <c r="Y2" s="1651"/>
      <c r="Z2" s="1658" t="s">
        <v>1060</v>
      </c>
      <c r="AA2" s="1650"/>
      <c r="AB2" s="1650"/>
      <c r="AC2" s="1650"/>
      <c r="AD2" s="1651"/>
      <c r="AE2" s="1658" t="s">
        <v>1061</v>
      </c>
      <c r="AF2" s="1650"/>
      <c r="AG2" s="1650"/>
      <c r="AH2" s="1650"/>
      <c r="AI2" s="1650"/>
      <c r="AJ2" s="1650"/>
      <c r="AK2" s="1651"/>
      <c r="AL2" s="1655"/>
      <c r="AM2" s="1656"/>
      <c r="AN2" s="1656"/>
      <c r="AO2" s="1657"/>
    </row>
    <row r="3" spans="1:43" s="1107" customFormat="1" ht="69" thickBot="1">
      <c r="A3" s="1100" t="s">
        <v>1242</v>
      </c>
      <c r="B3" s="1100" t="s">
        <v>921</v>
      </c>
      <c r="C3" s="1100" t="s">
        <v>922</v>
      </c>
      <c r="D3" s="1100" t="s">
        <v>565</v>
      </c>
      <c r="E3" s="1101" t="s">
        <v>112</v>
      </c>
      <c r="F3" s="989" t="s">
        <v>1909</v>
      </c>
      <c r="G3" s="1101" t="s">
        <v>923</v>
      </c>
      <c r="H3" s="1100" t="s">
        <v>924</v>
      </c>
      <c r="I3" s="1100" t="s">
        <v>925</v>
      </c>
      <c r="J3" s="1100" t="s">
        <v>926</v>
      </c>
      <c r="K3" s="1100" t="s">
        <v>927</v>
      </c>
      <c r="L3" s="1100" t="s">
        <v>928</v>
      </c>
      <c r="M3" s="1100" t="s">
        <v>929</v>
      </c>
      <c r="N3" s="1100" t="s">
        <v>930</v>
      </c>
      <c r="O3" s="1100" t="s">
        <v>931</v>
      </c>
      <c r="P3" s="1102" t="s">
        <v>932</v>
      </c>
      <c r="Q3" s="1102" t="s">
        <v>933</v>
      </c>
      <c r="R3" s="1102" t="s">
        <v>934</v>
      </c>
      <c r="S3" s="1102" t="s">
        <v>935</v>
      </c>
      <c r="T3" s="1102" t="s">
        <v>936</v>
      </c>
      <c r="U3" s="1102" t="s">
        <v>1062</v>
      </c>
      <c r="V3" s="1102" t="s">
        <v>1063</v>
      </c>
      <c r="W3" s="1100" t="s">
        <v>937</v>
      </c>
      <c r="X3" s="1100" t="s">
        <v>938</v>
      </c>
      <c r="Y3" s="1100" t="s">
        <v>939</v>
      </c>
      <c r="Z3" s="1102" t="s">
        <v>1064</v>
      </c>
      <c r="AA3" s="1102" t="s">
        <v>1065</v>
      </c>
      <c r="AB3" s="1102" t="s">
        <v>1904</v>
      </c>
      <c r="AC3" s="1102" t="s">
        <v>519</v>
      </c>
      <c r="AD3" s="1102" t="s">
        <v>940</v>
      </c>
      <c r="AE3" s="1103" t="s">
        <v>941</v>
      </c>
      <c r="AF3" s="1104" t="s">
        <v>942</v>
      </c>
      <c r="AG3" s="1104" t="s">
        <v>943</v>
      </c>
      <c r="AH3" s="1104" t="s">
        <v>944</v>
      </c>
      <c r="AI3" s="1105" t="s">
        <v>945</v>
      </c>
      <c r="AJ3" s="1105" t="s">
        <v>946</v>
      </c>
      <c r="AK3" s="1105" t="s">
        <v>947</v>
      </c>
      <c r="AL3" s="1106" t="s">
        <v>1066</v>
      </c>
      <c r="AM3" s="1103" t="s">
        <v>121</v>
      </c>
      <c r="AN3" s="1105" t="s">
        <v>464</v>
      </c>
      <c r="AO3" s="1100" t="s">
        <v>948</v>
      </c>
    </row>
    <row r="4" spans="1:43" ht="16" customHeight="1" thickTop="1">
      <c r="A4" s="171" t="s">
        <v>848</v>
      </c>
      <c r="B4" s="1025" t="s">
        <v>578</v>
      </c>
      <c r="C4" s="1021">
        <v>43831</v>
      </c>
      <c r="D4" s="1025" t="s">
        <v>1023</v>
      </c>
      <c r="E4" s="1025" t="s">
        <v>7</v>
      </c>
      <c r="F4" s="719" t="str">
        <f>IF($A4="ja",E4,"")</f>
        <v>A</v>
      </c>
      <c r="G4" s="719">
        <v>4</v>
      </c>
      <c r="H4" s="1028">
        <v>1200</v>
      </c>
      <c r="I4" s="1025" t="s">
        <v>118</v>
      </c>
      <c r="J4" s="1025" t="s">
        <v>118</v>
      </c>
      <c r="K4" s="1028">
        <v>61</v>
      </c>
      <c r="L4" s="1028">
        <v>83</v>
      </c>
      <c r="M4" s="1028">
        <v>210</v>
      </c>
      <c r="N4" s="1028">
        <v>130</v>
      </c>
      <c r="O4" s="1025" t="s">
        <v>957</v>
      </c>
      <c r="P4" s="1025" t="s">
        <v>118</v>
      </c>
      <c r="Q4" s="1025" t="s">
        <v>118</v>
      </c>
      <c r="R4" s="1025" t="s">
        <v>118</v>
      </c>
      <c r="S4" s="1028">
        <v>36.799999999999997</v>
      </c>
      <c r="T4" s="1028">
        <v>36.799999999999997</v>
      </c>
      <c r="U4" s="1025"/>
      <c r="V4" s="1025"/>
      <c r="W4" s="1025" t="s">
        <v>118</v>
      </c>
      <c r="X4" s="1028">
        <v>260</v>
      </c>
      <c r="Y4" s="1028">
        <v>225</v>
      </c>
      <c r="Z4" s="1037" t="str">
        <f t="shared" ref="Z4:Z47" si="0">IF(W4="-","",S4/W4*100)</f>
        <v/>
      </c>
      <c r="AA4" s="1022">
        <f>IF(X4="-","",S4/X4*100)</f>
        <v>14.153846153846153</v>
      </c>
      <c r="AB4" s="1022"/>
      <c r="AC4" s="1028">
        <v>16.399999999999999</v>
      </c>
      <c r="AD4" s="1028">
        <v>1.8</v>
      </c>
      <c r="AE4" s="1028">
        <v>7.2</v>
      </c>
      <c r="AF4" s="732" t="s">
        <v>972</v>
      </c>
      <c r="AG4" s="1028">
        <v>40</v>
      </c>
      <c r="AH4" s="1025" t="s">
        <v>944</v>
      </c>
      <c r="AI4" s="1025" t="s">
        <v>958</v>
      </c>
      <c r="AJ4" s="1018">
        <f t="shared" ref="AJ4:AJ35" si="1">(($S4*$B$82)/$AE4)*60</f>
        <v>245.33333333333331</v>
      </c>
      <c r="AK4" s="1018">
        <f t="shared" ref="AK4:AK35" si="2">IF(AG4="-","",(($S4*$B$82)/$AG4)*60)</f>
        <v>44.16</v>
      </c>
      <c r="AL4" s="1039">
        <v>22000</v>
      </c>
      <c r="AM4" s="1039">
        <v>0</v>
      </c>
      <c r="AN4" s="1008">
        <f t="shared" ref="AN4:AN73" si="3">AO4*0.21</f>
        <v>3818.1818181818185</v>
      </c>
      <c r="AO4" s="1108">
        <f t="shared" ref="AO4:AO73" si="4">AL4*(100%/(100%+21%))</f>
        <v>18181.818181818184</v>
      </c>
      <c r="AQ4" s="652" t="s">
        <v>808</v>
      </c>
    </row>
    <row r="5" spans="1:43">
      <c r="A5" s="171" t="s">
        <v>848</v>
      </c>
      <c r="B5" s="1025" t="s">
        <v>1024</v>
      </c>
      <c r="C5" s="1021">
        <v>43831</v>
      </c>
      <c r="D5" s="1025" t="s">
        <v>1025</v>
      </c>
      <c r="E5" s="1025" t="s">
        <v>7</v>
      </c>
      <c r="F5" s="719" t="str">
        <f t="shared" ref="F5:F68" si="5">IF($A5="ja",E5,"")</f>
        <v>A</v>
      </c>
      <c r="G5" s="719">
        <v>4</v>
      </c>
      <c r="H5" s="1028">
        <v>1200</v>
      </c>
      <c r="I5" s="1028">
        <v>250</v>
      </c>
      <c r="J5" s="1028">
        <v>923</v>
      </c>
      <c r="K5" s="1028">
        <v>61</v>
      </c>
      <c r="L5" s="1028">
        <v>83</v>
      </c>
      <c r="M5" s="1028">
        <v>210</v>
      </c>
      <c r="N5" s="1028">
        <v>130</v>
      </c>
      <c r="O5" s="1025" t="s">
        <v>957</v>
      </c>
      <c r="P5" s="1025" t="s">
        <v>118</v>
      </c>
      <c r="Q5" s="1025" t="s">
        <v>118</v>
      </c>
      <c r="R5" s="1025" t="s">
        <v>118</v>
      </c>
      <c r="S5" s="1028">
        <v>36.799999999999997</v>
      </c>
      <c r="T5" s="1028">
        <v>36.799999999999997</v>
      </c>
      <c r="U5" s="1025"/>
      <c r="V5" s="1025"/>
      <c r="W5" s="1025" t="s">
        <v>118</v>
      </c>
      <c r="X5" s="1028">
        <v>265</v>
      </c>
      <c r="Y5" s="1028">
        <v>225</v>
      </c>
      <c r="Z5" s="1037" t="str">
        <f t="shared" si="0"/>
        <v/>
      </c>
      <c r="AA5" s="1022">
        <f>IF(X5="-","",S5/X5*100)</f>
        <v>13.886792452830187</v>
      </c>
      <c r="AB5" s="1022"/>
      <c r="AC5" s="1028">
        <v>16.399999999999999</v>
      </c>
      <c r="AD5" s="1028">
        <v>1.8</v>
      </c>
      <c r="AE5" s="1028">
        <v>7.2</v>
      </c>
      <c r="AF5" s="732" t="s">
        <v>972</v>
      </c>
      <c r="AG5" s="1028">
        <v>40</v>
      </c>
      <c r="AH5" s="1025" t="s">
        <v>944</v>
      </c>
      <c r="AI5" s="1025" t="s">
        <v>958</v>
      </c>
      <c r="AJ5" s="1018">
        <f t="shared" si="1"/>
        <v>245.33333333333331</v>
      </c>
      <c r="AK5" s="1018">
        <f t="shared" si="2"/>
        <v>44.16</v>
      </c>
      <c r="AL5" s="1039">
        <v>22000</v>
      </c>
      <c r="AM5" s="1039">
        <v>0</v>
      </c>
      <c r="AN5" s="1008">
        <f t="shared" si="3"/>
        <v>3818.1818181818185</v>
      </c>
      <c r="AO5" s="1108">
        <f t="shared" si="4"/>
        <v>18181.818181818184</v>
      </c>
      <c r="AQ5" s="1109">
        <v>43497</v>
      </c>
    </row>
    <row r="6" spans="1:43">
      <c r="A6" s="171" t="s">
        <v>848</v>
      </c>
      <c r="B6" s="1025" t="s">
        <v>1026</v>
      </c>
      <c r="C6" s="1021">
        <v>43862</v>
      </c>
      <c r="D6" s="1025" t="s">
        <v>1027</v>
      </c>
      <c r="E6" s="1025" t="s">
        <v>7</v>
      </c>
      <c r="F6" s="719" t="str">
        <f t="shared" si="5"/>
        <v>A</v>
      </c>
      <c r="G6" s="719">
        <v>4</v>
      </c>
      <c r="H6" s="1028">
        <v>1200</v>
      </c>
      <c r="I6" s="1028">
        <v>251</v>
      </c>
      <c r="J6" s="1028">
        <v>923</v>
      </c>
      <c r="K6" s="1028">
        <v>61</v>
      </c>
      <c r="L6" s="1028">
        <v>83</v>
      </c>
      <c r="M6" s="1028">
        <v>212</v>
      </c>
      <c r="N6" s="1028">
        <v>130</v>
      </c>
      <c r="O6" s="1025" t="s">
        <v>1028</v>
      </c>
      <c r="P6" s="1025" t="s">
        <v>118</v>
      </c>
      <c r="Q6" s="1025" t="s">
        <v>118</v>
      </c>
      <c r="R6" s="1025" t="s">
        <v>118</v>
      </c>
      <c r="S6" s="1028">
        <v>26.8</v>
      </c>
      <c r="T6" s="1028">
        <v>36.799999999999997</v>
      </c>
      <c r="U6" s="1025"/>
      <c r="V6" s="1025"/>
      <c r="W6" s="1025" t="s">
        <v>118</v>
      </c>
      <c r="X6" s="1028">
        <v>260</v>
      </c>
      <c r="Y6" s="1028">
        <v>225</v>
      </c>
      <c r="Z6" s="1037" t="str">
        <f t="shared" si="0"/>
        <v/>
      </c>
      <c r="AA6" s="1022">
        <f>IF(X6="-","",S6/X6*100)</f>
        <v>10.307692307692308</v>
      </c>
      <c r="AB6" s="1022"/>
      <c r="AC6" s="1028">
        <v>16.399999999999999</v>
      </c>
      <c r="AD6" s="1028">
        <v>1.8</v>
      </c>
      <c r="AE6" s="1028">
        <v>7.2</v>
      </c>
      <c r="AF6" s="732" t="s">
        <v>972</v>
      </c>
      <c r="AG6" s="1028">
        <v>40</v>
      </c>
      <c r="AH6" s="1025" t="s">
        <v>944</v>
      </c>
      <c r="AI6" s="1025" t="s">
        <v>958</v>
      </c>
      <c r="AJ6" s="1018">
        <f t="shared" si="1"/>
        <v>178.66666666666669</v>
      </c>
      <c r="AK6" s="1018">
        <f t="shared" si="2"/>
        <v>32.160000000000004</v>
      </c>
      <c r="AL6" s="1039">
        <v>22000</v>
      </c>
      <c r="AM6" s="1039">
        <v>0</v>
      </c>
      <c r="AN6" s="1008">
        <f t="shared" si="3"/>
        <v>3818.1818181818185</v>
      </c>
      <c r="AO6" s="1108">
        <f t="shared" si="4"/>
        <v>18181.818181818184</v>
      </c>
      <c r="AQ6" s="703" t="s">
        <v>1051</v>
      </c>
    </row>
    <row r="7" spans="1:43">
      <c r="A7" s="171" t="s">
        <v>848</v>
      </c>
      <c r="B7" s="1025" t="s">
        <v>949</v>
      </c>
      <c r="C7" s="1021">
        <v>42461</v>
      </c>
      <c r="D7" s="1025" t="s">
        <v>950</v>
      </c>
      <c r="E7" s="1025" t="s">
        <v>7</v>
      </c>
      <c r="F7" s="719" t="str">
        <f t="shared" si="5"/>
        <v>A</v>
      </c>
      <c r="G7" s="1028">
        <v>4</v>
      </c>
      <c r="H7" s="1028">
        <v>1100</v>
      </c>
      <c r="I7" s="1028">
        <v>166</v>
      </c>
      <c r="J7" s="1028">
        <v>860</v>
      </c>
      <c r="K7" s="1028">
        <v>47</v>
      </c>
      <c r="L7" s="1028">
        <v>64</v>
      </c>
      <c r="M7" s="1028">
        <v>196</v>
      </c>
      <c r="N7" s="1028">
        <v>130</v>
      </c>
      <c r="O7" s="1025" t="s">
        <v>951</v>
      </c>
      <c r="P7" s="1025" t="s">
        <v>952</v>
      </c>
      <c r="Q7" s="1025" t="s">
        <v>118</v>
      </c>
      <c r="R7" s="1025" t="s">
        <v>118</v>
      </c>
      <c r="S7" s="1028">
        <v>16</v>
      </c>
      <c r="T7" s="1028">
        <v>14.5</v>
      </c>
      <c r="U7" s="1025"/>
      <c r="V7" s="1025"/>
      <c r="W7" s="1028">
        <v>150</v>
      </c>
      <c r="X7" s="1025" t="s">
        <v>118</v>
      </c>
      <c r="Y7" s="1028">
        <v>90</v>
      </c>
      <c r="Z7" s="1022">
        <f t="shared" si="0"/>
        <v>10.666666666666668</v>
      </c>
      <c r="AA7" s="1037">
        <f>Z7*Factor_WLTP_NEDC</f>
        <v>13.466680494842878</v>
      </c>
      <c r="AB7" s="1037"/>
      <c r="AC7" s="1028">
        <v>16.7</v>
      </c>
      <c r="AD7" s="1028">
        <v>1.8</v>
      </c>
      <c r="AE7" s="1028">
        <v>3.7</v>
      </c>
      <c r="AF7" s="732" t="s">
        <v>953</v>
      </c>
      <c r="AG7" s="1028">
        <v>40</v>
      </c>
      <c r="AH7" s="1025" t="s">
        <v>944</v>
      </c>
      <c r="AI7" s="1025" t="s">
        <v>954</v>
      </c>
      <c r="AJ7" s="1018">
        <f t="shared" si="1"/>
        <v>207.56756756756758</v>
      </c>
      <c r="AK7" s="1018">
        <f t="shared" si="2"/>
        <v>19.2</v>
      </c>
      <c r="AL7" s="1039">
        <v>22360</v>
      </c>
      <c r="AM7" s="1039">
        <v>0</v>
      </c>
      <c r="AN7" s="1008">
        <f t="shared" si="3"/>
        <v>3880.6611570247937</v>
      </c>
      <c r="AO7" s="1108">
        <f t="shared" si="4"/>
        <v>18479.338842975209</v>
      </c>
    </row>
    <row r="8" spans="1:43">
      <c r="A8" s="171" t="s">
        <v>848</v>
      </c>
      <c r="B8" s="1025" t="s">
        <v>595</v>
      </c>
      <c r="C8" s="1021">
        <v>42461</v>
      </c>
      <c r="D8" s="1025" t="s">
        <v>955</v>
      </c>
      <c r="E8" s="1025" t="s">
        <v>7</v>
      </c>
      <c r="F8" s="719" t="str">
        <f t="shared" si="5"/>
        <v>A</v>
      </c>
      <c r="G8" s="1028">
        <v>4</v>
      </c>
      <c r="H8" s="1028">
        <v>1100</v>
      </c>
      <c r="I8" s="1028">
        <v>166</v>
      </c>
      <c r="J8" s="1028">
        <v>860</v>
      </c>
      <c r="K8" s="1028">
        <v>47</v>
      </c>
      <c r="L8" s="1028">
        <v>64</v>
      </c>
      <c r="M8" s="1028">
        <v>196</v>
      </c>
      <c r="N8" s="1028">
        <v>130</v>
      </c>
      <c r="O8" s="1025" t="s">
        <v>951</v>
      </c>
      <c r="P8" s="1025" t="s">
        <v>952</v>
      </c>
      <c r="Q8" s="1025" t="s">
        <v>118</v>
      </c>
      <c r="R8" s="1025" t="s">
        <v>118</v>
      </c>
      <c r="S8" s="1028">
        <v>16</v>
      </c>
      <c r="T8" s="1028">
        <v>14.5</v>
      </c>
      <c r="U8" s="1025"/>
      <c r="V8" s="1025"/>
      <c r="W8" s="1028">
        <v>150</v>
      </c>
      <c r="X8" s="1025" t="s">
        <v>118</v>
      </c>
      <c r="Y8" s="1028">
        <v>90</v>
      </c>
      <c r="Z8" s="1022">
        <f t="shared" si="0"/>
        <v>10.666666666666668</v>
      </c>
      <c r="AA8" s="1037">
        <f>Z8*Factor_WLTP_NEDC</f>
        <v>13.466680494842878</v>
      </c>
      <c r="AB8" s="1037"/>
      <c r="AC8" s="1028">
        <v>16.7</v>
      </c>
      <c r="AD8" s="1028">
        <v>1.8</v>
      </c>
      <c r="AE8" s="1028">
        <v>3.7</v>
      </c>
      <c r="AF8" s="732" t="s">
        <v>953</v>
      </c>
      <c r="AG8" s="1028">
        <v>40</v>
      </c>
      <c r="AH8" s="1025" t="s">
        <v>944</v>
      </c>
      <c r="AI8" s="1025" t="s">
        <v>954</v>
      </c>
      <c r="AJ8" s="1018">
        <f t="shared" si="1"/>
        <v>207.56756756756758</v>
      </c>
      <c r="AK8" s="1018">
        <f t="shared" si="2"/>
        <v>19.2</v>
      </c>
      <c r="AL8" s="1039">
        <v>22360</v>
      </c>
      <c r="AM8" s="1039">
        <v>0</v>
      </c>
      <c r="AN8" s="1008">
        <f t="shared" si="3"/>
        <v>3880.6611570247937</v>
      </c>
      <c r="AO8" s="1108">
        <f t="shared" si="4"/>
        <v>18479.338842975209</v>
      </c>
      <c r="AQ8" s="652" t="s">
        <v>1052</v>
      </c>
    </row>
    <row r="9" spans="1:43">
      <c r="A9" s="171" t="s">
        <v>848</v>
      </c>
      <c r="B9" s="1025" t="s">
        <v>959</v>
      </c>
      <c r="C9" s="1021">
        <v>43344</v>
      </c>
      <c r="D9" s="1025" t="s">
        <v>966</v>
      </c>
      <c r="E9" s="1025" t="s">
        <v>7</v>
      </c>
      <c r="F9" s="719" t="str">
        <f t="shared" si="5"/>
        <v>A</v>
      </c>
      <c r="G9" s="719">
        <v>4</v>
      </c>
      <c r="H9" s="1028">
        <v>1100</v>
      </c>
      <c r="I9" s="1028">
        <v>185</v>
      </c>
      <c r="J9" s="1028">
        <v>975</v>
      </c>
      <c r="K9" s="1028">
        <v>60</v>
      </c>
      <c r="L9" s="1028">
        <v>82</v>
      </c>
      <c r="M9" s="1028">
        <v>160</v>
      </c>
      <c r="N9" s="1028">
        <v>130</v>
      </c>
      <c r="O9" s="1025" t="s">
        <v>951</v>
      </c>
      <c r="P9" s="1025" t="s">
        <v>952</v>
      </c>
      <c r="Q9" s="1025" t="s">
        <v>118</v>
      </c>
      <c r="R9" s="1025" t="s">
        <v>118</v>
      </c>
      <c r="S9" s="1028">
        <v>17.600000000000001</v>
      </c>
      <c r="T9" s="1028">
        <v>16.7</v>
      </c>
      <c r="U9" s="1025"/>
      <c r="V9" s="1025"/>
      <c r="W9" s="1028">
        <v>160</v>
      </c>
      <c r="X9" s="1025" t="s">
        <v>118</v>
      </c>
      <c r="Y9" s="1028">
        <v>90</v>
      </c>
      <c r="Z9" s="1022">
        <f t="shared" si="0"/>
        <v>11.000000000000002</v>
      </c>
      <c r="AA9" s="1037">
        <f>Z9*Factor_WLTP_NEDC</f>
        <v>13.887514260306718</v>
      </c>
      <c r="AB9" s="1037"/>
      <c r="AC9" s="1028">
        <v>18.600000000000001</v>
      </c>
      <c r="AD9" s="1028">
        <v>2.1</v>
      </c>
      <c r="AE9" s="1028">
        <v>4.5999999999999996</v>
      </c>
      <c r="AF9" s="732" t="s">
        <v>961</v>
      </c>
      <c r="AG9" s="719" t="s">
        <v>118</v>
      </c>
      <c r="AH9" s="1025" t="s">
        <v>962</v>
      </c>
      <c r="AI9" s="1025" t="s">
        <v>963</v>
      </c>
      <c r="AJ9" s="1018">
        <f t="shared" si="1"/>
        <v>183.6521739130435</v>
      </c>
      <c r="AK9" s="1110" t="str">
        <f t="shared" si="2"/>
        <v/>
      </c>
      <c r="AL9" s="1039">
        <v>23995</v>
      </c>
      <c r="AM9" s="1039">
        <v>0</v>
      </c>
      <c r="AN9" s="1008">
        <f t="shared" si="3"/>
        <v>4164.4214876033056</v>
      </c>
      <c r="AO9" s="1108">
        <f t="shared" si="4"/>
        <v>19830.578512396696</v>
      </c>
      <c r="AQ9" s="171" t="s">
        <v>1053</v>
      </c>
    </row>
    <row r="10" spans="1:43">
      <c r="A10" s="171" t="s">
        <v>848</v>
      </c>
      <c r="B10" s="1025" t="s">
        <v>959</v>
      </c>
      <c r="C10" s="1021">
        <v>43282</v>
      </c>
      <c r="D10" s="1025" t="s">
        <v>964</v>
      </c>
      <c r="E10" s="1025" t="s">
        <v>7</v>
      </c>
      <c r="F10" s="719" t="str">
        <f t="shared" si="5"/>
        <v>A</v>
      </c>
      <c r="G10" s="719">
        <v>2</v>
      </c>
      <c r="H10" s="1028">
        <v>985</v>
      </c>
      <c r="I10" s="1028">
        <v>260</v>
      </c>
      <c r="J10" s="1028">
        <v>350</v>
      </c>
      <c r="K10" s="1028">
        <v>60</v>
      </c>
      <c r="L10" s="1028">
        <v>82</v>
      </c>
      <c r="M10" s="1028">
        <v>160</v>
      </c>
      <c r="N10" s="1028">
        <v>130</v>
      </c>
      <c r="O10" s="1025" t="s">
        <v>951</v>
      </c>
      <c r="P10" s="1025" t="s">
        <v>952</v>
      </c>
      <c r="Q10" s="1025" t="s">
        <v>118</v>
      </c>
      <c r="R10" s="1025" t="s">
        <v>118</v>
      </c>
      <c r="S10" s="1028">
        <v>17.600000000000001</v>
      </c>
      <c r="T10" s="1028">
        <v>16.7</v>
      </c>
      <c r="U10" s="1025"/>
      <c r="V10" s="1025"/>
      <c r="W10" s="1028">
        <v>160</v>
      </c>
      <c r="X10" s="1025" t="s">
        <v>118</v>
      </c>
      <c r="Y10" s="1028">
        <v>105</v>
      </c>
      <c r="Z10" s="1022">
        <f t="shared" si="0"/>
        <v>11.000000000000002</v>
      </c>
      <c r="AA10" s="1037">
        <f>Z10*Factor_WLTP_NEDC</f>
        <v>13.887514260306718</v>
      </c>
      <c r="AB10" s="1037"/>
      <c r="AC10" s="1028">
        <v>15.9</v>
      </c>
      <c r="AD10" s="1028">
        <v>1.8</v>
      </c>
      <c r="AE10" s="1028">
        <v>22</v>
      </c>
      <c r="AF10" s="732" t="s">
        <v>961</v>
      </c>
      <c r="AG10" s="719" t="s">
        <v>118</v>
      </c>
      <c r="AH10" s="1025" t="s">
        <v>965</v>
      </c>
      <c r="AI10" s="1025" t="s">
        <v>963</v>
      </c>
      <c r="AJ10" s="1018">
        <f t="shared" si="1"/>
        <v>38.400000000000006</v>
      </c>
      <c r="AK10" s="1110" t="str">
        <f t="shared" si="2"/>
        <v/>
      </c>
      <c r="AL10" s="1039">
        <v>23995</v>
      </c>
      <c r="AM10" s="1039">
        <v>0</v>
      </c>
      <c r="AN10" s="1008">
        <f t="shared" si="3"/>
        <v>4164.4214876033056</v>
      </c>
      <c r="AO10" s="1108">
        <f t="shared" si="4"/>
        <v>19830.578512396696</v>
      </c>
    </row>
    <row r="11" spans="1:43">
      <c r="A11" s="171" t="s">
        <v>848</v>
      </c>
      <c r="B11" s="1025" t="s">
        <v>578</v>
      </c>
      <c r="C11" s="1021">
        <v>42614</v>
      </c>
      <c r="D11" s="1025" t="s">
        <v>956</v>
      </c>
      <c r="E11" s="1025" t="s">
        <v>7</v>
      </c>
      <c r="F11" s="719" t="str">
        <f t="shared" si="5"/>
        <v>A</v>
      </c>
      <c r="G11" s="1028">
        <v>4</v>
      </c>
      <c r="H11" s="1028">
        <v>1129</v>
      </c>
      <c r="I11" s="1028">
        <v>250</v>
      </c>
      <c r="J11" s="1028">
        <v>923</v>
      </c>
      <c r="K11" s="1028">
        <v>60</v>
      </c>
      <c r="L11" s="1028">
        <v>82</v>
      </c>
      <c r="M11" s="1028">
        <v>210</v>
      </c>
      <c r="N11" s="1028">
        <v>130</v>
      </c>
      <c r="O11" s="1025" t="s">
        <v>957</v>
      </c>
      <c r="P11" s="1025" t="s">
        <v>952</v>
      </c>
      <c r="Q11" s="1025" t="s">
        <v>118</v>
      </c>
      <c r="R11" s="1025" t="s">
        <v>118</v>
      </c>
      <c r="S11" s="1028">
        <v>18.7</v>
      </c>
      <c r="T11" s="1028">
        <v>16</v>
      </c>
      <c r="U11" s="1025"/>
      <c r="V11" s="1025"/>
      <c r="W11" s="1028">
        <v>160</v>
      </c>
      <c r="X11" s="1028">
        <v>133</v>
      </c>
      <c r="Y11" s="1028">
        <v>95</v>
      </c>
      <c r="Z11" s="1022">
        <f t="shared" si="0"/>
        <v>11.6875</v>
      </c>
      <c r="AA11" s="1022">
        <f>IF(X11="-","",S11/X11*100)</f>
        <v>14.060150375939848</v>
      </c>
      <c r="AB11" s="1111">
        <f>AA11/Z11</f>
        <v>1.2030075187969924</v>
      </c>
      <c r="AC11" s="1028">
        <v>16.8</v>
      </c>
      <c r="AD11" s="1028">
        <v>1.9</v>
      </c>
      <c r="AE11" s="1028">
        <v>3.7</v>
      </c>
      <c r="AF11" s="732" t="s">
        <v>953</v>
      </c>
      <c r="AG11" s="1028">
        <v>50</v>
      </c>
      <c r="AH11" s="1025" t="s">
        <v>944</v>
      </c>
      <c r="AI11" s="1025" t="s">
        <v>958</v>
      </c>
      <c r="AJ11" s="1018">
        <f t="shared" si="1"/>
        <v>242.59459459459461</v>
      </c>
      <c r="AK11" s="1018">
        <f t="shared" si="2"/>
        <v>17.952000000000002</v>
      </c>
      <c r="AL11" s="1039">
        <v>25095</v>
      </c>
      <c r="AM11" s="1039">
        <v>0</v>
      </c>
      <c r="AN11" s="1008">
        <f t="shared" si="3"/>
        <v>4355.3305785123966</v>
      </c>
      <c r="AO11" s="1108">
        <f t="shared" si="4"/>
        <v>20739.669421487604</v>
      </c>
    </row>
    <row r="12" spans="1:43">
      <c r="A12" s="171" t="s">
        <v>848</v>
      </c>
      <c r="B12" s="1025" t="s">
        <v>959</v>
      </c>
      <c r="C12" s="1021">
        <v>43282</v>
      </c>
      <c r="D12" s="1025" t="s">
        <v>960</v>
      </c>
      <c r="E12" s="1025" t="s">
        <v>7</v>
      </c>
      <c r="F12" s="719" t="str">
        <f t="shared" si="5"/>
        <v>A</v>
      </c>
      <c r="G12" s="719">
        <v>2</v>
      </c>
      <c r="H12" s="1028">
        <v>1015</v>
      </c>
      <c r="I12" s="1028">
        <v>260</v>
      </c>
      <c r="J12" s="1028">
        <v>340</v>
      </c>
      <c r="K12" s="1028">
        <v>60</v>
      </c>
      <c r="L12" s="1028">
        <v>82</v>
      </c>
      <c r="M12" s="1028">
        <v>160</v>
      </c>
      <c r="N12" s="1028">
        <v>130</v>
      </c>
      <c r="O12" s="1025" t="s">
        <v>951</v>
      </c>
      <c r="P12" s="1025" t="s">
        <v>952</v>
      </c>
      <c r="Q12" s="1025" t="s">
        <v>118</v>
      </c>
      <c r="R12" s="1025" t="s">
        <v>118</v>
      </c>
      <c r="S12" s="1028">
        <v>17.600000000000001</v>
      </c>
      <c r="T12" s="1028">
        <v>16.7</v>
      </c>
      <c r="U12" s="1025"/>
      <c r="V12" s="1025"/>
      <c r="W12" s="1028">
        <v>155</v>
      </c>
      <c r="X12" s="1025" t="s">
        <v>118</v>
      </c>
      <c r="Y12" s="1028">
        <v>95</v>
      </c>
      <c r="Z12" s="1022">
        <f t="shared" si="0"/>
        <v>11.35483870967742</v>
      </c>
      <c r="AA12" s="1037">
        <f>Z12*Factor_WLTP_NEDC</f>
        <v>14.335498591284352</v>
      </c>
      <c r="AB12" s="1037"/>
      <c r="AC12" s="1028">
        <v>17.600000000000001</v>
      </c>
      <c r="AD12" s="1028">
        <v>2</v>
      </c>
      <c r="AE12" s="1028">
        <v>22</v>
      </c>
      <c r="AF12" s="732" t="s">
        <v>961</v>
      </c>
      <c r="AG12" s="719" t="s">
        <v>118</v>
      </c>
      <c r="AH12" s="1025" t="s">
        <v>962</v>
      </c>
      <c r="AI12" s="1025" t="s">
        <v>963</v>
      </c>
      <c r="AJ12" s="1018">
        <f t="shared" si="1"/>
        <v>38.400000000000006</v>
      </c>
      <c r="AK12" s="1110" t="str">
        <f t="shared" si="2"/>
        <v/>
      </c>
      <c r="AL12" s="1039">
        <v>26995</v>
      </c>
      <c r="AM12" s="1039">
        <v>0</v>
      </c>
      <c r="AN12" s="1008">
        <f t="shared" si="3"/>
        <v>4685.0826446280989</v>
      </c>
      <c r="AO12" s="1108">
        <f t="shared" si="4"/>
        <v>22309.917355371901</v>
      </c>
    </row>
    <row r="13" spans="1:43">
      <c r="A13" s="171" t="s">
        <v>848</v>
      </c>
      <c r="B13" s="1025" t="s">
        <v>978</v>
      </c>
      <c r="C13" s="1021">
        <v>44013</v>
      </c>
      <c r="D13" s="1025" t="s">
        <v>979</v>
      </c>
      <c r="E13" s="1025" t="s">
        <v>12</v>
      </c>
      <c r="F13" s="719" t="str">
        <f t="shared" si="5"/>
        <v>B</v>
      </c>
      <c r="G13" s="719">
        <v>5</v>
      </c>
      <c r="H13" s="1028">
        <v>1400</v>
      </c>
      <c r="I13" s="1028">
        <v>650</v>
      </c>
      <c r="J13" s="1028">
        <v>1250</v>
      </c>
      <c r="K13" s="1028">
        <v>120</v>
      </c>
      <c r="L13" s="1028">
        <v>163</v>
      </c>
      <c r="M13" s="1028">
        <v>290</v>
      </c>
      <c r="N13" s="1028">
        <v>140</v>
      </c>
      <c r="O13" s="1025" t="s">
        <v>957</v>
      </c>
      <c r="P13" s="1025" t="s">
        <v>972</v>
      </c>
      <c r="Q13" s="1025" t="s">
        <v>118</v>
      </c>
      <c r="R13" s="1028">
        <v>750</v>
      </c>
      <c r="S13" s="1028">
        <v>35</v>
      </c>
      <c r="T13" s="1028">
        <v>35</v>
      </c>
      <c r="U13" s="1025"/>
      <c r="V13" s="1025"/>
      <c r="W13" s="1025" t="s">
        <v>118</v>
      </c>
      <c r="X13" s="1028">
        <v>255</v>
      </c>
      <c r="Y13" s="1028">
        <v>225</v>
      </c>
      <c r="Z13" s="1037" t="str">
        <f t="shared" si="0"/>
        <v/>
      </c>
      <c r="AA13" s="1022">
        <f>IF(X13="-","",S13/X13*100)</f>
        <v>13.725490196078432</v>
      </c>
      <c r="AB13" s="1022"/>
      <c r="AC13" s="1028">
        <v>15.2</v>
      </c>
      <c r="AD13" s="1028">
        <v>1.7</v>
      </c>
      <c r="AE13" s="1028">
        <v>11</v>
      </c>
      <c r="AF13" s="732" t="s">
        <v>953</v>
      </c>
      <c r="AG13" s="1028">
        <v>50</v>
      </c>
      <c r="AH13" s="1025" t="s">
        <v>944</v>
      </c>
      <c r="AI13" s="1025" t="s">
        <v>958</v>
      </c>
      <c r="AJ13" s="1018">
        <f t="shared" si="1"/>
        <v>152.72727272727272</v>
      </c>
      <c r="AK13" s="1018">
        <f t="shared" si="2"/>
        <v>33.6</v>
      </c>
      <c r="AL13" s="1039">
        <v>26000</v>
      </c>
      <c r="AM13" s="1039">
        <v>0</v>
      </c>
      <c r="AN13" s="1008">
        <f t="shared" si="3"/>
        <v>4512.3966942148754</v>
      </c>
      <c r="AO13" s="1108">
        <f t="shared" si="4"/>
        <v>21487.603305785124</v>
      </c>
    </row>
    <row r="14" spans="1:43">
      <c r="A14" s="171" t="s">
        <v>848</v>
      </c>
      <c r="B14" s="1025" t="s">
        <v>1034</v>
      </c>
      <c r="C14" s="1021">
        <v>43891</v>
      </c>
      <c r="D14" s="1025" t="s">
        <v>1035</v>
      </c>
      <c r="E14" s="1025" t="s">
        <v>12</v>
      </c>
      <c r="F14" s="719" t="str">
        <f t="shared" si="5"/>
        <v>B</v>
      </c>
      <c r="G14" s="719">
        <v>5</v>
      </c>
      <c r="H14" s="1028">
        <v>1455</v>
      </c>
      <c r="I14" s="1028">
        <v>309</v>
      </c>
      <c r="J14" s="1028">
        <v>1118</v>
      </c>
      <c r="K14" s="1028">
        <v>100</v>
      </c>
      <c r="L14" s="1028">
        <v>136</v>
      </c>
      <c r="M14" s="1028">
        <v>260</v>
      </c>
      <c r="N14" s="1028">
        <v>150</v>
      </c>
      <c r="O14" s="1025" t="s">
        <v>957</v>
      </c>
      <c r="P14" s="1025" t="s">
        <v>952</v>
      </c>
      <c r="Q14" s="1025" t="s">
        <v>118</v>
      </c>
      <c r="R14" s="1025" t="s">
        <v>118</v>
      </c>
      <c r="S14" s="1028">
        <v>50</v>
      </c>
      <c r="T14" s="1028">
        <v>47.5</v>
      </c>
      <c r="U14" s="1025"/>
      <c r="V14" s="1025"/>
      <c r="W14" s="1025" t="s">
        <v>118</v>
      </c>
      <c r="X14" s="1028">
        <v>330</v>
      </c>
      <c r="Y14" s="1028">
        <v>290</v>
      </c>
      <c r="Z14" s="1037" t="str">
        <f t="shared" si="0"/>
        <v/>
      </c>
      <c r="AA14" s="1022">
        <f>IF(X14="-","",S14/X14*100)</f>
        <v>15.151515151515152</v>
      </c>
      <c r="AB14" s="1022"/>
      <c r="AC14" s="1022">
        <v>16.399999999999999</v>
      </c>
      <c r="AD14" s="1022">
        <v>1.8</v>
      </c>
      <c r="AE14" s="1022">
        <v>11</v>
      </c>
      <c r="AF14" s="732" t="s">
        <v>972</v>
      </c>
      <c r="AG14" s="1022">
        <v>100</v>
      </c>
      <c r="AH14" s="1025" t="s">
        <v>944</v>
      </c>
      <c r="AI14" s="1025" t="s">
        <v>958</v>
      </c>
      <c r="AJ14" s="1018">
        <f t="shared" si="1"/>
        <v>218.18181818181819</v>
      </c>
      <c r="AK14" s="1018">
        <f t="shared" si="2"/>
        <v>24</v>
      </c>
      <c r="AL14" s="1039">
        <v>30999</v>
      </c>
      <c r="AM14" s="1039">
        <v>0</v>
      </c>
      <c r="AN14" s="1008">
        <f t="shared" si="3"/>
        <v>5379.9917355371899</v>
      </c>
      <c r="AO14" s="1108">
        <f t="shared" si="4"/>
        <v>25619.008264462809</v>
      </c>
    </row>
    <row r="15" spans="1:43">
      <c r="A15" s="171" t="s">
        <v>848</v>
      </c>
      <c r="B15" s="1025" t="s">
        <v>588</v>
      </c>
      <c r="C15" s="1021">
        <v>43313</v>
      </c>
      <c r="D15" s="1025" t="s">
        <v>967</v>
      </c>
      <c r="E15" s="1025" t="s">
        <v>12</v>
      </c>
      <c r="F15" s="719" t="str">
        <f t="shared" si="5"/>
        <v>B</v>
      </c>
      <c r="G15" s="719">
        <v>5</v>
      </c>
      <c r="H15" s="1028">
        <v>1455</v>
      </c>
      <c r="I15" s="1028">
        <v>338</v>
      </c>
      <c r="J15" s="1028">
        <v>1225</v>
      </c>
      <c r="K15" s="1028">
        <v>68</v>
      </c>
      <c r="L15" s="1028">
        <v>92</v>
      </c>
      <c r="M15" s="1028">
        <v>225</v>
      </c>
      <c r="N15" s="1028">
        <v>135</v>
      </c>
      <c r="O15" s="1025" t="s">
        <v>957</v>
      </c>
      <c r="P15" s="1025" t="s">
        <v>952</v>
      </c>
      <c r="Q15" s="1025" t="s">
        <v>118</v>
      </c>
      <c r="R15" s="1025" t="s">
        <v>118</v>
      </c>
      <c r="S15" s="1028">
        <v>44.1</v>
      </c>
      <c r="T15" s="1028">
        <v>41</v>
      </c>
      <c r="U15" s="1025"/>
      <c r="V15" s="1025"/>
      <c r="W15" s="1028">
        <v>317</v>
      </c>
      <c r="X15" s="1025" t="s">
        <v>118</v>
      </c>
      <c r="Y15" s="1028">
        <v>260</v>
      </c>
      <c r="Z15" s="1022">
        <f t="shared" si="0"/>
        <v>13.911671924290223</v>
      </c>
      <c r="AA15" s="1037">
        <f>Z15*Factor_WLTP_NEDC</f>
        <v>17.563503839389913</v>
      </c>
      <c r="AB15" s="1037"/>
      <c r="AC15" s="1028">
        <v>15.4</v>
      </c>
      <c r="AD15" s="1028">
        <v>1.8</v>
      </c>
      <c r="AE15" s="1028">
        <v>22</v>
      </c>
      <c r="AF15" s="732" t="s">
        <v>961</v>
      </c>
      <c r="AG15" s="719" t="s">
        <v>118</v>
      </c>
      <c r="AH15" s="1025" t="s">
        <v>962</v>
      </c>
      <c r="AI15" s="1025" t="s">
        <v>963</v>
      </c>
      <c r="AJ15" s="1018">
        <f t="shared" si="1"/>
        <v>96.218181818181819</v>
      </c>
      <c r="AK15" s="1110" t="str">
        <f t="shared" si="2"/>
        <v/>
      </c>
      <c r="AL15" s="1039">
        <v>32890</v>
      </c>
      <c r="AM15" s="1039">
        <v>0</v>
      </c>
      <c r="AN15" s="1008">
        <f t="shared" si="3"/>
        <v>5708.181818181818</v>
      </c>
      <c r="AO15" s="1108">
        <f t="shared" si="4"/>
        <v>27181.818181818184</v>
      </c>
    </row>
    <row r="16" spans="1:43">
      <c r="A16" s="171" t="s">
        <v>848</v>
      </c>
      <c r="B16" s="1025" t="s">
        <v>974</v>
      </c>
      <c r="C16" s="1021">
        <v>43891</v>
      </c>
      <c r="D16" s="1025" t="s">
        <v>975</v>
      </c>
      <c r="E16" s="1025" t="s">
        <v>12</v>
      </c>
      <c r="F16" s="719" t="str">
        <f t="shared" si="5"/>
        <v>B</v>
      </c>
      <c r="G16" s="719">
        <v>4</v>
      </c>
      <c r="H16" s="1028">
        <v>1365</v>
      </c>
      <c r="I16" s="1028">
        <v>211</v>
      </c>
      <c r="J16" s="1028">
        <v>731</v>
      </c>
      <c r="K16" s="1028">
        <v>135</v>
      </c>
      <c r="L16" s="1028">
        <v>184</v>
      </c>
      <c r="M16" s="1028">
        <v>270</v>
      </c>
      <c r="N16" s="1028">
        <v>150</v>
      </c>
      <c r="O16" s="1025" t="s">
        <v>957</v>
      </c>
      <c r="P16" s="1025" t="s">
        <v>118</v>
      </c>
      <c r="Q16" s="1025" t="s">
        <v>118</v>
      </c>
      <c r="R16" s="1025" t="s">
        <v>118</v>
      </c>
      <c r="S16" s="1028">
        <v>32.6</v>
      </c>
      <c r="T16" s="1028">
        <v>28.9</v>
      </c>
      <c r="U16" s="1025"/>
      <c r="V16" s="1025"/>
      <c r="W16" s="1025" t="s">
        <v>118</v>
      </c>
      <c r="X16" s="1028">
        <v>232</v>
      </c>
      <c r="Y16" s="1028">
        <v>185</v>
      </c>
      <c r="Z16" s="1037" t="str">
        <f t="shared" si="0"/>
        <v/>
      </c>
      <c r="AA16" s="1022">
        <f t="shared" ref="AA16:AA23" si="6">IF(X16="-","",S16/X16*100)</f>
        <v>14.051724137931036</v>
      </c>
      <c r="AB16" s="1022"/>
      <c r="AC16" s="1028">
        <v>16.8</v>
      </c>
      <c r="AD16" s="1028">
        <v>1.8</v>
      </c>
      <c r="AE16" s="1028">
        <v>11</v>
      </c>
      <c r="AF16" s="732" t="s">
        <v>953</v>
      </c>
      <c r="AG16" s="1028">
        <v>50</v>
      </c>
      <c r="AH16" s="1025" t="s">
        <v>944</v>
      </c>
      <c r="AI16" s="1025" t="s">
        <v>958</v>
      </c>
      <c r="AJ16" s="1018">
        <f t="shared" si="1"/>
        <v>142.25454545454545</v>
      </c>
      <c r="AK16" s="1018">
        <f t="shared" si="2"/>
        <v>31.296000000000003</v>
      </c>
      <c r="AL16" s="1039">
        <v>34900</v>
      </c>
      <c r="AM16" s="1039">
        <v>0</v>
      </c>
      <c r="AN16" s="1008">
        <f t="shared" si="3"/>
        <v>6057.0247933884302</v>
      </c>
      <c r="AO16" s="1108">
        <f t="shared" si="4"/>
        <v>28842.975206611573</v>
      </c>
      <c r="AQ16" s="171">
        <f>150/0.2*80%</f>
        <v>600</v>
      </c>
    </row>
    <row r="17" spans="1:41">
      <c r="A17" s="171" t="s">
        <v>848</v>
      </c>
      <c r="B17" s="1025" t="s">
        <v>588</v>
      </c>
      <c r="C17" s="1021">
        <v>43344</v>
      </c>
      <c r="D17" s="1025" t="s">
        <v>968</v>
      </c>
      <c r="E17" s="1025" t="s">
        <v>12</v>
      </c>
      <c r="F17" s="719" t="str">
        <f t="shared" si="5"/>
        <v>B</v>
      </c>
      <c r="G17" s="719">
        <v>5</v>
      </c>
      <c r="H17" s="1028">
        <v>1475</v>
      </c>
      <c r="I17" s="1028">
        <v>338</v>
      </c>
      <c r="J17" s="1028">
        <v>1225</v>
      </c>
      <c r="K17" s="1028">
        <v>80</v>
      </c>
      <c r="L17" s="1028">
        <v>109</v>
      </c>
      <c r="M17" s="1028">
        <v>225</v>
      </c>
      <c r="N17" s="1028">
        <v>135</v>
      </c>
      <c r="O17" s="1025" t="s">
        <v>957</v>
      </c>
      <c r="P17" s="1025" t="s">
        <v>952</v>
      </c>
      <c r="Q17" s="1025" t="s">
        <v>118</v>
      </c>
      <c r="R17" s="1025" t="s">
        <v>118</v>
      </c>
      <c r="S17" s="1028">
        <v>44.1</v>
      </c>
      <c r="T17" s="1028">
        <v>41</v>
      </c>
      <c r="U17" s="1025"/>
      <c r="V17" s="1025"/>
      <c r="W17" s="1025" t="s">
        <v>118</v>
      </c>
      <c r="X17" s="1028">
        <v>300</v>
      </c>
      <c r="Y17" s="1028">
        <v>260</v>
      </c>
      <c r="Z17" s="1037" t="str">
        <f t="shared" si="0"/>
        <v/>
      </c>
      <c r="AA17" s="1022">
        <f t="shared" si="6"/>
        <v>14.7</v>
      </c>
      <c r="AB17" s="1022"/>
      <c r="AC17" s="1028">
        <v>15.7</v>
      </c>
      <c r="AD17" s="1028">
        <v>1.8</v>
      </c>
      <c r="AE17" s="1028">
        <v>22</v>
      </c>
      <c r="AF17" s="732" t="s">
        <v>961</v>
      </c>
      <c r="AG17" s="719" t="s">
        <v>118</v>
      </c>
      <c r="AH17" s="1025" t="s">
        <v>962</v>
      </c>
      <c r="AI17" s="1025" t="s">
        <v>963</v>
      </c>
      <c r="AJ17" s="1018">
        <f t="shared" si="1"/>
        <v>96.218181818181819</v>
      </c>
      <c r="AK17" s="1110" t="str">
        <f t="shared" si="2"/>
        <v/>
      </c>
      <c r="AL17" s="1039">
        <v>35090</v>
      </c>
      <c r="AM17" s="1039">
        <v>0</v>
      </c>
      <c r="AN17" s="1008">
        <f t="shared" si="3"/>
        <v>6090</v>
      </c>
      <c r="AO17" s="1108">
        <f t="shared" si="4"/>
        <v>29000</v>
      </c>
    </row>
    <row r="18" spans="1:41">
      <c r="A18" s="171" t="s">
        <v>848</v>
      </c>
      <c r="B18" s="1025" t="s">
        <v>588</v>
      </c>
      <c r="C18" s="1021">
        <v>43770</v>
      </c>
      <c r="D18" s="1025" t="s">
        <v>973</v>
      </c>
      <c r="E18" s="1025" t="s">
        <v>12</v>
      </c>
      <c r="F18" s="719" t="str">
        <f t="shared" si="5"/>
        <v>B</v>
      </c>
      <c r="G18" s="1028">
        <v>5</v>
      </c>
      <c r="H18" s="1028">
        <v>1502</v>
      </c>
      <c r="I18" s="1028">
        <v>338</v>
      </c>
      <c r="J18" s="1028">
        <v>1225</v>
      </c>
      <c r="K18" s="1028">
        <v>80</v>
      </c>
      <c r="L18" s="1028">
        <v>109</v>
      </c>
      <c r="M18" s="1028">
        <v>225</v>
      </c>
      <c r="N18" s="1028">
        <v>135</v>
      </c>
      <c r="O18" s="1025" t="s">
        <v>957</v>
      </c>
      <c r="P18" s="1025" t="s">
        <v>952</v>
      </c>
      <c r="Q18" s="1025" t="s">
        <v>118</v>
      </c>
      <c r="R18" s="1025" t="s">
        <v>118</v>
      </c>
      <c r="S18" s="1028">
        <v>55</v>
      </c>
      <c r="T18" s="1028">
        <v>52</v>
      </c>
      <c r="U18" s="1025"/>
      <c r="V18" s="1025"/>
      <c r="W18" s="1025" t="s">
        <v>118</v>
      </c>
      <c r="X18" s="1028">
        <v>390</v>
      </c>
      <c r="Y18" s="1028">
        <v>325</v>
      </c>
      <c r="Z18" s="1037" t="str">
        <f t="shared" si="0"/>
        <v/>
      </c>
      <c r="AA18" s="1022">
        <f t="shared" si="6"/>
        <v>14.102564102564102</v>
      </c>
      <c r="AB18" s="1022"/>
      <c r="AC18" s="1028">
        <v>16</v>
      </c>
      <c r="AD18" s="1028">
        <v>1.8</v>
      </c>
      <c r="AE18" s="1028">
        <v>22</v>
      </c>
      <c r="AF18" s="732" t="s">
        <v>972</v>
      </c>
      <c r="AG18" s="1028">
        <v>50</v>
      </c>
      <c r="AH18" s="1025" t="s">
        <v>944</v>
      </c>
      <c r="AI18" s="1025" t="s">
        <v>958</v>
      </c>
      <c r="AJ18" s="1018">
        <f t="shared" si="1"/>
        <v>120</v>
      </c>
      <c r="AK18" s="1018">
        <f t="shared" si="2"/>
        <v>52.8</v>
      </c>
      <c r="AL18" s="1039">
        <v>36000</v>
      </c>
      <c r="AM18" s="1039">
        <v>0</v>
      </c>
      <c r="AN18" s="1008">
        <f t="shared" si="3"/>
        <v>6247.9338842975203</v>
      </c>
      <c r="AO18" s="1108">
        <f t="shared" si="4"/>
        <v>29752.066115702481</v>
      </c>
    </row>
    <row r="19" spans="1:41">
      <c r="A19" s="171" t="s">
        <v>848</v>
      </c>
      <c r="B19" s="1025" t="s">
        <v>976</v>
      </c>
      <c r="C19" s="1021">
        <v>43922</v>
      </c>
      <c r="D19" s="1025" t="s">
        <v>977</v>
      </c>
      <c r="E19" s="1025" t="s">
        <v>12</v>
      </c>
      <c r="F19" s="719" t="str">
        <f t="shared" si="5"/>
        <v>B</v>
      </c>
      <c r="G19" s="719">
        <v>5</v>
      </c>
      <c r="H19" s="1028">
        <v>1455</v>
      </c>
      <c r="I19" s="1028">
        <v>265</v>
      </c>
      <c r="J19" s="1028">
        <v>1106</v>
      </c>
      <c r="K19" s="1028">
        <v>100</v>
      </c>
      <c r="L19" s="1028">
        <v>136</v>
      </c>
      <c r="M19" s="1028">
        <v>260</v>
      </c>
      <c r="N19" s="1028">
        <v>150</v>
      </c>
      <c r="O19" s="1025" t="s">
        <v>957</v>
      </c>
      <c r="P19" s="1025" t="s">
        <v>118</v>
      </c>
      <c r="Q19" s="1025" t="s">
        <v>118</v>
      </c>
      <c r="R19" s="1025" t="s">
        <v>118</v>
      </c>
      <c r="S19" s="1028">
        <v>50</v>
      </c>
      <c r="T19" s="1028">
        <v>47.5</v>
      </c>
      <c r="U19" s="1025"/>
      <c r="V19" s="1025"/>
      <c r="W19" s="1028">
        <v>450</v>
      </c>
      <c r="X19" s="1028">
        <v>340</v>
      </c>
      <c r="Y19" s="1028">
        <v>295</v>
      </c>
      <c r="Z19" s="1022">
        <f t="shared" si="0"/>
        <v>11.111111111111111</v>
      </c>
      <c r="AA19" s="1022">
        <f t="shared" si="6"/>
        <v>14.705882352941178</v>
      </c>
      <c r="AB19" s="1111">
        <f>AA19/Z19</f>
        <v>1.3235294117647061</v>
      </c>
      <c r="AC19" s="1028">
        <v>16.100000000000001</v>
      </c>
      <c r="AD19" s="1028">
        <v>1.8</v>
      </c>
      <c r="AE19" s="1028">
        <v>11</v>
      </c>
      <c r="AF19" s="732" t="s">
        <v>953</v>
      </c>
      <c r="AG19" s="1028">
        <v>100</v>
      </c>
      <c r="AH19" s="1025" t="s">
        <v>944</v>
      </c>
      <c r="AI19" s="1025" t="s">
        <v>958</v>
      </c>
      <c r="AJ19" s="1018">
        <f t="shared" si="1"/>
        <v>218.18181818181819</v>
      </c>
      <c r="AK19" s="1018">
        <f t="shared" si="2"/>
        <v>24</v>
      </c>
      <c r="AL19" s="1039">
        <v>36250</v>
      </c>
      <c r="AM19" s="1039">
        <v>0</v>
      </c>
      <c r="AN19" s="1008">
        <f t="shared" si="3"/>
        <v>6291.3223140495866</v>
      </c>
      <c r="AO19" s="1108">
        <f t="shared" si="4"/>
        <v>29958.677685950413</v>
      </c>
    </row>
    <row r="20" spans="1:41">
      <c r="A20" s="171" t="s">
        <v>848</v>
      </c>
      <c r="B20" s="1025" t="s">
        <v>588</v>
      </c>
      <c r="C20" s="1021">
        <v>43770</v>
      </c>
      <c r="D20" s="1025" t="s">
        <v>971</v>
      </c>
      <c r="E20" s="1025" t="s">
        <v>12</v>
      </c>
      <c r="F20" s="719" t="str">
        <f t="shared" si="5"/>
        <v>B</v>
      </c>
      <c r="G20" s="719">
        <v>5</v>
      </c>
      <c r="H20" s="1028">
        <v>1502</v>
      </c>
      <c r="I20" s="1028">
        <v>338</v>
      </c>
      <c r="J20" s="1028">
        <v>1225</v>
      </c>
      <c r="K20" s="1028">
        <v>100</v>
      </c>
      <c r="L20" s="1028">
        <v>136</v>
      </c>
      <c r="M20" s="1028">
        <v>245</v>
      </c>
      <c r="N20" s="1028">
        <v>140</v>
      </c>
      <c r="O20" s="1025" t="s">
        <v>957</v>
      </c>
      <c r="P20" s="1025" t="s">
        <v>952</v>
      </c>
      <c r="Q20" s="1025" t="s">
        <v>118</v>
      </c>
      <c r="R20" s="1025" t="s">
        <v>118</v>
      </c>
      <c r="S20" s="1028">
        <v>55</v>
      </c>
      <c r="T20" s="1028">
        <v>52</v>
      </c>
      <c r="U20" s="1025"/>
      <c r="V20" s="1025"/>
      <c r="W20" s="1025" t="s">
        <v>118</v>
      </c>
      <c r="X20" s="1028">
        <v>390</v>
      </c>
      <c r="Y20" s="1028">
        <v>325</v>
      </c>
      <c r="Z20" s="1037" t="str">
        <f t="shared" si="0"/>
        <v/>
      </c>
      <c r="AA20" s="1022">
        <f t="shared" si="6"/>
        <v>14.102564102564102</v>
      </c>
      <c r="AB20" s="1111"/>
      <c r="AC20" s="1022">
        <v>16</v>
      </c>
      <c r="AD20" s="1022">
        <v>1.8</v>
      </c>
      <c r="AE20" s="1022">
        <v>22</v>
      </c>
      <c r="AF20" s="732" t="s">
        <v>972</v>
      </c>
      <c r="AG20" s="1022">
        <v>50</v>
      </c>
      <c r="AH20" s="1025" t="s">
        <v>944</v>
      </c>
      <c r="AI20" s="1025" t="s">
        <v>958</v>
      </c>
      <c r="AJ20" s="1018">
        <f t="shared" si="1"/>
        <v>120</v>
      </c>
      <c r="AK20" s="1018">
        <f t="shared" si="2"/>
        <v>52.8</v>
      </c>
      <c r="AL20" s="1039">
        <v>37000</v>
      </c>
      <c r="AM20" s="1039">
        <v>0</v>
      </c>
      <c r="AN20" s="1008">
        <f t="shared" si="3"/>
        <v>6421.4876033057853</v>
      </c>
      <c r="AO20" s="1108">
        <f t="shared" si="4"/>
        <v>30578.512396694216</v>
      </c>
    </row>
    <row r="21" spans="1:41">
      <c r="A21" s="171" t="s">
        <v>848</v>
      </c>
      <c r="B21" s="1025" t="s">
        <v>625</v>
      </c>
      <c r="C21" s="1021">
        <v>43374</v>
      </c>
      <c r="D21" s="1025" t="s">
        <v>969</v>
      </c>
      <c r="E21" s="1025" t="s">
        <v>12</v>
      </c>
      <c r="F21" s="719" t="str">
        <f t="shared" si="5"/>
        <v>B</v>
      </c>
      <c r="G21" s="719">
        <v>4</v>
      </c>
      <c r="H21" s="1028">
        <v>1345</v>
      </c>
      <c r="I21" s="1028">
        <v>260</v>
      </c>
      <c r="J21" s="1028">
        <v>1100</v>
      </c>
      <c r="K21" s="1028">
        <v>125</v>
      </c>
      <c r="L21" s="1028">
        <v>170</v>
      </c>
      <c r="M21" s="1028">
        <v>250</v>
      </c>
      <c r="N21" s="1028">
        <v>150</v>
      </c>
      <c r="O21" s="1025" t="s">
        <v>951</v>
      </c>
      <c r="P21" s="1025" t="s">
        <v>952</v>
      </c>
      <c r="Q21" s="1025" t="s">
        <v>118</v>
      </c>
      <c r="R21" s="1025" t="s">
        <v>118</v>
      </c>
      <c r="S21" s="1028">
        <v>42.2</v>
      </c>
      <c r="T21" s="1028">
        <v>37.9</v>
      </c>
      <c r="U21" s="1025"/>
      <c r="V21" s="1025"/>
      <c r="W21" s="1028">
        <v>359</v>
      </c>
      <c r="X21" s="1028">
        <v>310</v>
      </c>
      <c r="Y21" s="1028">
        <v>235</v>
      </c>
      <c r="Z21" s="1022">
        <f t="shared" si="0"/>
        <v>11.754874651810585</v>
      </c>
      <c r="AA21" s="1022">
        <f t="shared" si="6"/>
        <v>13.612903225806452</v>
      </c>
      <c r="AB21" s="1111">
        <f>AA21/Z21</f>
        <v>1.1580645161290322</v>
      </c>
      <c r="AC21" s="1028">
        <v>16.100000000000001</v>
      </c>
      <c r="AD21" s="1028">
        <v>1.8</v>
      </c>
      <c r="AE21" s="1028">
        <v>11</v>
      </c>
      <c r="AF21" s="732" t="s">
        <v>953</v>
      </c>
      <c r="AG21" s="1028">
        <v>50</v>
      </c>
      <c r="AH21" s="1025" t="s">
        <v>944</v>
      </c>
      <c r="AI21" s="1025" t="s">
        <v>958</v>
      </c>
      <c r="AJ21" s="1018">
        <f t="shared" si="1"/>
        <v>184.14545454545458</v>
      </c>
      <c r="AK21" s="1018">
        <f t="shared" si="2"/>
        <v>40.512000000000008</v>
      </c>
      <c r="AL21" s="1039">
        <v>41994</v>
      </c>
      <c r="AM21" s="1039">
        <v>0</v>
      </c>
      <c r="AN21" s="1008">
        <f t="shared" si="3"/>
        <v>7288.2148760330574</v>
      </c>
      <c r="AO21" s="1108">
        <f t="shared" si="4"/>
        <v>34705.78512396694</v>
      </c>
    </row>
    <row r="22" spans="1:41">
      <c r="A22" s="171" t="s">
        <v>848</v>
      </c>
      <c r="B22" s="1025" t="s">
        <v>625</v>
      </c>
      <c r="C22" s="1021">
        <v>43374</v>
      </c>
      <c r="D22" s="1025" t="s">
        <v>970</v>
      </c>
      <c r="E22" s="1025" t="s">
        <v>12</v>
      </c>
      <c r="F22" s="719" t="str">
        <f t="shared" si="5"/>
        <v>B</v>
      </c>
      <c r="G22" s="719">
        <v>4</v>
      </c>
      <c r="H22" s="1028">
        <v>1365</v>
      </c>
      <c r="I22" s="1028">
        <v>260</v>
      </c>
      <c r="J22" s="1028">
        <v>1100</v>
      </c>
      <c r="K22" s="1028">
        <v>135</v>
      </c>
      <c r="L22" s="1028">
        <v>184</v>
      </c>
      <c r="M22" s="1028">
        <v>270</v>
      </c>
      <c r="N22" s="1028">
        <v>160</v>
      </c>
      <c r="O22" s="1025" t="s">
        <v>951</v>
      </c>
      <c r="P22" s="1025" t="s">
        <v>952</v>
      </c>
      <c r="Q22" s="1025" t="s">
        <v>118</v>
      </c>
      <c r="R22" s="1025" t="s">
        <v>118</v>
      </c>
      <c r="S22" s="1028">
        <v>42.2</v>
      </c>
      <c r="T22" s="1028">
        <v>37.9</v>
      </c>
      <c r="U22" s="1025"/>
      <c r="V22" s="1025"/>
      <c r="W22" s="1028">
        <v>345</v>
      </c>
      <c r="X22" s="1028">
        <v>285</v>
      </c>
      <c r="Y22" s="1028">
        <v>230</v>
      </c>
      <c r="Z22" s="1022">
        <f t="shared" si="0"/>
        <v>12.231884057971016</v>
      </c>
      <c r="AA22" s="1022">
        <f t="shared" si="6"/>
        <v>14.807017543859649</v>
      </c>
      <c r="AB22" s="1111">
        <f>AA22/Z22</f>
        <v>1.2105263157894737</v>
      </c>
      <c r="AC22" s="1028">
        <v>16.5</v>
      </c>
      <c r="AD22" s="1028">
        <v>1.9</v>
      </c>
      <c r="AE22" s="1028">
        <v>11</v>
      </c>
      <c r="AF22" s="732" t="s">
        <v>953</v>
      </c>
      <c r="AG22" s="1028">
        <v>50</v>
      </c>
      <c r="AH22" s="1025" t="s">
        <v>944</v>
      </c>
      <c r="AI22" s="1025" t="s">
        <v>958</v>
      </c>
      <c r="AJ22" s="1018">
        <f t="shared" si="1"/>
        <v>184.14545454545458</v>
      </c>
      <c r="AK22" s="1018">
        <f t="shared" si="2"/>
        <v>40.512000000000008</v>
      </c>
      <c r="AL22" s="1039">
        <v>45693</v>
      </c>
      <c r="AM22" s="1039">
        <v>0</v>
      </c>
      <c r="AN22" s="1008">
        <f t="shared" si="3"/>
        <v>7930.1900826446272</v>
      </c>
      <c r="AO22" s="1108">
        <f t="shared" si="4"/>
        <v>37762.809917355371</v>
      </c>
    </row>
    <row r="23" spans="1:41">
      <c r="A23" s="171" t="s">
        <v>848</v>
      </c>
      <c r="B23" s="1025" t="s">
        <v>1039</v>
      </c>
      <c r="C23" s="1021">
        <v>44075</v>
      </c>
      <c r="D23" s="1025" t="s">
        <v>1042</v>
      </c>
      <c r="E23" s="1025" t="s">
        <v>15</v>
      </c>
      <c r="F23" s="719" t="str">
        <f t="shared" si="5"/>
        <v>C</v>
      </c>
      <c r="G23" s="719">
        <v>4</v>
      </c>
      <c r="H23" s="1028">
        <v>1500</v>
      </c>
      <c r="I23" s="1025" t="s">
        <v>118</v>
      </c>
      <c r="J23" s="1028">
        <v>1000</v>
      </c>
      <c r="K23" s="1028">
        <v>100</v>
      </c>
      <c r="L23" s="1028">
        <v>136</v>
      </c>
      <c r="M23" s="1028">
        <v>300</v>
      </c>
      <c r="N23" s="1028">
        <v>160</v>
      </c>
      <c r="O23" s="1025" t="s">
        <v>951</v>
      </c>
      <c r="P23" s="1025" t="s">
        <v>118</v>
      </c>
      <c r="Q23" s="1025" t="s">
        <v>118</v>
      </c>
      <c r="R23" s="1025" t="s">
        <v>118</v>
      </c>
      <c r="S23" s="1028">
        <v>48</v>
      </c>
      <c r="T23" s="1028">
        <v>45</v>
      </c>
      <c r="U23" s="1025"/>
      <c r="V23" s="1025"/>
      <c r="W23" s="1025" t="s">
        <v>118</v>
      </c>
      <c r="X23" s="1028">
        <v>330</v>
      </c>
      <c r="Y23" s="1028">
        <v>300</v>
      </c>
      <c r="Z23" s="1037" t="str">
        <f t="shared" si="0"/>
        <v/>
      </c>
      <c r="AA23" s="1022">
        <f t="shared" si="6"/>
        <v>14.545454545454545</v>
      </c>
      <c r="AB23" s="1022"/>
      <c r="AC23" s="1022">
        <v>15</v>
      </c>
      <c r="AD23" s="1022">
        <v>1.7</v>
      </c>
      <c r="AE23" s="1022">
        <v>11</v>
      </c>
      <c r="AF23" s="732" t="s">
        <v>972</v>
      </c>
      <c r="AG23" s="1022">
        <v>100</v>
      </c>
      <c r="AH23" s="1025" t="s">
        <v>944</v>
      </c>
      <c r="AI23" s="1025" t="s">
        <v>958</v>
      </c>
      <c r="AJ23" s="1018">
        <f t="shared" si="1"/>
        <v>209.4545454545455</v>
      </c>
      <c r="AK23" s="1018">
        <f t="shared" si="2"/>
        <v>23.040000000000003</v>
      </c>
      <c r="AL23" s="1039">
        <v>30000</v>
      </c>
      <c r="AM23" s="1039">
        <v>0</v>
      </c>
      <c r="AN23" s="1008">
        <f t="shared" si="3"/>
        <v>5206.6115702479337</v>
      </c>
      <c r="AO23" s="1108">
        <f t="shared" si="4"/>
        <v>24793.388429752067</v>
      </c>
    </row>
    <row r="24" spans="1:41">
      <c r="A24" s="171" t="s">
        <v>848</v>
      </c>
      <c r="B24" s="1025" t="s">
        <v>581</v>
      </c>
      <c r="C24" s="1021">
        <v>42644</v>
      </c>
      <c r="D24" s="1025" t="s">
        <v>980</v>
      </c>
      <c r="E24" s="1025" t="s">
        <v>15</v>
      </c>
      <c r="F24" s="719" t="str">
        <f t="shared" si="5"/>
        <v>C</v>
      </c>
      <c r="G24" s="1028">
        <v>5</v>
      </c>
      <c r="H24" s="1028">
        <v>1420</v>
      </c>
      <c r="I24" s="1028">
        <v>350</v>
      </c>
      <c r="J24" s="1028">
        <v>1410</v>
      </c>
      <c r="K24" s="1028">
        <v>88</v>
      </c>
      <c r="L24" s="1028">
        <v>120</v>
      </c>
      <c r="M24" s="1028">
        <v>295</v>
      </c>
      <c r="N24" s="1028">
        <v>165</v>
      </c>
      <c r="O24" s="1025" t="s">
        <v>957</v>
      </c>
      <c r="P24" s="1025" t="s">
        <v>952</v>
      </c>
      <c r="Q24" s="1025" t="s">
        <v>118</v>
      </c>
      <c r="R24" s="1025" t="s">
        <v>118</v>
      </c>
      <c r="S24" s="1028">
        <v>30.5</v>
      </c>
      <c r="T24" s="1028">
        <v>28</v>
      </c>
      <c r="U24" s="1025"/>
      <c r="V24" s="1025"/>
      <c r="W24" s="1028">
        <v>280</v>
      </c>
      <c r="X24" s="1025" t="s">
        <v>118</v>
      </c>
      <c r="Y24" s="1028">
        <v>195</v>
      </c>
      <c r="Z24" s="1022">
        <f t="shared" si="0"/>
        <v>10.892857142857142</v>
      </c>
      <c r="AA24" s="1037">
        <f>Z24*Factor_WLTP_NEDC</f>
        <v>13.752246264264766</v>
      </c>
      <c r="AB24" s="1037"/>
      <c r="AC24" s="1022">
        <v>14.4</v>
      </c>
      <c r="AD24" s="1022">
        <v>1.6</v>
      </c>
      <c r="AE24" s="1022">
        <v>6.6</v>
      </c>
      <c r="AF24" s="732" t="s">
        <v>953</v>
      </c>
      <c r="AG24" s="1028">
        <v>70</v>
      </c>
      <c r="AH24" s="1025" t="s">
        <v>944</v>
      </c>
      <c r="AI24" s="1025" t="s">
        <v>958</v>
      </c>
      <c r="AJ24" s="1018">
        <f t="shared" si="1"/>
        <v>221.81818181818187</v>
      </c>
      <c r="AK24" s="1018">
        <f t="shared" si="2"/>
        <v>20.914285714285715</v>
      </c>
      <c r="AL24" s="1039">
        <v>33995</v>
      </c>
      <c r="AM24" s="1039">
        <v>0</v>
      </c>
      <c r="AN24" s="1008">
        <f t="shared" si="3"/>
        <v>5899.9586776859505</v>
      </c>
      <c r="AO24" s="1108">
        <f t="shared" si="4"/>
        <v>28095.041322314049</v>
      </c>
    </row>
    <row r="25" spans="1:41">
      <c r="A25" s="171" t="s">
        <v>848</v>
      </c>
      <c r="B25" s="1025" t="s">
        <v>581</v>
      </c>
      <c r="C25" s="1021">
        <v>43709</v>
      </c>
      <c r="D25" s="1025" t="s">
        <v>987</v>
      </c>
      <c r="E25" s="1025" t="s">
        <v>15</v>
      </c>
      <c r="F25" s="719" t="str">
        <f t="shared" si="5"/>
        <v>C</v>
      </c>
      <c r="G25" s="719">
        <v>5</v>
      </c>
      <c r="H25" s="1028">
        <v>1420</v>
      </c>
      <c r="I25" s="1028">
        <v>350</v>
      </c>
      <c r="J25" s="1028">
        <v>1410</v>
      </c>
      <c r="K25" s="1028">
        <v>100</v>
      </c>
      <c r="L25" s="1028">
        <v>136</v>
      </c>
      <c r="M25" s="1028">
        <v>295</v>
      </c>
      <c r="N25" s="1028">
        <v>165</v>
      </c>
      <c r="O25" s="1025" t="s">
        <v>957</v>
      </c>
      <c r="P25" s="1025" t="s">
        <v>118</v>
      </c>
      <c r="Q25" s="1025" t="s">
        <v>118</v>
      </c>
      <c r="R25" s="1025" t="s">
        <v>118</v>
      </c>
      <c r="S25" s="1028">
        <v>38.299999999999997</v>
      </c>
      <c r="T25" s="1028">
        <v>38.299999999999997</v>
      </c>
      <c r="U25" s="1025"/>
      <c r="V25" s="1025"/>
      <c r="W25" s="1025" t="s">
        <v>118</v>
      </c>
      <c r="X25" s="1028">
        <v>294</v>
      </c>
      <c r="Y25" s="1028">
        <v>265</v>
      </c>
      <c r="Z25" s="1037" t="str">
        <f t="shared" si="0"/>
        <v/>
      </c>
      <c r="AA25" s="1022">
        <f t="shared" ref="AA25:AA47" si="7">IF(X25="-","",S25/X25*100)</f>
        <v>13.027210884353741</v>
      </c>
      <c r="AB25" s="1022"/>
      <c r="AC25" s="1022">
        <v>14.7</v>
      </c>
      <c r="AD25" s="1022">
        <v>1.6</v>
      </c>
      <c r="AE25" s="1022">
        <v>7.2</v>
      </c>
      <c r="AF25" s="732" t="s">
        <v>953</v>
      </c>
      <c r="AG25" s="1028">
        <v>100</v>
      </c>
      <c r="AH25" s="1025" t="s">
        <v>944</v>
      </c>
      <c r="AI25" s="1025" t="s">
        <v>958</v>
      </c>
      <c r="AJ25" s="1018">
        <f t="shared" si="1"/>
        <v>255.33333333333334</v>
      </c>
      <c r="AK25" s="1018">
        <f t="shared" si="2"/>
        <v>18.384</v>
      </c>
      <c r="AL25" s="1039">
        <v>36000</v>
      </c>
      <c r="AM25" s="1039">
        <v>0</v>
      </c>
      <c r="AN25" s="1008">
        <f t="shared" si="3"/>
        <v>6247.9338842975203</v>
      </c>
      <c r="AO25" s="1108">
        <f t="shared" si="4"/>
        <v>29752.066115702481</v>
      </c>
    </row>
    <row r="26" spans="1:41">
      <c r="A26" s="171" t="s">
        <v>848</v>
      </c>
      <c r="B26" s="1025" t="s">
        <v>654</v>
      </c>
      <c r="C26" s="1021">
        <v>43132</v>
      </c>
      <c r="D26" s="1025" t="s">
        <v>984</v>
      </c>
      <c r="E26" s="1025" t="s">
        <v>15</v>
      </c>
      <c r="F26" s="719" t="str">
        <f t="shared" si="5"/>
        <v>C</v>
      </c>
      <c r="G26" s="1028">
        <v>5</v>
      </c>
      <c r="H26" s="1028">
        <v>1580</v>
      </c>
      <c r="I26" s="1028">
        <v>425</v>
      </c>
      <c r="J26" s="1028">
        <v>1176</v>
      </c>
      <c r="K26" s="1028">
        <v>110</v>
      </c>
      <c r="L26" s="1028">
        <v>150</v>
      </c>
      <c r="M26" s="1028">
        <v>320</v>
      </c>
      <c r="N26" s="1028">
        <v>144</v>
      </c>
      <c r="O26" s="1025" t="s">
        <v>957</v>
      </c>
      <c r="P26" s="1025" t="s">
        <v>952</v>
      </c>
      <c r="Q26" s="1025" t="s">
        <v>118</v>
      </c>
      <c r="R26" s="1025" t="s">
        <v>118</v>
      </c>
      <c r="S26" s="1028">
        <v>40</v>
      </c>
      <c r="T26" s="1028">
        <v>38</v>
      </c>
      <c r="U26" s="1025"/>
      <c r="V26" s="1025"/>
      <c r="W26" s="1028">
        <v>350</v>
      </c>
      <c r="X26" s="1028">
        <v>270</v>
      </c>
      <c r="Y26" s="1028">
        <v>230</v>
      </c>
      <c r="Z26" s="1022">
        <f t="shared" si="0"/>
        <v>11.428571428571429</v>
      </c>
      <c r="AA26" s="1022">
        <f t="shared" si="7"/>
        <v>14.814814814814813</v>
      </c>
      <c r="AB26" s="1022"/>
      <c r="AC26" s="1022">
        <v>16.5</v>
      </c>
      <c r="AD26" s="1022">
        <v>1.9</v>
      </c>
      <c r="AE26" s="1022">
        <v>3.6</v>
      </c>
      <c r="AF26" s="732" t="s">
        <v>953</v>
      </c>
      <c r="AG26" s="1028">
        <v>50</v>
      </c>
      <c r="AH26" s="1025" t="s">
        <v>944</v>
      </c>
      <c r="AI26" s="1025" t="s">
        <v>985</v>
      </c>
      <c r="AJ26" s="1018">
        <f t="shared" si="1"/>
        <v>533.33333333333337</v>
      </c>
      <c r="AK26" s="1018">
        <f t="shared" si="2"/>
        <v>38.4</v>
      </c>
      <c r="AL26" s="1039">
        <v>36990</v>
      </c>
      <c r="AM26" s="1039">
        <v>0</v>
      </c>
      <c r="AN26" s="1008">
        <f t="shared" si="3"/>
        <v>6419.7520661157023</v>
      </c>
      <c r="AO26" s="1108">
        <f t="shared" si="4"/>
        <v>30570.247933884297</v>
      </c>
    </row>
    <row r="27" spans="1:41">
      <c r="A27" s="171" t="s">
        <v>848</v>
      </c>
      <c r="B27" s="1025" t="s">
        <v>1030</v>
      </c>
      <c r="C27" s="1021">
        <v>43891</v>
      </c>
      <c r="D27" s="1025" t="s">
        <v>1031</v>
      </c>
      <c r="E27" s="1025" t="s">
        <v>15</v>
      </c>
      <c r="F27" s="719" t="str">
        <f t="shared" si="5"/>
        <v>C</v>
      </c>
      <c r="G27" s="719">
        <v>4</v>
      </c>
      <c r="H27" s="1028">
        <v>1600</v>
      </c>
      <c r="I27" s="1025" t="s">
        <v>118</v>
      </c>
      <c r="J27" s="1025" t="s">
        <v>118</v>
      </c>
      <c r="K27" s="1028">
        <v>150</v>
      </c>
      <c r="L27" s="1028">
        <v>204</v>
      </c>
      <c r="M27" s="1028">
        <v>350</v>
      </c>
      <c r="N27" s="1028">
        <v>180</v>
      </c>
      <c r="O27" s="1025" t="s">
        <v>951</v>
      </c>
      <c r="P27" s="1025" t="s">
        <v>118</v>
      </c>
      <c r="Q27" s="1025" t="s">
        <v>118</v>
      </c>
      <c r="R27" s="1025" t="s">
        <v>118</v>
      </c>
      <c r="S27" s="1028">
        <v>62</v>
      </c>
      <c r="T27" s="1028">
        <v>58</v>
      </c>
      <c r="U27" s="1025"/>
      <c r="V27" s="1025"/>
      <c r="W27" s="1025" t="s">
        <v>118</v>
      </c>
      <c r="X27" s="1028">
        <v>420</v>
      </c>
      <c r="Y27" s="1028">
        <v>370</v>
      </c>
      <c r="Z27" s="1037" t="str">
        <f t="shared" si="0"/>
        <v/>
      </c>
      <c r="AA27" s="1022">
        <f t="shared" si="7"/>
        <v>14.761904761904763</v>
      </c>
      <c r="AB27" s="1022"/>
      <c r="AC27" s="1022">
        <v>15.7</v>
      </c>
      <c r="AD27" s="1022">
        <v>1.8</v>
      </c>
      <c r="AE27" s="1022">
        <v>11</v>
      </c>
      <c r="AF27" s="732" t="s">
        <v>972</v>
      </c>
      <c r="AG27" s="1022">
        <v>100</v>
      </c>
      <c r="AH27" s="1025" t="s">
        <v>944</v>
      </c>
      <c r="AI27" s="1025" t="s">
        <v>958</v>
      </c>
      <c r="AJ27" s="1018">
        <f t="shared" si="1"/>
        <v>270.5454545454545</v>
      </c>
      <c r="AK27" s="1018">
        <f t="shared" si="2"/>
        <v>29.759999999999998</v>
      </c>
      <c r="AL27" s="1039">
        <v>37500</v>
      </c>
      <c r="AM27" s="1039">
        <v>0</v>
      </c>
      <c r="AN27" s="1008">
        <f t="shared" si="3"/>
        <v>6508.2644628099179</v>
      </c>
      <c r="AO27" s="1108">
        <f t="shared" si="4"/>
        <v>30991.735537190085</v>
      </c>
    </row>
    <row r="28" spans="1:41">
      <c r="A28" s="171" t="s">
        <v>848</v>
      </c>
      <c r="B28" s="1025" t="s">
        <v>988</v>
      </c>
      <c r="C28" s="1021">
        <v>43891</v>
      </c>
      <c r="D28" s="1025" t="s">
        <v>989</v>
      </c>
      <c r="E28" s="1025" t="s">
        <v>15</v>
      </c>
      <c r="F28" s="719" t="str">
        <f t="shared" si="5"/>
        <v>C</v>
      </c>
      <c r="G28" s="719">
        <v>5</v>
      </c>
      <c r="H28" s="1028">
        <v>1500</v>
      </c>
      <c r="I28" s="1025" t="s">
        <v>118</v>
      </c>
      <c r="J28" s="1025" t="s">
        <v>118</v>
      </c>
      <c r="K28" s="1028">
        <v>200</v>
      </c>
      <c r="L28" s="1028">
        <v>272</v>
      </c>
      <c r="M28" s="1028">
        <v>500</v>
      </c>
      <c r="N28" s="1028">
        <v>200</v>
      </c>
      <c r="O28" s="1025" t="s">
        <v>990</v>
      </c>
      <c r="P28" s="1025" t="s">
        <v>118</v>
      </c>
      <c r="Q28" s="1025" t="s">
        <v>118</v>
      </c>
      <c r="R28" s="1025" t="s">
        <v>118</v>
      </c>
      <c r="S28" s="1028">
        <v>60</v>
      </c>
      <c r="T28" s="1028">
        <v>60</v>
      </c>
      <c r="U28" s="1025"/>
      <c r="V28" s="1025"/>
      <c r="W28" s="1025" t="s">
        <v>118</v>
      </c>
      <c r="X28" s="1028">
        <v>400</v>
      </c>
      <c r="Y28" s="1028">
        <v>350</v>
      </c>
      <c r="Z28" s="1037" t="str">
        <f t="shared" si="0"/>
        <v/>
      </c>
      <c r="AA28" s="1022">
        <f t="shared" si="7"/>
        <v>15</v>
      </c>
      <c r="AB28" s="1022"/>
      <c r="AC28" s="1022">
        <v>17.100000000000001</v>
      </c>
      <c r="AD28" s="1022">
        <v>1.9</v>
      </c>
      <c r="AE28" s="1022">
        <v>11</v>
      </c>
      <c r="AF28" s="732" t="s">
        <v>953</v>
      </c>
      <c r="AG28" s="1028">
        <v>100</v>
      </c>
      <c r="AH28" s="1025" t="s">
        <v>944</v>
      </c>
      <c r="AI28" s="1025" t="s">
        <v>958</v>
      </c>
      <c r="AJ28" s="1018">
        <f t="shared" si="1"/>
        <v>261.81818181818181</v>
      </c>
      <c r="AK28" s="1018">
        <f t="shared" si="2"/>
        <v>28.799999999999997</v>
      </c>
      <c r="AL28" s="1039">
        <v>40000</v>
      </c>
      <c r="AM28" s="1039">
        <v>0</v>
      </c>
      <c r="AN28" s="1008">
        <f t="shared" si="3"/>
        <v>6942.1487603305777</v>
      </c>
      <c r="AO28" s="1108">
        <f t="shared" si="4"/>
        <v>33057.85123966942</v>
      </c>
    </row>
    <row r="29" spans="1:41">
      <c r="A29" s="171" t="s">
        <v>848</v>
      </c>
      <c r="B29" s="1025" t="s">
        <v>1039</v>
      </c>
      <c r="C29" s="1021">
        <v>43983</v>
      </c>
      <c r="D29" s="1025" t="s">
        <v>1040</v>
      </c>
      <c r="E29" s="1025" t="s">
        <v>15</v>
      </c>
      <c r="F29" s="719" t="str">
        <f t="shared" si="5"/>
        <v>C</v>
      </c>
      <c r="G29" s="719">
        <v>4</v>
      </c>
      <c r="H29" s="1028">
        <v>1575</v>
      </c>
      <c r="I29" s="1025" t="s">
        <v>118</v>
      </c>
      <c r="J29" s="1028">
        <v>1000</v>
      </c>
      <c r="K29" s="1028">
        <v>150</v>
      </c>
      <c r="L29" s="1028">
        <v>204</v>
      </c>
      <c r="M29" s="1028">
        <v>350</v>
      </c>
      <c r="N29" s="1028">
        <v>180</v>
      </c>
      <c r="O29" s="1025" t="s">
        <v>951</v>
      </c>
      <c r="P29" s="1025" t="s">
        <v>118</v>
      </c>
      <c r="Q29" s="1025" t="s">
        <v>118</v>
      </c>
      <c r="R29" s="1025" t="s">
        <v>118</v>
      </c>
      <c r="S29" s="1028">
        <v>62</v>
      </c>
      <c r="T29" s="1028">
        <v>58</v>
      </c>
      <c r="U29" s="1025"/>
      <c r="V29" s="1025"/>
      <c r="W29" s="1025" t="s">
        <v>118</v>
      </c>
      <c r="X29" s="1028">
        <v>420</v>
      </c>
      <c r="Y29" s="1028">
        <v>370</v>
      </c>
      <c r="Z29" s="1037" t="str">
        <f t="shared" si="0"/>
        <v/>
      </c>
      <c r="AA29" s="1022">
        <f t="shared" si="7"/>
        <v>14.761904761904763</v>
      </c>
      <c r="AB29" s="1022"/>
      <c r="AC29" s="1022">
        <v>15.7</v>
      </c>
      <c r="AD29" s="1022">
        <v>1.8</v>
      </c>
      <c r="AE29" s="1022">
        <v>11</v>
      </c>
      <c r="AF29" s="732" t="s">
        <v>972</v>
      </c>
      <c r="AG29" s="1022">
        <v>100</v>
      </c>
      <c r="AH29" s="1025" t="s">
        <v>944</v>
      </c>
      <c r="AI29" s="1025" t="s">
        <v>958</v>
      </c>
      <c r="AJ29" s="1018">
        <f t="shared" si="1"/>
        <v>270.5454545454545</v>
      </c>
      <c r="AK29" s="1018">
        <f t="shared" si="2"/>
        <v>29.759999999999998</v>
      </c>
      <c r="AL29" s="1039">
        <v>40000</v>
      </c>
      <c r="AM29" s="1039">
        <v>0</v>
      </c>
      <c r="AN29" s="1008">
        <f t="shared" si="3"/>
        <v>6942.1487603305777</v>
      </c>
      <c r="AO29" s="1108">
        <f t="shared" si="4"/>
        <v>33057.85123966942</v>
      </c>
    </row>
    <row r="30" spans="1:41">
      <c r="A30" s="171" t="s">
        <v>848</v>
      </c>
      <c r="B30" s="1025" t="s">
        <v>578</v>
      </c>
      <c r="C30" s="1021">
        <v>42856</v>
      </c>
      <c r="D30" s="1025" t="s">
        <v>981</v>
      </c>
      <c r="E30" s="1025" t="s">
        <v>15</v>
      </c>
      <c r="F30" s="719" t="str">
        <f t="shared" si="5"/>
        <v>C</v>
      </c>
      <c r="G30" s="1028">
        <v>5</v>
      </c>
      <c r="H30" s="1028">
        <v>1540</v>
      </c>
      <c r="I30" s="1028">
        <v>341</v>
      </c>
      <c r="J30" s="1028">
        <v>1231</v>
      </c>
      <c r="K30" s="1028">
        <v>100</v>
      </c>
      <c r="L30" s="1028">
        <v>136</v>
      </c>
      <c r="M30" s="1028">
        <v>290</v>
      </c>
      <c r="N30" s="1028">
        <v>150</v>
      </c>
      <c r="O30" s="1025" t="s">
        <v>957</v>
      </c>
      <c r="P30" s="1025" t="s">
        <v>952</v>
      </c>
      <c r="Q30" s="1025" t="s">
        <v>118</v>
      </c>
      <c r="R30" s="1025" t="s">
        <v>118</v>
      </c>
      <c r="S30" s="1028">
        <v>35.799999999999997</v>
      </c>
      <c r="T30" s="1028">
        <v>32</v>
      </c>
      <c r="U30" s="1025"/>
      <c r="V30" s="1025"/>
      <c r="W30" s="1028">
        <v>300</v>
      </c>
      <c r="X30" s="1028">
        <v>230</v>
      </c>
      <c r="Y30" s="1028">
        <v>190</v>
      </c>
      <c r="Z30" s="1022">
        <f t="shared" si="0"/>
        <v>11.933333333333332</v>
      </c>
      <c r="AA30" s="1022">
        <f t="shared" si="7"/>
        <v>15.565217391304348</v>
      </c>
      <c r="AB30" s="1111">
        <f>AA30/Z30</f>
        <v>1.3043478260869568</v>
      </c>
      <c r="AC30" s="1022">
        <v>16.8</v>
      </c>
      <c r="AD30" s="1022">
        <v>1.9</v>
      </c>
      <c r="AE30" s="1022">
        <v>7.2</v>
      </c>
      <c r="AF30" s="732" t="s">
        <v>953</v>
      </c>
      <c r="AG30" s="1028">
        <v>40</v>
      </c>
      <c r="AH30" s="1025" t="s">
        <v>944</v>
      </c>
      <c r="AI30" s="1025" t="s">
        <v>958</v>
      </c>
      <c r="AJ30" s="1018">
        <f t="shared" si="1"/>
        <v>238.66666666666669</v>
      </c>
      <c r="AK30" s="1018">
        <f t="shared" si="2"/>
        <v>42.96</v>
      </c>
      <c r="AL30" s="1039">
        <v>40325</v>
      </c>
      <c r="AM30" s="1039">
        <v>0</v>
      </c>
      <c r="AN30" s="1008">
        <f t="shared" si="3"/>
        <v>6998.553719008265</v>
      </c>
      <c r="AO30" s="1108">
        <f t="shared" si="4"/>
        <v>33326.446280991739</v>
      </c>
    </row>
    <row r="31" spans="1:41">
      <c r="A31" s="171" t="s">
        <v>848</v>
      </c>
      <c r="B31" s="1025" t="s">
        <v>654</v>
      </c>
      <c r="C31" s="1021">
        <v>43617</v>
      </c>
      <c r="D31" s="1025" t="s">
        <v>986</v>
      </c>
      <c r="E31" s="1025" t="s">
        <v>15</v>
      </c>
      <c r="F31" s="719" t="str">
        <f t="shared" si="5"/>
        <v>C</v>
      </c>
      <c r="G31" s="719">
        <v>5</v>
      </c>
      <c r="H31" s="1028">
        <v>1731</v>
      </c>
      <c r="I31" s="1028">
        <v>420</v>
      </c>
      <c r="J31" s="1028">
        <v>1161</v>
      </c>
      <c r="K31" s="1028">
        <v>160</v>
      </c>
      <c r="L31" s="1028">
        <v>218</v>
      </c>
      <c r="M31" s="1028">
        <v>340</v>
      </c>
      <c r="N31" s="1028">
        <v>157</v>
      </c>
      <c r="O31" s="1025" t="s">
        <v>957</v>
      </c>
      <c r="P31" s="1025" t="s">
        <v>952</v>
      </c>
      <c r="Q31" s="1025" t="s">
        <v>118</v>
      </c>
      <c r="R31" s="1025" t="s">
        <v>118</v>
      </c>
      <c r="S31" s="1028">
        <v>62</v>
      </c>
      <c r="T31" s="1028">
        <v>60</v>
      </c>
      <c r="U31" s="1025"/>
      <c r="V31" s="1025"/>
      <c r="W31" s="1025" t="s">
        <v>118</v>
      </c>
      <c r="X31" s="1028">
        <v>385</v>
      </c>
      <c r="Y31" s="1028">
        <v>350</v>
      </c>
      <c r="Z31" s="1037" t="str">
        <f t="shared" si="0"/>
        <v/>
      </c>
      <c r="AA31" s="1022">
        <f t="shared" si="7"/>
        <v>16.103896103896105</v>
      </c>
      <c r="AB31" s="1111"/>
      <c r="AC31" s="1022">
        <v>16.899999999999999</v>
      </c>
      <c r="AD31" s="1022">
        <v>1.9</v>
      </c>
      <c r="AE31" s="1022">
        <v>6.6</v>
      </c>
      <c r="AF31" s="732" t="s">
        <v>953</v>
      </c>
      <c r="AG31" s="1028">
        <v>100</v>
      </c>
      <c r="AH31" s="1025" t="s">
        <v>944</v>
      </c>
      <c r="AI31" s="1025" t="s">
        <v>985</v>
      </c>
      <c r="AJ31" s="1018">
        <f t="shared" si="1"/>
        <v>450.90909090909093</v>
      </c>
      <c r="AK31" s="1018">
        <f t="shared" si="2"/>
        <v>29.759999999999998</v>
      </c>
      <c r="AL31" s="1039">
        <v>45850</v>
      </c>
      <c r="AM31" s="1039">
        <v>0</v>
      </c>
      <c r="AN31" s="1008">
        <f t="shared" si="3"/>
        <v>7957.4380165289249</v>
      </c>
      <c r="AO31" s="1108">
        <f t="shared" si="4"/>
        <v>37892.561983471074</v>
      </c>
    </row>
    <row r="32" spans="1:41">
      <c r="A32" s="171" t="s">
        <v>848</v>
      </c>
      <c r="B32" s="1025" t="s">
        <v>982</v>
      </c>
      <c r="C32" s="1021">
        <v>42979</v>
      </c>
      <c r="D32" s="1025" t="s">
        <v>983</v>
      </c>
      <c r="E32" s="1025" t="s">
        <v>15</v>
      </c>
      <c r="F32" s="719" t="str">
        <f t="shared" si="5"/>
        <v>C</v>
      </c>
      <c r="G32" s="719">
        <v>5</v>
      </c>
      <c r="H32" s="1028">
        <v>1591</v>
      </c>
      <c r="I32" s="1028">
        <v>381</v>
      </c>
      <c r="J32" s="1028">
        <v>1274</v>
      </c>
      <c r="K32" s="1028">
        <v>150</v>
      </c>
      <c r="L32" s="1028">
        <v>204</v>
      </c>
      <c r="M32" s="1028">
        <v>360</v>
      </c>
      <c r="N32" s="1028">
        <v>150</v>
      </c>
      <c r="O32" s="1025" t="s">
        <v>957</v>
      </c>
      <c r="P32" s="1025" t="s">
        <v>952</v>
      </c>
      <c r="Q32" s="1025" t="s">
        <v>118</v>
      </c>
      <c r="R32" s="1025" t="s">
        <v>118</v>
      </c>
      <c r="S32" s="1028">
        <v>60</v>
      </c>
      <c r="T32" s="1028">
        <v>58</v>
      </c>
      <c r="U32" s="1025"/>
      <c r="V32" s="1025"/>
      <c r="W32" s="1028">
        <v>520</v>
      </c>
      <c r="X32" s="1028">
        <v>380</v>
      </c>
      <c r="Y32" s="1028">
        <v>345</v>
      </c>
      <c r="Z32" s="1022">
        <f t="shared" si="0"/>
        <v>11.538461538461538</v>
      </c>
      <c r="AA32" s="1022">
        <f t="shared" si="7"/>
        <v>15.789473684210526</v>
      </c>
      <c r="AB32" s="1111">
        <f>AA32/Z32</f>
        <v>1.368421052631579</v>
      </c>
      <c r="AC32" s="1028">
        <v>16.8</v>
      </c>
      <c r="AD32" s="1028">
        <v>1.9</v>
      </c>
      <c r="AE32" s="1028">
        <v>7.4</v>
      </c>
      <c r="AF32" s="732" t="s">
        <v>953</v>
      </c>
      <c r="AG32" s="1028">
        <v>50</v>
      </c>
      <c r="AH32" s="1025" t="s">
        <v>944</v>
      </c>
      <c r="AI32" s="1025" t="s">
        <v>958</v>
      </c>
      <c r="AJ32" s="1018">
        <f t="shared" si="1"/>
        <v>389.18918918918916</v>
      </c>
      <c r="AK32" s="1018">
        <f t="shared" si="2"/>
        <v>57.599999999999994</v>
      </c>
      <c r="AL32" s="1039">
        <v>46699</v>
      </c>
      <c r="AM32" s="1039">
        <v>0</v>
      </c>
      <c r="AN32" s="1008">
        <f t="shared" si="3"/>
        <v>8104.7851239669426</v>
      </c>
      <c r="AO32" s="1108">
        <f t="shared" si="4"/>
        <v>38594.21487603306</v>
      </c>
    </row>
    <row r="33" spans="1:41">
      <c r="A33" s="171" t="s">
        <v>848</v>
      </c>
      <c r="B33" s="1025" t="s">
        <v>1039</v>
      </c>
      <c r="C33" s="1021">
        <v>44075</v>
      </c>
      <c r="D33" s="1025" t="s">
        <v>1045</v>
      </c>
      <c r="E33" s="1025" t="s">
        <v>15</v>
      </c>
      <c r="F33" s="719" t="str">
        <f t="shared" si="5"/>
        <v>C</v>
      </c>
      <c r="G33" s="719">
        <v>4</v>
      </c>
      <c r="H33" s="1028">
        <v>1675</v>
      </c>
      <c r="I33" s="1025" t="s">
        <v>118</v>
      </c>
      <c r="J33" s="1028">
        <v>1000</v>
      </c>
      <c r="K33" s="1028">
        <v>200</v>
      </c>
      <c r="L33" s="1028">
        <v>272</v>
      </c>
      <c r="M33" s="1028">
        <v>425</v>
      </c>
      <c r="N33" s="1028">
        <v>200</v>
      </c>
      <c r="O33" s="1025" t="s">
        <v>951</v>
      </c>
      <c r="P33" s="1025" t="s">
        <v>118</v>
      </c>
      <c r="Q33" s="1025" t="s">
        <v>118</v>
      </c>
      <c r="R33" s="1025" t="s">
        <v>118</v>
      </c>
      <c r="S33" s="1028">
        <v>82</v>
      </c>
      <c r="T33" s="1028">
        <v>77</v>
      </c>
      <c r="U33" s="1025"/>
      <c r="V33" s="1025"/>
      <c r="W33" s="1025" t="s">
        <v>118</v>
      </c>
      <c r="X33" s="1028">
        <v>550</v>
      </c>
      <c r="Y33" s="1028">
        <v>475</v>
      </c>
      <c r="Z33" s="1037" t="str">
        <f t="shared" si="0"/>
        <v/>
      </c>
      <c r="AA33" s="1022">
        <f t="shared" si="7"/>
        <v>14.909090909090908</v>
      </c>
      <c r="AB33" s="1022"/>
      <c r="AC33" s="1022">
        <v>16.2</v>
      </c>
      <c r="AD33" s="1022">
        <v>1.8</v>
      </c>
      <c r="AE33" s="1022">
        <v>11</v>
      </c>
      <c r="AF33" s="732" t="s">
        <v>972</v>
      </c>
      <c r="AG33" s="1022">
        <v>125</v>
      </c>
      <c r="AH33" s="1025" t="s">
        <v>944</v>
      </c>
      <c r="AI33" s="829" t="s">
        <v>958</v>
      </c>
      <c r="AJ33" s="1018">
        <f t="shared" si="1"/>
        <v>357.81818181818187</v>
      </c>
      <c r="AK33" s="1018">
        <f t="shared" si="2"/>
        <v>31.488000000000003</v>
      </c>
      <c r="AL33" s="1039">
        <v>47500</v>
      </c>
      <c r="AM33" s="1039">
        <v>0</v>
      </c>
      <c r="AN33" s="1008">
        <f t="shared" si="3"/>
        <v>8243.8016528925618</v>
      </c>
      <c r="AO33" s="1108">
        <f t="shared" si="4"/>
        <v>39256.198347107442</v>
      </c>
    </row>
    <row r="34" spans="1:41">
      <c r="A34" s="171" t="s">
        <v>848</v>
      </c>
      <c r="B34" s="1025" t="s">
        <v>632</v>
      </c>
      <c r="C34" s="1021">
        <v>43709</v>
      </c>
      <c r="D34" s="1025" t="s">
        <v>1243</v>
      </c>
      <c r="E34" s="1025" t="s">
        <v>18</v>
      </c>
      <c r="F34" s="719" t="str">
        <f t="shared" si="5"/>
        <v>D</v>
      </c>
      <c r="G34" s="1028">
        <v>5</v>
      </c>
      <c r="H34" s="1028">
        <v>1611</v>
      </c>
      <c r="I34" s="1028">
        <v>542</v>
      </c>
      <c r="J34" s="1025" t="s">
        <v>118</v>
      </c>
      <c r="K34" s="1028">
        <v>150</v>
      </c>
      <c r="L34" s="1028">
        <v>204</v>
      </c>
      <c r="M34" s="1028">
        <v>350</v>
      </c>
      <c r="N34" s="1028">
        <v>210</v>
      </c>
      <c r="O34" s="1025" t="s">
        <v>951</v>
      </c>
      <c r="P34" s="1025" t="s">
        <v>972</v>
      </c>
      <c r="Q34" s="1028">
        <v>750</v>
      </c>
      <c r="R34" s="1028">
        <v>910</v>
      </c>
      <c r="S34" s="1028">
        <v>55</v>
      </c>
      <c r="T34" s="1028">
        <v>46</v>
      </c>
      <c r="U34" s="1025"/>
      <c r="V34" s="1025"/>
      <c r="W34" s="1025" t="s">
        <v>118</v>
      </c>
      <c r="X34" s="1110">
        <f>X35*Y34/Y35</f>
        <v>378.38235294117646</v>
      </c>
      <c r="Y34" s="1028">
        <v>310</v>
      </c>
      <c r="Z34" s="1037" t="str">
        <f t="shared" si="0"/>
        <v/>
      </c>
      <c r="AA34" s="1022">
        <f t="shared" si="7"/>
        <v>14.535561601243685</v>
      </c>
      <c r="AB34" s="1037"/>
      <c r="AC34" s="1028">
        <v>14.8</v>
      </c>
      <c r="AD34" s="1028">
        <v>1.7</v>
      </c>
      <c r="AE34" s="1028">
        <v>11</v>
      </c>
      <c r="AF34" s="732" t="s">
        <v>953</v>
      </c>
      <c r="AG34" s="1028">
        <v>100</v>
      </c>
      <c r="AH34" s="1025" t="s">
        <v>944</v>
      </c>
      <c r="AI34" s="1025" t="s">
        <v>958</v>
      </c>
      <c r="AJ34" s="1018">
        <f t="shared" si="1"/>
        <v>240</v>
      </c>
      <c r="AK34" s="1018">
        <f t="shared" si="2"/>
        <v>26.4</v>
      </c>
      <c r="AL34" s="1039">
        <v>43500</v>
      </c>
      <c r="AM34" s="1039">
        <v>0</v>
      </c>
      <c r="AN34" s="1008">
        <f t="shared" si="3"/>
        <v>7549.5867768595035</v>
      </c>
      <c r="AO34" s="1108">
        <f t="shared" si="4"/>
        <v>35950.413223140495</v>
      </c>
    </row>
    <row r="35" spans="1:41">
      <c r="A35" s="171" t="s">
        <v>848</v>
      </c>
      <c r="B35" s="1025" t="s">
        <v>632</v>
      </c>
      <c r="C35" s="1021">
        <v>43556</v>
      </c>
      <c r="D35" s="1025" t="s">
        <v>1244</v>
      </c>
      <c r="E35" s="1025" t="s">
        <v>18</v>
      </c>
      <c r="F35" s="719" t="str">
        <f>IF($A35="ja",E35,"")</f>
        <v>D</v>
      </c>
      <c r="G35" s="719">
        <v>5</v>
      </c>
      <c r="H35" s="1028">
        <v>1611</v>
      </c>
      <c r="I35" s="1028">
        <v>542</v>
      </c>
      <c r="J35" s="1025" t="s">
        <v>118</v>
      </c>
      <c r="K35" s="1028">
        <v>175</v>
      </c>
      <c r="L35" s="1028">
        <v>238</v>
      </c>
      <c r="M35" s="1028">
        <v>375</v>
      </c>
      <c r="N35" s="1028">
        <v>225</v>
      </c>
      <c r="O35" s="1025" t="s">
        <v>951</v>
      </c>
      <c r="P35" s="1025" t="s">
        <v>972</v>
      </c>
      <c r="Q35" s="1028">
        <v>750</v>
      </c>
      <c r="R35" s="1028">
        <v>910</v>
      </c>
      <c r="S35" s="1028">
        <v>55</v>
      </c>
      <c r="T35" s="1028">
        <v>50</v>
      </c>
      <c r="U35" s="1025"/>
      <c r="V35" s="1025"/>
      <c r="W35" s="1025" t="s">
        <v>118</v>
      </c>
      <c r="X35" s="1028">
        <v>415</v>
      </c>
      <c r="Y35" s="1028">
        <v>340</v>
      </c>
      <c r="Z35" s="1037" t="str">
        <f t="shared" si="0"/>
        <v/>
      </c>
      <c r="AA35" s="1022">
        <f t="shared" si="7"/>
        <v>13.253012048192772</v>
      </c>
      <c r="AB35" s="1022"/>
      <c r="AC35" s="1028">
        <v>14.9</v>
      </c>
      <c r="AD35" s="1022">
        <v>1.7</v>
      </c>
      <c r="AE35" s="1018">
        <v>11</v>
      </c>
      <c r="AF35" s="732" t="s">
        <v>953</v>
      </c>
      <c r="AG35" s="1028">
        <v>100</v>
      </c>
      <c r="AH35" s="1025" t="s">
        <v>944</v>
      </c>
      <c r="AI35" s="1025" t="s">
        <v>958</v>
      </c>
      <c r="AJ35" s="1018">
        <f t="shared" si="1"/>
        <v>240</v>
      </c>
      <c r="AK35" s="1018">
        <f t="shared" si="2"/>
        <v>26.4</v>
      </c>
      <c r="AL35" s="1039">
        <v>50000</v>
      </c>
      <c r="AM35" s="1039">
        <v>0</v>
      </c>
      <c r="AN35" s="1008">
        <f t="shared" si="3"/>
        <v>8677.6859504132226</v>
      </c>
      <c r="AO35" s="1108">
        <f t="shared" si="4"/>
        <v>41322.314049586777</v>
      </c>
    </row>
    <row r="36" spans="1:41">
      <c r="A36" s="171" t="s">
        <v>848</v>
      </c>
      <c r="B36" s="1025" t="s">
        <v>632</v>
      </c>
      <c r="C36" s="1021">
        <v>43497</v>
      </c>
      <c r="D36" s="1025" t="s">
        <v>991</v>
      </c>
      <c r="E36" s="1025" t="s">
        <v>18</v>
      </c>
      <c r="F36" s="719" t="str">
        <f t="shared" si="5"/>
        <v>D</v>
      </c>
      <c r="G36" s="1028">
        <v>5</v>
      </c>
      <c r="H36" s="1028">
        <v>1847</v>
      </c>
      <c r="I36" s="1028">
        <v>542</v>
      </c>
      <c r="J36" s="1025" t="s">
        <v>118</v>
      </c>
      <c r="K36" s="1028">
        <v>258</v>
      </c>
      <c r="L36" s="1028">
        <v>351</v>
      </c>
      <c r="M36" s="1028">
        <v>527</v>
      </c>
      <c r="N36" s="1028">
        <v>233</v>
      </c>
      <c r="O36" s="1025" t="s">
        <v>990</v>
      </c>
      <c r="P36" s="1025" t="s">
        <v>972</v>
      </c>
      <c r="Q36" s="1028">
        <v>750</v>
      </c>
      <c r="R36" s="1028">
        <v>910</v>
      </c>
      <c r="S36" s="1028">
        <v>75</v>
      </c>
      <c r="T36" s="1028">
        <v>74</v>
      </c>
      <c r="U36" s="1025"/>
      <c r="V36" s="1025"/>
      <c r="W36" s="1025" t="s">
        <v>118</v>
      </c>
      <c r="X36" s="1028">
        <v>560</v>
      </c>
      <c r="Y36" s="1028">
        <v>475</v>
      </c>
      <c r="Z36" s="1037" t="str">
        <f t="shared" si="0"/>
        <v/>
      </c>
      <c r="AA36" s="1022">
        <f t="shared" si="7"/>
        <v>13.392857142857142</v>
      </c>
      <c r="AB36" s="1022"/>
      <c r="AC36" s="1028">
        <v>15.6</v>
      </c>
      <c r="AD36" s="1028">
        <v>1.8</v>
      </c>
      <c r="AE36" s="1028">
        <v>11</v>
      </c>
      <c r="AF36" s="732" t="s">
        <v>953</v>
      </c>
      <c r="AG36" s="1028">
        <v>250</v>
      </c>
      <c r="AH36" s="1025" t="s">
        <v>944</v>
      </c>
      <c r="AI36" s="1025" t="s">
        <v>958</v>
      </c>
      <c r="AJ36" s="1018">
        <f t="shared" ref="AJ36:AJ67" si="8">(($S36*$B$82)/$AE36)*60</f>
        <v>327.27272727272725</v>
      </c>
      <c r="AK36" s="1018">
        <f t="shared" ref="AK36:AK67" si="9">IF(AG36="-","",(($S36*$B$82)/$AG36)*60)</f>
        <v>14.399999999999999</v>
      </c>
      <c r="AL36" s="1039">
        <v>59300</v>
      </c>
      <c r="AM36" s="1039">
        <v>0</v>
      </c>
      <c r="AN36" s="1008">
        <f t="shared" si="3"/>
        <v>10291.735537190081</v>
      </c>
      <c r="AO36" s="1108">
        <f t="shared" si="4"/>
        <v>49008.264462809915</v>
      </c>
    </row>
    <row r="37" spans="1:41">
      <c r="A37" s="171" t="s">
        <v>848</v>
      </c>
      <c r="B37" s="1025" t="s">
        <v>1029</v>
      </c>
      <c r="C37" s="1021">
        <v>43891</v>
      </c>
      <c r="D37" s="816">
        <v>2</v>
      </c>
      <c r="E37" s="816" t="s">
        <v>18</v>
      </c>
      <c r="F37" s="719" t="str">
        <f t="shared" si="5"/>
        <v>D</v>
      </c>
      <c r="G37" s="719">
        <v>5</v>
      </c>
      <c r="H37" s="1028">
        <v>1900</v>
      </c>
      <c r="I37" s="1028">
        <v>483</v>
      </c>
      <c r="J37" s="1025" t="s">
        <v>118</v>
      </c>
      <c r="K37" s="1028">
        <v>300</v>
      </c>
      <c r="L37" s="1028">
        <v>408</v>
      </c>
      <c r="M37" s="1028">
        <v>660</v>
      </c>
      <c r="N37" s="1028">
        <v>250</v>
      </c>
      <c r="O37" s="1025" t="s">
        <v>990</v>
      </c>
      <c r="P37" s="1025" t="s">
        <v>118</v>
      </c>
      <c r="Q37" s="1025" t="s">
        <v>118</v>
      </c>
      <c r="R37" s="1025" t="s">
        <v>118</v>
      </c>
      <c r="S37" s="1028">
        <v>78</v>
      </c>
      <c r="T37" s="1028">
        <v>75</v>
      </c>
      <c r="U37" s="1025"/>
      <c r="V37" s="1025"/>
      <c r="W37" s="1025" t="s">
        <v>118</v>
      </c>
      <c r="X37" s="1028">
        <v>500</v>
      </c>
      <c r="Y37" s="1028">
        <v>450</v>
      </c>
      <c r="Z37" s="1037" t="str">
        <f t="shared" si="0"/>
        <v/>
      </c>
      <c r="AA37" s="1022">
        <f t="shared" si="7"/>
        <v>15.6</v>
      </c>
      <c r="AB37" s="1022"/>
      <c r="AC37" s="1022">
        <v>16.7</v>
      </c>
      <c r="AD37" s="1022">
        <v>1.9</v>
      </c>
      <c r="AE37" s="1022">
        <v>11</v>
      </c>
      <c r="AF37" s="732" t="s">
        <v>972</v>
      </c>
      <c r="AG37" s="1022">
        <v>150</v>
      </c>
      <c r="AH37" s="1025" t="s">
        <v>944</v>
      </c>
      <c r="AI37" s="1025" t="s">
        <v>958</v>
      </c>
      <c r="AJ37" s="1018">
        <f t="shared" si="8"/>
        <v>340.36363636363637</v>
      </c>
      <c r="AK37" s="1018">
        <f t="shared" si="9"/>
        <v>24.96</v>
      </c>
      <c r="AL37" s="1039">
        <v>60000</v>
      </c>
      <c r="AM37" s="1039">
        <v>0</v>
      </c>
      <c r="AN37" s="1008">
        <f t="shared" si="3"/>
        <v>10413.223140495867</v>
      </c>
      <c r="AO37" s="1108">
        <f t="shared" si="4"/>
        <v>49586.776859504134</v>
      </c>
    </row>
    <row r="38" spans="1:41">
      <c r="A38" s="171" t="s">
        <v>848</v>
      </c>
      <c r="B38" s="1025" t="s">
        <v>632</v>
      </c>
      <c r="C38" s="1021">
        <v>43497</v>
      </c>
      <c r="D38" s="1025" t="s">
        <v>992</v>
      </c>
      <c r="E38" s="1025" t="s">
        <v>18</v>
      </c>
      <c r="F38" s="719" t="str">
        <f t="shared" si="5"/>
        <v>D</v>
      </c>
      <c r="G38" s="1028">
        <v>5</v>
      </c>
      <c r="H38" s="1028">
        <v>1847</v>
      </c>
      <c r="I38" s="1028">
        <v>542</v>
      </c>
      <c r="J38" s="1025" t="s">
        <v>118</v>
      </c>
      <c r="K38" s="1028">
        <v>340</v>
      </c>
      <c r="L38" s="1028">
        <v>462</v>
      </c>
      <c r="M38" s="1028">
        <v>639</v>
      </c>
      <c r="N38" s="1028">
        <v>261</v>
      </c>
      <c r="O38" s="1025" t="s">
        <v>990</v>
      </c>
      <c r="P38" s="1025" t="s">
        <v>118</v>
      </c>
      <c r="Q38" s="1025" t="s">
        <v>118</v>
      </c>
      <c r="R38" s="1025" t="s">
        <v>118</v>
      </c>
      <c r="S38" s="1028">
        <v>75</v>
      </c>
      <c r="T38" s="1028">
        <v>74</v>
      </c>
      <c r="U38" s="1025"/>
      <c r="V38" s="1025"/>
      <c r="W38" s="1025" t="s">
        <v>118</v>
      </c>
      <c r="X38" s="1028">
        <v>530</v>
      </c>
      <c r="Y38" s="1028">
        <v>450</v>
      </c>
      <c r="Z38" s="1037" t="str">
        <f t="shared" si="0"/>
        <v/>
      </c>
      <c r="AA38" s="1022">
        <f t="shared" si="7"/>
        <v>14.150943396226415</v>
      </c>
      <c r="AB38" s="1022"/>
      <c r="AC38" s="1028">
        <v>16.399999999999999</v>
      </c>
      <c r="AD38" s="1028">
        <v>1.8</v>
      </c>
      <c r="AE38" s="1028">
        <v>11</v>
      </c>
      <c r="AF38" s="732" t="s">
        <v>953</v>
      </c>
      <c r="AG38" s="1028">
        <v>250</v>
      </c>
      <c r="AH38" s="1025" t="s">
        <v>944</v>
      </c>
      <c r="AI38" s="1025" t="s">
        <v>958</v>
      </c>
      <c r="AJ38" s="1018">
        <f t="shared" si="8"/>
        <v>327.27272727272725</v>
      </c>
      <c r="AK38" s="1018">
        <f t="shared" si="9"/>
        <v>14.399999999999999</v>
      </c>
      <c r="AL38" s="1039">
        <v>65000</v>
      </c>
      <c r="AM38" s="1039">
        <v>0</v>
      </c>
      <c r="AN38" s="1008">
        <f t="shared" si="3"/>
        <v>11280.991735537191</v>
      </c>
      <c r="AO38" s="1108">
        <f t="shared" si="4"/>
        <v>53719.008264462813</v>
      </c>
    </row>
    <row r="39" spans="1:41">
      <c r="A39" s="171" t="s">
        <v>848</v>
      </c>
      <c r="B39" s="1025" t="s">
        <v>632</v>
      </c>
      <c r="C39" s="1021">
        <v>43617</v>
      </c>
      <c r="D39" s="1025" t="s">
        <v>1245</v>
      </c>
      <c r="E39" s="1025" t="s">
        <v>21</v>
      </c>
      <c r="F39" s="719" t="str">
        <f t="shared" si="5"/>
        <v>E</v>
      </c>
      <c r="G39" s="1028">
        <v>5</v>
      </c>
      <c r="H39" s="1028">
        <v>2215</v>
      </c>
      <c r="I39" s="1028">
        <v>894</v>
      </c>
      <c r="J39" s="1028">
        <v>1645</v>
      </c>
      <c r="K39" s="1028">
        <v>350</v>
      </c>
      <c r="L39" s="1028">
        <v>476</v>
      </c>
      <c r="M39" s="1028">
        <v>750</v>
      </c>
      <c r="N39" s="1028">
        <v>250</v>
      </c>
      <c r="O39" s="1025" t="s">
        <v>990</v>
      </c>
      <c r="P39" s="1025" t="s">
        <v>952</v>
      </c>
      <c r="Q39" s="1025" t="s">
        <v>118</v>
      </c>
      <c r="R39" s="1025" t="s">
        <v>118</v>
      </c>
      <c r="S39" s="1028">
        <v>100</v>
      </c>
      <c r="T39" s="1028">
        <v>95</v>
      </c>
      <c r="U39" s="1025"/>
      <c r="V39" s="1025"/>
      <c r="W39" s="1025" t="s">
        <v>118</v>
      </c>
      <c r="X39" s="1028">
        <v>610</v>
      </c>
      <c r="Y39" s="1028">
        <v>525</v>
      </c>
      <c r="Z39" s="1037" t="str">
        <f t="shared" si="0"/>
        <v/>
      </c>
      <c r="AA39" s="1022">
        <f t="shared" si="7"/>
        <v>16.393442622950818</v>
      </c>
      <c r="AB39" s="1022"/>
      <c r="AC39" s="1028">
        <v>19.399999999999999</v>
      </c>
      <c r="AD39" s="1022">
        <v>2</v>
      </c>
      <c r="AE39" s="1028">
        <v>16.5</v>
      </c>
      <c r="AF39" s="732" t="s">
        <v>953</v>
      </c>
      <c r="AG39" s="1028">
        <v>145</v>
      </c>
      <c r="AH39" s="1025" t="s">
        <v>944</v>
      </c>
      <c r="AI39" s="1025" t="s">
        <v>993</v>
      </c>
      <c r="AJ39" s="1018">
        <f t="shared" si="8"/>
        <v>290.90909090909093</v>
      </c>
      <c r="AK39" s="1018">
        <f t="shared" si="9"/>
        <v>33.103448275862071</v>
      </c>
      <c r="AL39" s="1039">
        <v>88818</v>
      </c>
      <c r="AM39" s="1039">
        <v>0</v>
      </c>
      <c r="AN39" s="1008">
        <f t="shared" si="3"/>
        <v>15414.694214876034</v>
      </c>
      <c r="AO39" s="1108">
        <f t="shared" si="4"/>
        <v>73403.305785123972</v>
      </c>
    </row>
    <row r="40" spans="1:41">
      <c r="A40" s="171" t="s">
        <v>848</v>
      </c>
      <c r="B40" s="1025" t="s">
        <v>632</v>
      </c>
      <c r="C40" s="1021">
        <v>42736</v>
      </c>
      <c r="D40" s="1025" t="s">
        <v>1246</v>
      </c>
      <c r="E40" s="1025" t="s">
        <v>21</v>
      </c>
      <c r="F40" s="719" t="str">
        <f t="shared" si="5"/>
        <v>E</v>
      </c>
      <c r="G40" s="1028">
        <v>5</v>
      </c>
      <c r="H40" s="1028">
        <v>2241</v>
      </c>
      <c r="I40" s="1028">
        <v>894</v>
      </c>
      <c r="J40" s="1028">
        <v>1645</v>
      </c>
      <c r="K40" s="1028">
        <v>451</v>
      </c>
      <c r="L40" s="1028">
        <v>613</v>
      </c>
      <c r="M40" s="1028">
        <v>931</v>
      </c>
      <c r="N40" s="1028">
        <v>250</v>
      </c>
      <c r="O40" s="1025" t="s">
        <v>990</v>
      </c>
      <c r="P40" s="1025" t="s">
        <v>952</v>
      </c>
      <c r="Q40" s="1025" t="s">
        <v>118</v>
      </c>
      <c r="R40" s="1025" t="s">
        <v>118</v>
      </c>
      <c r="S40" s="1028">
        <v>100</v>
      </c>
      <c r="T40" s="1028">
        <v>95</v>
      </c>
      <c r="U40" s="1025"/>
      <c r="V40" s="1025"/>
      <c r="W40" s="1025" t="s">
        <v>118</v>
      </c>
      <c r="X40" s="1028">
        <v>590</v>
      </c>
      <c r="Y40" s="1028">
        <v>510</v>
      </c>
      <c r="Z40" s="1037" t="str">
        <f t="shared" si="0"/>
        <v/>
      </c>
      <c r="AA40" s="1022">
        <f t="shared" si="7"/>
        <v>16.949152542372879</v>
      </c>
      <c r="AB40" s="1022"/>
      <c r="AC40" s="1028">
        <v>18.399999999999999</v>
      </c>
      <c r="AD40" s="1028">
        <v>2.1</v>
      </c>
      <c r="AE40" s="1028">
        <v>16.5</v>
      </c>
      <c r="AF40" s="732" t="s">
        <v>953</v>
      </c>
      <c r="AG40" s="1028">
        <v>145</v>
      </c>
      <c r="AH40" s="1025" t="s">
        <v>944</v>
      </c>
      <c r="AI40" s="1025" t="s">
        <v>993</v>
      </c>
      <c r="AJ40" s="1018">
        <f t="shared" si="8"/>
        <v>290.90909090909093</v>
      </c>
      <c r="AK40" s="1018">
        <f t="shared" si="9"/>
        <v>33.103448275862071</v>
      </c>
      <c r="AL40" s="1039">
        <v>105178</v>
      </c>
      <c r="AM40" s="1039">
        <v>0</v>
      </c>
      <c r="AN40" s="1008">
        <f t="shared" si="3"/>
        <v>18254.03305785124</v>
      </c>
      <c r="AO40" s="1108">
        <f t="shared" si="4"/>
        <v>86923.966942148763</v>
      </c>
    </row>
    <row r="41" spans="1:41">
      <c r="A41" s="1032" t="s">
        <v>849</v>
      </c>
      <c r="B41" s="1025" t="s">
        <v>994</v>
      </c>
      <c r="C41" s="1021">
        <v>44197</v>
      </c>
      <c r="D41" s="1025" t="s">
        <v>995</v>
      </c>
      <c r="E41" s="1025" t="s">
        <v>21</v>
      </c>
      <c r="F41" s="719" t="str">
        <f t="shared" si="5"/>
        <v/>
      </c>
      <c r="G41" s="719">
        <v>5</v>
      </c>
      <c r="H41" s="1028">
        <v>2100</v>
      </c>
      <c r="I41" s="1025" t="s">
        <v>118</v>
      </c>
      <c r="J41" s="1025" t="s">
        <v>118</v>
      </c>
      <c r="K41" s="1028">
        <v>300</v>
      </c>
      <c r="L41" s="1028">
        <v>408</v>
      </c>
      <c r="M41" s="1028">
        <v>600</v>
      </c>
      <c r="N41" s="1028">
        <v>225</v>
      </c>
      <c r="O41" s="1025" t="s">
        <v>951</v>
      </c>
      <c r="P41" s="1025" t="s">
        <v>118</v>
      </c>
      <c r="Q41" s="1025" t="s">
        <v>118</v>
      </c>
      <c r="R41" s="1025" t="s">
        <v>118</v>
      </c>
      <c r="S41" s="1028">
        <v>75</v>
      </c>
      <c r="T41" s="1028">
        <v>75</v>
      </c>
      <c r="U41" s="1025"/>
      <c r="V41" s="1025"/>
      <c r="W41" s="1025" t="s">
        <v>118</v>
      </c>
      <c r="X41" s="1025" t="s">
        <v>118</v>
      </c>
      <c r="Y41" s="1028">
        <v>350</v>
      </c>
      <c r="Z41" s="1037" t="str">
        <f t="shared" si="0"/>
        <v/>
      </c>
      <c r="AA41" s="1037" t="str">
        <f t="shared" si="7"/>
        <v/>
      </c>
      <c r="AB41" s="1037"/>
      <c r="AC41" s="1028">
        <v>21.4</v>
      </c>
      <c r="AD41" s="1028">
        <v>2.4</v>
      </c>
      <c r="AE41" s="1028">
        <v>11</v>
      </c>
      <c r="AF41" s="732" t="s">
        <v>953</v>
      </c>
      <c r="AG41" s="1028">
        <v>150</v>
      </c>
      <c r="AH41" s="1025" t="s">
        <v>944</v>
      </c>
      <c r="AI41" s="1025" t="s">
        <v>958</v>
      </c>
      <c r="AJ41" s="1018">
        <f t="shared" si="8"/>
        <v>327.27272727272725</v>
      </c>
      <c r="AK41" s="1018">
        <f t="shared" si="9"/>
        <v>24</v>
      </c>
      <c r="AL41" s="1039">
        <v>75000</v>
      </c>
      <c r="AM41" s="1039">
        <v>0</v>
      </c>
      <c r="AN41" s="1008">
        <f t="shared" si="3"/>
        <v>13016.528925619836</v>
      </c>
      <c r="AO41" s="1108">
        <f t="shared" si="4"/>
        <v>61983.47107438017</v>
      </c>
    </row>
    <row r="42" spans="1:41">
      <c r="A42" s="1032" t="s">
        <v>849</v>
      </c>
      <c r="B42" s="1025" t="s">
        <v>996</v>
      </c>
      <c r="C42" s="1021">
        <v>44228</v>
      </c>
      <c r="D42" s="1025" t="s">
        <v>997</v>
      </c>
      <c r="E42" s="1025" t="s">
        <v>21</v>
      </c>
      <c r="F42" s="719" t="str">
        <f t="shared" si="5"/>
        <v/>
      </c>
      <c r="G42" s="719">
        <v>4</v>
      </c>
      <c r="H42" s="1028">
        <v>2200</v>
      </c>
      <c r="I42" s="1028">
        <v>450</v>
      </c>
      <c r="J42" s="1028">
        <v>550</v>
      </c>
      <c r="K42" s="1028">
        <v>434</v>
      </c>
      <c r="L42" s="1028">
        <v>590</v>
      </c>
      <c r="M42" s="1028">
        <v>900</v>
      </c>
      <c r="N42" s="1028">
        <v>240</v>
      </c>
      <c r="O42" s="1025" t="s">
        <v>990</v>
      </c>
      <c r="P42" s="1025" t="s">
        <v>118</v>
      </c>
      <c r="Q42" s="1025" t="s">
        <v>118</v>
      </c>
      <c r="R42" s="1025" t="s">
        <v>118</v>
      </c>
      <c r="S42" s="1028">
        <v>90</v>
      </c>
      <c r="T42" s="1028">
        <v>85</v>
      </c>
      <c r="U42" s="1025"/>
      <c r="V42" s="1025"/>
      <c r="W42" s="1025" t="s">
        <v>118</v>
      </c>
      <c r="X42" s="1025" t="s">
        <v>118</v>
      </c>
      <c r="Y42" s="1028">
        <v>415</v>
      </c>
      <c r="Z42" s="1037" t="str">
        <f t="shared" si="0"/>
        <v/>
      </c>
      <c r="AA42" s="1037" t="str">
        <f t="shared" si="7"/>
        <v/>
      </c>
      <c r="AB42" s="1037"/>
      <c r="AC42" s="1028">
        <v>20.5</v>
      </c>
      <c r="AD42" s="1022">
        <v>2.2999999999999998</v>
      </c>
      <c r="AE42" s="1028">
        <v>11</v>
      </c>
      <c r="AF42" s="732" t="s">
        <v>953</v>
      </c>
      <c r="AG42" s="1028">
        <v>350</v>
      </c>
      <c r="AH42" s="1025" t="s">
        <v>944</v>
      </c>
      <c r="AI42" s="1025" t="s">
        <v>958</v>
      </c>
      <c r="AJ42" s="1018">
        <f t="shared" si="8"/>
        <v>392.72727272727275</v>
      </c>
      <c r="AK42" s="1018">
        <f t="shared" si="9"/>
        <v>12.342857142857143</v>
      </c>
      <c r="AL42" s="1039">
        <v>125000</v>
      </c>
      <c r="AM42" s="1039">
        <v>0</v>
      </c>
      <c r="AN42" s="1008">
        <f t="shared" si="3"/>
        <v>21694.214876033056</v>
      </c>
      <c r="AO42" s="1108">
        <f t="shared" si="4"/>
        <v>103305.78512396694</v>
      </c>
    </row>
    <row r="43" spans="1:41">
      <c r="A43" s="1032" t="s">
        <v>849</v>
      </c>
      <c r="B43" s="1025" t="s">
        <v>1032</v>
      </c>
      <c r="C43" s="1021">
        <v>43891</v>
      </c>
      <c r="D43" s="1025" t="s">
        <v>1033</v>
      </c>
      <c r="E43" s="1025" t="s">
        <v>21</v>
      </c>
      <c r="F43" s="719" t="str">
        <f t="shared" si="5"/>
        <v/>
      </c>
      <c r="G43" s="719">
        <v>5</v>
      </c>
      <c r="H43" s="1028">
        <v>1300</v>
      </c>
      <c r="I43" s="1025" t="s">
        <v>118</v>
      </c>
      <c r="J43" s="1028">
        <v>800</v>
      </c>
      <c r="K43" s="1028">
        <v>100</v>
      </c>
      <c r="L43" s="1028">
        <v>136</v>
      </c>
      <c r="M43" s="1028">
        <v>1200</v>
      </c>
      <c r="N43" s="1028">
        <v>150</v>
      </c>
      <c r="O43" s="1025" t="s">
        <v>990</v>
      </c>
      <c r="P43" s="1025" t="s">
        <v>118</v>
      </c>
      <c r="Q43" s="1025" t="s">
        <v>118</v>
      </c>
      <c r="R43" s="1025" t="s">
        <v>118</v>
      </c>
      <c r="S43" s="1028">
        <v>60</v>
      </c>
      <c r="T43" s="1028">
        <v>60</v>
      </c>
      <c r="U43" s="1025"/>
      <c r="V43" s="1025"/>
      <c r="W43" s="1025" t="s">
        <v>118</v>
      </c>
      <c r="X43" s="1028">
        <v>725</v>
      </c>
      <c r="Y43" s="1028">
        <v>580</v>
      </c>
      <c r="Z43" s="1037" t="str">
        <f t="shared" si="0"/>
        <v/>
      </c>
      <c r="AA43" s="1022">
        <f t="shared" si="7"/>
        <v>8.2758620689655178</v>
      </c>
      <c r="AB43" s="1022"/>
      <c r="AC43" s="1022">
        <v>10.3</v>
      </c>
      <c r="AD43" s="1022">
        <v>1.2</v>
      </c>
      <c r="AE43" s="1022">
        <v>22</v>
      </c>
      <c r="AF43" s="732" t="s">
        <v>972</v>
      </c>
      <c r="AG43" s="1022">
        <v>75</v>
      </c>
      <c r="AH43" s="1025" t="s">
        <v>944</v>
      </c>
      <c r="AI43" s="1025" t="s">
        <v>958</v>
      </c>
      <c r="AJ43" s="1018">
        <f t="shared" si="8"/>
        <v>130.90909090909091</v>
      </c>
      <c r="AK43" s="1018">
        <f t="shared" si="9"/>
        <v>38.4</v>
      </c>
      <c r="AL43" s="1039">
        <v>149990</v>
      </c>
      <c r="AM43" s="1039">
        <v>0</v>
      </c>
      <c r="AN43" s="1008">
        <f t="shared" si="3"/>
        <v>26031.322314049587</v>
      </c>
      <c r="AO43" s="1108">
        <f t="shared" si="4"/>
        <v>123958.67768595042</v>
      </c>
    </row>
    <row r="44" spans="1:41">
      <c r="A44" s="1032" t="s">
        <v>849</v>
      </c>
      <c r="B44" s="1025" t="s">
        <v>1050</v>
      </c>
      <c r="C44" s="1021">
        <v>44348</v>
      </c>
      <c r="D44" s="1025" t="s">
        <v>995</v>
      </c>
      <c r="E44" s="1025" t="s">
        <v>21</v>
      </c>
      <c r="F44" s="719" t="str">
        <f t="shared" si="5"/>
        <v/>
      </c>
      <c r="G44" s="719">
        <v>5</v>
      </c>
      <c r="H44" s="1028">
        <v>2100</v>
      </c>
      <c r="I44" s="1025" t="s">
        <v>118</v>
      </c>
      <c r="J44" s="1025" t="s">
        <v>118</v>
      </c>
      <c r="K44" s="1028">
        <v>300</v>
      </c>
      <c r="L44" s="1028">
        <v>408</v>
      </c>
      <c r="M44" s="1028">
        <v>225</v>
      </c>
      <c r="N44" s="1028">
        <v>225</v>
      </c>
      <c r="O44" s="1025" t="s">
        <v>951</v>
      </c>
      <c r="P44" s="1025" t="s">
        <v>118</v>
      </c>
      <c r="Q44" s="1025" t="s">
        <v>118</v>
      </c>
      <c r="R44" s="1025" t="s">
        <v>118</v>
      </c>
      <c r="S44" s="1028">
        <v>75</v>
      </c>
      <c r="T44" s="1028">
        <v>75</v>
      </c>
      <c r="U44" s="1025"/>
      <c r="V44" s="1025"/>
      <c r="W44" s="1025" t="s">
        <v>118</v>
      </c>
      <c r="X44" s="1025" t="s">
        <v>118</v>
      </c>
      <c r="Y44" s="1028">
        <v>350</v>
      </c>
      <c r="Z44" s="1037" t="str">
        <f t="shared" si="0"/>
        <v/>
      </c>
      <c r="AA44" s="1037" t="str">
        <f t="shared" si="7"/>
        <v/>
      </c>
      <c r="AB44" s="1037"/>
      <c r="AC44" s="1022">
        <v>21.4</v>
      </c>
      <c r="AD44" s="1022">
        <v>2.4</v>
      </c>
      <c r="AE44" s="1022">
        <v>11</v>
      </c>
      <c r="AF44" s="732" t="s">
        <v>972</v>
      </c>
      <c r="AG44" s="1022">
        <v>150</v>
      </c>
      <c r="AH44" s="1025" t="s">
        <v>944</v>
      </c>
      <c r="AI44" s="829" t="s">
        <v>958</v>
      </c>
      <c r="AJ44" s="1018">
        <f t="shared" si="8"/>
        <v>327.27272727272725</v>
      </c>
      <c r="AK44" s="1018">
        <f t="shared" si="9"/>
        <v>24</v>
      </c>
      <c r="AL44" s="1039">
        <v>75000</v>
      </c>
      <c r="AM44" s="1039">
        <v>0</v>
      </c>
      <c r="AN44" s="1008">
        <f t="shared" si="3"/>
        <v>13016.528925619836</v>
      </c>
      <c r="AO44" s="1108">
        <f t="shared" si="4"/>
        <v>61983.47107438017</v>
      </c>
    </row>
    <row r="45" spans="1:41">
      <c r="A45" s="1032" t="s">
        <v>849</v>
      </c>
      <c r="B45" s="1025" t="s">
        <v>1043</v>
      </c>
      <c r="C45" s="1021">
        <v>44075</v>
      </c>
      <c r="D45" s="1025" t="s">
        <v>1044</v>
      </c>
      <c r="E45" s="1025" t="s">
        <v>25</v>
      </c>
      <c r="F45" s="719" t="str">
        <f t="shared" si="5"/>
        <v/>
      </c>
      <c r="G45" s="719">
        <v>4</v>
      </c>
      <c r="H45" s="1028">
        <v>2300</v>
      </c>
      <c r="I45" s="1025" t="s">
        <v>118</v>
      </c>
      <c r="J45" s="1025" t="s">
        <v>118</v>
      </c>
      <c r="K45" s="1028">
        <v>440</v>
      </c>
      <c r="L45" s="1028">
        <v>589</v>
      </c>
      <c r="M45" s="1028">
        <v>900</v>
      </c>
      <c r="N45" s="1028">
        <v>250</v>
      </c>
      <c r="O45" s="1025" t="s">
        <v>990</v>
      </c>
      <c r="P45" s="1025" t="s">
        <v>118</v>
      </c>
      <c r="Q45" s="1025" t="s">
        <v>118</v>
      </c>
      <c r="R45" s="1025" t="s">
        <v>118</v>
      </c>
      <c r="S45" s="1028">
        <v>96</v>
      </c>
      <c r="T45" s="1028">
        <v>90</v>
      </c>
      <c r="U45" s="1025"/>
      <c r="V45" s="1025"/>
      <c r="W45" s="1025" t="s">
        <v>118</v>
      </c>
      <c r="X45" s="1025" t="s">
        <v>118</v>
      </c>
      <c r="Y45" s="1028">
        <v>400</v>
      </c>
      <c r="Z45" s="1037" t="str">
        <f t="shared" si="0"/>
        <v/>
      </c>
      <c r="AA45" s="1037" t="str">
        <f t="shared" si="7"/>
        <v/>
      </c>
      <c r="AB45" s="1037"/>
      <c r="AC45" s="1022">
        <v>22.5</v>
      </c>
      <c r="AD45" s="1022">
        <v>2.5</v>
      </c>
      <c r="AE45" s="1022">
        <v>22</v>
      </c>
      <c r="AF45" s="732" t="s">
        <v>972</v>
      </c>
      <c r="AG45" s="1022">
        <v>250</v>
      </c>
      <c r="AH45" s="1025" t="s">
        <v>944</v>
      </c>
      <c r="AI45" s="1025" t="s">
        <v>958</v>
      </c>
      <c r="AJ45" s="1018">
        <f t="shared" si="8"/>
        <v>209.4545454545455</v>
      </c>
      <c r="AK45" s="1018">
        <f t="shared" si="9"/>
        <v>18.432000000000002</v>
      </c>
      <c r="AL45" s="1039">
        <v>150000</v>
      </c>
      <c r="AM45" s="1039">
        <v>0</v>
      </c>
      <c r="AN45" s="1008">
        <f t="shared" si="3"/>
        <v>26033.057851239671</v>
      </c>
      <c r="AO45" s="1108">
        <f t="shared" si="4"/>
        <v>123966.94214876034</v>
      </c>
    </row>
    <row r="46" spans="1:41">
      <c r="A46" s="1032" t="s">
        <v>849</v>
      </c>
      <c r="B46" s="1025" t="s">
        <v>640</v>
      </c>
      <c r="C46" s="1021">
        <v>43800</v>
      </c>
      <c r="D46" s="1025" t="s">
        <v>998</v>
      </c>
      <c r="E46" s="1025" t="s">
        <v>25</v>
      </c>
      <c r="F46" s="719" t="str">
        <f t="shared" si="5"/>
        <v/>
      </c>
      <c r="G46" s="719">
        <v>4</v>
      </c>
      <c r="H46" s="1028">
        <v>2200</v>
      </c>
      <c r="I46" s="1025" t="s">
        <v>118</v>
      </c>
      <c r="J46" s="1025" t="s">
        <v>118</v>
      </c>
      <c r="K46" s="1028">
        <v>440</v>
      </c>
      <c r="L46" s="1028">
        <v>598</v>
      </c>
      <c r="M46" s="1028">
        <v>900</v>
      </c>
      <c r="N46" s="1028">
        <v>250</v>
      </c>
      <c r="O46" s="1025" t="s">
        <v>990</v>
      </c>
      <c r="P46" s="1025" t="s">
        <v>952</v>
      </c>
      <c r="Q46" s="1025" t="s">
        <v>118</v>
      </c>
      <c r="R46" s="1025" t="s">
        <v>118</v>
      </c>
      <c r="S46" s="1028">
        <v>96</v>
      </c>
      <c r="T46" s="1028">
        <v>90</v>
      </c>
      <c r="U46" s="1025"/>
      <c r="V46" s="1025"/>
      <c r="W46" s="1025" t="s">
        <v>118</v>
      </c>
      <c r="X46" s="1025" t="s">
        <v>118</v>
      </c>
      <c r="Y46" s="1028">
        <v>430</v>
      </c>
      <c r="Z46" s="1037" t="str">
        <f t="shared" si="0"/>
        <v/>
      </c>
      <c r="AA46" s="1037" t="str">
        <f t="shared" si="7"/>
        <v/>
      </c>
      <c r="AB46" s="1037"/>
      <c r="AC46" s="1028">
        <v>20.5</v>
      </c>
      <c r="AD46" s="1028">
        <v>2.4</v>
      </c>
      <c r="AE46" s="1028">
        <v>22</v>
      </c>
      <c r="AF46" s="732" t="s">
        <v>953</v>
      </c>
      <c r="AG46" s="1028">
        <v>350</v>
      </c>
      <c r="AH46" s="1025" t="s">
        <v>944</v>
      </c>
      <c r="AI46" s="1025" t="s">
        <v>958</v>
      </c>
      <c r="AJ46" s="1018">
        <f t="shared" si="8"/>
        <v>209.4545454545455</v>
      </c>
      <c r="AK46" s="1018">
        <f t="shared" si="9"/>
        <v>13.165714285714289</v>
      </c>
      <c r="AL46" s="1039">
        <v>150000</v>
      </c>
      <c r="AM46" s="1039">
        <v>0</v>
      </c>
      <c r="AN46" s="1008">
        <f t="shared" si="3"/>
        <v>26033.057851239671</v>
      </c>
      <c r="AO46" s="1108">
        <f t="shared" si="4"/>
        <v>123966.94214876034</v>
      </c>
    </row>
    <row r="47" spans="1:41">
      <c r="A47" s="1032" t="s">
        <v>849</v>
      </c>
      <c r="B47" s="1025" t="s">
        <v>1021</v>
      </c>
      <c r="C47" s="1021">
        <v>44348</v>
      </c>
      <c r="D47" s="1025" t="s">
        <v>1049</v>
      </c>
      <c r="E47" s="1025" t="s">
        <v>387</v>
      </c>
      <c r="F47" s="719" t="str">
        <f t="shared" si="5"/>
        <v/>
      </c>
      <c r="G47" s="719">
        <v>4</v>
      </c>
      <c r="H47" s="1028">
        <v>2000</v>
      </c>
      <c r="I47" s="1025" t="s">
        <v>118</v>
      </c>
      <c r="J47" s="1025" t="s">
        <v>118</v>
      </c>
      <c r="K47" s="1028">
        <v>1000</v>
      </c>
      <c r="L47" s="1028">
        <v>1360</v>
      </c>
      <c r="M47" s="1028">
        <v>1200</v>
      </c>
      <c r="N47" s="1028">
        <v>410</v>
      </c>
      <c r="O47" s="1025" t="s">
        <v>990</v>
      </c>
      <c r="P47" s="1025" t="s">
        <v>118</v>
      </c>
      <c r="Q47" s="1025" t="s">
        <v>118</v>
      </c>
      <c r="R47" s="1025" t="s">
        <v>118</v>
      </c>
      <c r="S47" s="1028">
        <v>200</v>
      </c>
      <c r="T47" s="1028">
        <v>200</v>
      </c>
      <c r="U47" s="1025"/>
      <c r="V47" s="1025"/>
      <c r="W47" s="1025" t="s">
        <v>118</v>
      </c>
      <c r="X47" s="1025" t="s">
        <v>118</v>
      </c>
      <c r="Y47" s="1028">
        <v>970</v>
      </c>
      <c r="Z47" s="1037" t="str">
        <f t="shared" si="0"/>
        <v/>
      </c>
      <c r="AA47" s="1037" t="str">
        <f t="shared" si="7"/>
        <v/>
      </c>
      <c r="AB47" s="1037"/>
      <c r="AC47" s="1022">
        <v>20.6</v>
      </c>
      <c r="AD47" s="1022">
        <v>2.2999999999999998</v>
      </c>
      <c r="AE47" s="1022">
        <v>22</v>
      </c>
      <c r="AF47" s="732" t="s">
        <v>972</v>
      </c>
      <c r="AG47" s="1022">
        <v>250</v>
      </c>
      <c r="AH47" s="1025" t="s">
        <v>944</v>
      </c>
      <c r="AI47" s="829" t="s">
        <v>958</v>
      </c>
      <c r="AJ47" s="1018">
        <f t="shared" si="8"/>
        <v>436.36363636363637</v>
      </c>
      <c r="AK47" s="1018">
        <f t="shared" si="9"/>
        <v>38.4</v>
      </c>
      <c r="AL47" s="1039">
        <v>215000</v>
      </c>
      <c r="AM47" s="1039">
        <v>0</v>
      </c>
      <c r="AN47" s="1008">
        <f t="shared" si="3"/>
        <v>37314.049586776862</v>
      </c>
      <c r="AO47" s="1108">
        <f t="shared" si="4"/>
        <v>177685.95041322315</v>
      </c>
    </row>
    <row r="48" spans="1:41">
      <c r="A48" s="171" t="s">
        <v>848</v>
      </c>
      <c r="B48" s="1025" t="s">
        <v>588</v>
      </c>
      <c r="C48" s="1021">
        <v>42917</v>
      </c>
      <c r="D48" s="1025" t="s">
        <v>999</v>
      </c>
      <c r="E48" s="1025" t="s">
        <v>159</v>
      </c>
      <c r="F48" s="719" t="str">
        <f t="shared" si="5"/>
        <v>J</v>
      </c>
      <c r="G48" s="719">
        <v>5</v>
      </c>
      <c r="H48" s="1028">
        <v>1530</v>
      </c>
      <c r="I48" s="1028">
        <v>1300</v>
      </c>
      <c r="J48" s="1028">
        <v>3400</v>
      </c>
      <c r="K48" s="1028">
        <v>44</v>
      </c>
      <c r="L48" s="1028">
        <v>60</v>
      </c>
      <c r="M48" s="1028">
        <v>225</v>
      </c>
      <c r="N48" s="1028">
        <v>130</v>
      </c>
      <c r="O48" s="1025" t="s">
        <v>957</v>
      </c>
      <c r="P48" s="1025" t="s">
        <v>952</v>
      </c>
      <c r="Q48" s="1025" t="s">
        <v>118</v>
      </c>
      <c r="R48" s="1025" t="s">
        <v>118</v>
      </c>
      <c r="S48" s="1028">
        <v>33</v>
      </c>
      <c r="T48" s="1028">
        <v>31</v>
      </c>
      <c r="U48" s="1025"/>
      <c r="V48" s="1025"/>
      <c r="W48" s="1028">
        <v>270</v>
      </c>
      <c r="X48" s="1025" t="s">
        <v>118</v>
      </c>
      <c r="Y48" s="1028">
        <v>165</v>
      </c>
      <c r="Z48" s="1022">
        <v>15.2</v>
      </c>
      <c r="AA48" s="1037">
        <f>Z48*Factor_WLTP_NEDC</f>
        <v>19.190019705151098</v>
      </c>
      <c r="AB48" s="1037"/>
      <c r="AC48" s="1028">
        <v>18.8</v>
      </c>
      <c r="AD48" s="1028">
        <v>2.1</v>
      </c>
      <c r="AE48" s="1028">
        <v>7.4</v>
      </c>
      <c r="AF48" s="732" t="s">
        <v>961</v>
      </c>
      <c r="AG48" s="719" t="s">
        <v>118</v>
      </c>
      <c r="AH48" s="1025" t="s">
        <v>965</v>
      </c>
      <c r="AI48" s="1025" t="s">
        <v>963</v>
      </c>
      <c r="AJ48" s="1018">
        <f t="shared" si="8"/>
        <v>214.05405405405406</v>
      </c>
      <c r="AK48" s="1110" t="str">
        <f t="shared" si="9"/>
        <v/>
      </c>
      <c r="AL48" s="1039">
        <v>37895</v>
      </c>
      <c r="AM48" s="1039">
        <v>0</v>
      </c>
      <c r="AN48" s="1008">
        <f t="shared" si="3"/>
        <v>6576.818181818182</v>
      </c>
      <c r="AO48" s="1108">
        <f t="shared" si="4"/>
        <v>31318.18181818182</v>
      </c>
    </row>
    <row r="49" spans="1:41">
      <c r="A49" s="171" t="s">
        <v>848</v>
      </c>
      <c r="B49" s="1025" t="s">
        <v>654</v>
      </c>
      <c r="C49" s="1021">
        <v>43191</v>
      </c>
      <c r="D49" s="1025" t="s">
        <v>1000</v>
      </c>
      <c r="E49" s="1025" t="s">
        <v>159</v>
      </c>
      <c r="F49" s="719" t="str">
        <f t="shared" si="5"/>
        <v>J</v>
      </c>
      <c r="G49" s="719">
        <v>7</v>
      </c>
      <c r="H49" s="1028">
        <v>1689</v>
      </c>
      <c r="I49" s="1028">
        <v>2000</v>
      </c>
      <c r="J49" s="1028">
        <v>3000</v>
      </c>
      <c r="K49" s="1028">
        <v>80</v>
      </c>
      <c r="L49" s="1028">
        <v>109</v>
      </c>
      <c r="M49" s="1028">
        <v>254</v>
      </c>
      <c r="N49" s="1028">
        <v>123</v>
      </c>
      <c r="O49" s="1025" t="s">
        <v>957</v>
      </c>
      <c r="P49" s="1025" t="s">
        <v>952</v>
      </c>
      <c r="Q49" s="1025" t="s">
        <v>118</v>
      </c>
      <c r="R49" s="1025" t="s">
        <v>118</v>
      </c>
      <c r="S49" s="1028">
        <v>40</v>
      </c>
      <c r="T49" s="1028">
        <v>38</v>
      </c>
      <c r="U49" s="1025"/>
      <c r="V49" s="1025"/>
      <c r="W49" s="1028">
        <v>280</v>
      </c>
      <c r="X49" s="1028">
        <v>200</v>
      </c>
      <c r="Y49" s="1028">
        <v>190</v>
      </c>
      <c r="Z49" s="1022">
        <f t="shared" ref="Z49:Z73" si="10">IF(W49="-","",S49/W49*100)</f>
        <v>14.285714285714285</v>
      </c>
      <c r="AA49" s="1022">
        <f t="shared" ref="AA49:AA73" si="11">IF(X49="-","",S49/X49*100)</f>
        <v>20</v>
      </c>
      <c r="AB49" s="1111">
        <f>AA49/Z49</f>
        <v>1.4000000000000001</v>
      </c>
      <c r="AC49" s="1028">
        <v>20</v>
      </c>
      <c r="AD49" s="1028">
        <v>2.2000000000000002</v>
      </c>
      <c r="AE49" s="1028">
        <v>6.6</v>
      </c>
      <c r="AF49" s="732" t="s">
        <v>953</v>
      </c>
      <c r="AG49" s="1028">
        <v>50</v>
      </c>
      <c r="AH49" s="1025" t="s">
        <v>944</v>
      </c>
      <c r="AI49" s="1025" t="s">
        <v>954</v>
      </c>
      <c r="AJ49" s="1018">
        <f t="shared" si="8"/>
        <v>290.90909090909093</v>
      </c>
      <c r="AK49" s="1018">
        <f t="shared" si="9"/>
        <v>38.4</v>
      </c>
      <c r="AL49" s="1039">
        <v>44689</v>
      </c>
      <c r="AM49" s="1039">
        <v>0</v>
      </c>
      <c r="AN49" s="1008">
        <f t="shared" si="3"/>
        <v>7755.9421487603304</v>
      </c>
      <c r="AO49" s="1108">
        <f t="shared" si="4"/>
        <v>36933.057851239668</v>
      </c>
    </row>
    <row r="50" spans="1:41">
      <c r="A50" s="171" t="s">
        <v>848</v>
      </c>
      <c r="B50" s="1025" t="s">
        <v>1017</v>
      </c>
      <c r="C50" s="1021">
        <v>43739</v>
      </c>
      <c r="D50" s="1025" t="s">
        <v>1018</v>
      </c>
      <c r="E50" s="1025" t="s">
        <v>28</v>
      </c>
      <c r="F50" s="719" t="str">
        <f t="shared" si="5"/>
        <v>L</v>
      </c>
      <c r="G50" s="719">
        <v>5</v>
      </c>
      <c r="H50" s="1028">
        <v>1502</v>
      </c>
      <c r="I50" s="1025" t="s">
        <v>118</v>
      </c>
      <c r="J50" s="1025" t="s">
        <v>118</v>
      </c>
      <c r="K50" s="1028">
        <v>105</v>
      </c>
      <c r="L50" s="1028">
        <v>143</v>
      </c>
      <c r="M50" s="1028">
        <v>353</v>
      </c>
      <c r="N50" s="1028">
        <v>150</v>
      </c>
      <c r="O50" s="1025" t="s">
        <v>957</v>
      </c>
      <c r="P50" s="1025" t="s">
        <v>118</v>
      </c>
      <c r="Q50" s="1025" t="s">
        <v>118</v>
      </c>
      <c r="R50" s="1025" t="s">
        <v>118</v>
      </c>
      <c r="S50" s="1028">
        <v>44.5</v>
      </c>
      <c r="T50" s="1028">
        <v>40</v>
      </c>
      <c r="U50" s="1025"/>
      <c r="V50" s="1025"/>
      <c r="W50" s="1025" t="s">
        <v>118</v>
      </c>
      <c r="X50" s="1028">
        <v>262</v>
      </c>
      <c r="Y50" s="1028">
        <v>230</v>
      </c>
      <c r="Z50" s="1037" t="str">
        <f t="shared" si="10"/>
        <v/>
      </c>
      <c r="AA50" s="1022">
        <f t="shared" si="11"/>
        <v>16.984732824427482</v>
      </c>
      <c r="AB50" s="1022"/>
      <c r="AC50" s="1022">
        <v>17.399999999999999</v>
      </c>
      <c r="AD50" s="1022">
        <v>2</v>
      </c>
      <c r="AE50" s="1022">
        <v>7.4</v>
      </c>
      <c r="AF50" s="732" t="s">
        <v>972</v>
      </c>
      <c r="AG50" s="1022">
        <v>85</v>
      </c>
      <c r="AH50" s="1025" t="s">
        <v>944</v>
      </c>
      <c r="AI50" s="1025" t="s">
        <v>958</v>
      </c>
      <c r="AJ50" s="1018">
        <f t="shared" si="8"/>
        <v>288.64864864864865</v>
      </c>
      <c r="AK50" s="1018">
        <f t="shared" si="9"/>
        <v>25.129411764705882</v>
      </c>
      <c r="AL50" s="1039">
        <v>32500</v>
      </c>
      <c r="AM50" s="1039">
        <v>0</v>
      </c>
      <c r="AN50" s="1008">
        <f t="shared" si="3"/>
        <v>5640.4958677685954</v>
      </c>
      <c r="AO50" s="1108">
        <f t="shared" si="4"/>
        <v>26859.504132231406</v>
      </c>
    </row>
    <row r="51" spans="1:41">
      <c r="A51" s="171" t="s">
        <v>848</v>
      </c>
      <c r="B51" s="1025" t="s">
        <v>581</v>
      </c>
      <c r="C51" s="1021">
        <v>43709</v>
      </c>
      <c r="D51" s="1025" t="s">
        <v>1006</v>
      </c>
      <c r="E51" s="1025" t="s">
        <v>28</v>
      </c>
      <c r="F51" s="719" t="str">
        <f t="shared" si="5"/>
        <v>L</v>
      </c>
      <c r="G51" s="719">
        <v>5</v>
      </c>
      <c r="H51" s="1028">
        <v>1535</v>
      </c>
      <c r="I51" s="1028">
        <v>332</v>
      </c>
      <c r="J51" s="1028">
        <v>1114</v>
      </c>
      <c r="K51" s="1028">
        <v>100</v>
      </c>
      <c r="L51" s="1028">
        <v>136</v>
      </c>
      <c r="M51" s="1028">
        <v>395</v>
      </c>
      <c r="N51" s="1028">
        <v>155</v>
      </c>
      <c r="O51" s="1025" t="s">
        <v>957</v>
      </c>
      <c r="P51" s="1025" t="s">
        <v>952</v>
      </c>
      <c r="Q51" s="1025" t="s">
        <v>118</v>
      </c>
      <c r="R51" s="1025" t="s">
        <v>118</v>
      </c>
      <c r="S51" s="1028">
        <v>42</v>
      </c>
      <c r="T51" s="1028">
        <v>39.200000000000003</v>
      </c>
      <c r="U51" s="1025"/>
      <c r="V51" s="1025"/>
      <c r="W51" s="1025" t="s">
        <v>118</v>
      </c>
      <c r="X51" s="1028">
        <v>289</v>
      </c>
      <c r="Y51" s="1028">
        <v>250</v>
      </c>
      <c r="Z51" s="1037" t="str">
        <f t="shared" si="10"/>
        <v/>
      </c>
      <c r="AA51" s="1022">
        <f t="shared" si="11"/>
        <v>14.53287197231834</v>
      </c>
      <c r="AB51" s="1022"/>
      <c r="AC51" s="1028">
        <v>15.7</v>
      </c>
      <c r="AD51" s="1028">
        <v>1.8</v>
      </c>
      <c r="AE51" s="1028">
        <v>7.2</v>
      </c>
      <c r="AF51" s="732" t="s">
        <v>953</v>
      </c>
      <c r="AG51" s="1028">
        <v>50</v>
      </c>
      <c r="AH51" s="1025" t="s">
        <v>944</v>
      </c>
      <c r="AI51" s="1025" t="s">
        <v>958</v>
      </c>
      <c r="AJ51" s="1018">
        <f t="shared" si="8"/>
        <v>280</v>
      </c>
      <c r="AK51" s="1018">
        <f t="shared" si="9"/>
        <v>40.32</v>
      </c>
      <c r="AL51" s="1039">
        <v>35000</v>
      </c>
      <c r="AM51" s="1039">
        <v>0</v>
      </c>
      <c r="AN51" s="1008">
        <f t="shared" si="3"/>
        <v>6074.3801652892562</v>
      </c>
      <c r="AO51" s="1108">
        <f t="shared" si="4"/>
        <v>28925.619834710746</v>
      </c>
    </row>
    <row r="52" spans="1:41">
      <c r="A52" s="171" t="s">
        <v>848</v>
      </c>
      <c r="B52" s="1025" t="s">
        <v>1001</v>
      </c>
      <c r="C52" s="1021">
        <v>43709</v>
      </c>
      <c r="D52" s="1025" t="s">
        <v>1007</v>
      </c>
      <c r="E52" s="1025" t="s">
        <v>28</v>
      </c>
      <c r="F52" s="719" t="str">
        <f t="shared" si="5"/>
        <v>L</v>
      </c>
      <c r="G52" s="719">
        <v>5</v>
      </c>
      <c r="H52" s="1028">
        <v>1592</v>
      </c>
      <c r="I52" s="1028">
        <v>451</v>
      </c>
      <c r="J52" s="1028">
        <v>1405</v>
      </c>
      <c r="K52" s="1028">
        <v>100</v>
      </c>
      <c r="L52" s="1028">
        <v>136</v>
      </c>
      <c r="M52" s="1028">
        <v>295</v>
      </c>
      <c r="N52" s="1028">
        <v>155</v>
      </c>
      <c r="O52" s="1025" t="s">
        <v>957</v>
      </c>
      <c r="P52" s="1025" t="s">
        <v>118</v>
      </c>
      <c r="Q52" s="1025" t="s">
        <v>118</v>
      </c>
      <c r="R52" s="1025" t="s">
        <v>118</v>
      </c>
      <c r="S52" s="1028">
        <v>42</v>
      </c>
      <c r="T52" s="1028">
        <v>39.200000000000003</v>
      </c>
      <c r="U52" s="1025"/>
      <c r="V52" s="1025"/>
      <c r="W52" s="1025" t="s">
        <v>118</v>
      </c>
      <c r="X52" s="1028">
        <v>289</v>
      </c>
      <c r="Y52" s="1028">
        <v>240</v>
      </c>
      <c r="Z52" s="1037" t="str">
        <f t="shared" si="10"/>
        <v/>
      </c>
      <c r="AA52" s="1022">
        <f t="shared" si="11"/>
        <v>14.53287197231834</v>
      </c>
      <c r="AB52" s="1022"/>
      <c r="AC52" s="1028">
        <v>16.3</v>
      </c>
      <c r="AD52" s="1028">
        <v>1.8</v>
      </c>
      <c r="AE52" s="1028">
        <v>7.2</v>
      </c>
      <c r="AF52" s="732" t="s">
        <v>953</v>
      </c>
      <c r="AG52" s="1028">
        <v>50</v>
      </c>
      <c r="AH52" s="1025" t="s">
        <v>944</v>
      </c>
      <c r="AI52" s="1025" t="s">
        <v>958</v>
      </c>
      <c r="AJ52" s="1018">
        <f t="shared" si="8"/>
        <v>280</v>
      </c>
      <c r="AK52" s="1018">
        <f t="shared" si="9"/>
        <v>40.32</v>
      </c>
      <c r="AL52" s="1039">
        <v>37500</v>
      </c>
      <c r="AM52" s="1039">
        <v>0</v>
      </c>
      <c r="AN52" s="1008">
        <f t="shared" si="3"/>
        <v>6508.2644628099179</v>
      </c>
      <c r="AO52" s="1108">
        <f t="shared" si="4"/>
        <v>30991.735537190085</v>
      </c>
    </row>
    <row r="53" spans="1:41">
      <c r="A53" s="171" t="s">
        <v>848</v>
      </c>
      <c r="B53" s="1025" t="s">
        <v>976</v>
      </c>
      <c r="C53" s="1021">
        <v>43891</v>
      </c>
      <c r="D53" s="1025" t="s">
        <v>1036</v>
      </c>
      <c r="E53" s="1025" t="s">
        <v>28</v>
      </c>
      <c r="F53" s="719" t="str">
        <f t="shared" si="5"/>
        <v>L</v>
      </c>
      <c r="G53" s="719">
        <v>5</v>
      </c>
      <c r="H53" s="1028">
        <v>1548</v>
      </c>
      <c r="I53" s="1028">
        <v>405</v>
      </c>
      <c r="J53" s="1025" t="s">
        <v>118</v>
      </c>
      <c r="K53" s="1028">
        <v>100</v>
      </c>
      <c r="L53" s="1028">
        <v>136</v>
      </c>
      <c r="M53" s="1028">
        <v>260</v>
      </c>
      <c r="N53" s="1028">
        <v>275</v>
      </c>
      <c r="O53" s="1025" t="s">
        <v>957</v>
      </c>
      <c r="P53" s="1025" t="s">
        <v>118</v>
      </c>
      <c r="Q53" s="1025" t="s">
        <v>118</v>
      </c>
      <c r="R53" s="1025" t="s">
        <v>118</v>
      </c>
      <c r="S53" s="1028">
        <v>50</v>
      </c>
      <c r="T53" s="1028">
        <v>47.5</v>
      </c>
      <c r="U53" s="1025"/>
      <c r="V53" s="1025"/>
      <c r="W53" s="1028">
        <v>430</v>
      </c>
      <c r="X53" s="1028">
        <v>310</v>
      </c>
      <c r="Y53" s="1028">
        <v>275</v>
      </c>
      <c r="Z53" s="1022">
        <f t="shared" si="10"/>
        <v>11.627906976744185</v>
      </c>
      <c r="AA53" s="1022">
        <f t="shared" si="11"/>
        <v>16.129032258064516</v>
      </c>
      <c r="AB53" s="1111">
        <f>AA53/Z53</f>
        <v>1.3870967741935485</v>
      </c>
      <c r="AC53" s="1022">
        <f>IF(X53="-","",S53/Y53*100)</f>
        <v>18.181818181818183</v>
      </c>
      <c r="AD53" s="1022">
        <v>1.9</v>
      </c>
      <c r="AE53" s="1022">
        <v>11</v>
      </c>
      <c r="AF53" s="732" t="s">
        <v>953</v>
      </c>
      <c r="AG53" s="1028">
        <v>100</v>
      </c>
      <c r="AH53" s="1025" t="s">
        <v>944</v>
      </c>
      <c r="AI53" s="1025" t="s">
        <v>958</v>
      </c>
      <c r="AJ53" s="1018">
        <f t="shared" si="8"/>
        <v>218.18181818181819</v>
      </c>
      <c r="AK53" s="1018">
        <f t="shared" si="9"/>
        <v>24</v>
      </c>
      <c r="AL53" s="1039">
        <v>38000</v>
      </c>
      <c r="AM53" s="1039">
        <v>0</v>
      </c>
      <c r="AN53" s="1008">
        <f t="shared" si="3"/>
        <v>6595.0413223140495</v>
      </c>
      <c r="AO53" s="1108">
        <f t="shared" si="4"/>
        <v>31404.958677685951</v>
      </c>
    </row>
    <row r="54" spans="1:41">
      <c r="A54" s="171" t="s">
        <v>848</v>
      </c>
      <c r="B54" s="1025" t="s">
        <v>1037</v>
      </c>
      <c r="C54" s="1021">
        <v>43983</v>
      </c>
      <c r="D54" s="1025" t="s">
        <v>1038</v>
      </c>
      <c r="E54" s="1025" t="s">
        <v>28</v>
      </c>
      <c r="F54" s="719" t="str">
        <f t="shared" si="5"/>
        <v>L</v>
      </c>
      <c r="G54" s="719">
        <v>4</v>
      </c>
      <c r="H54" s="1028">
        <v>1800</v>
      </c>
      <c r="I54" s="1028">
        <v>550</v>
      </c>
      <c r="J54" s="1025" t="s">
        <v>118</v>
      </c>
      <c r="K54" s="1028">
        <v>225</v>
      </c>
      <c r="L54" s="1028">
        <v>306</v>
      </c>
      <c r="M54" s="1028">
        <v>460</v>
      </c>
      <c r="N54" s="1028">
        <v>180</v>
      </c>
      <c r="O54" s="1025" t="s">
        <v>990</v>
      </c>
      <c r="P54" s="1025" t="s">
        <v>118</v>
      </c>
      <c r="Q54" s="1025" t="s">
        <v>118</v>
      </c>
      <c r="R54" s="1025" t="s">
        <v>118</v>
      </c>
      <c r="S54" s="1028">
        <v>83</v>
      </c>
      <c r="T54" s="1028">
        <v>83</v>
      </c>
      <c r="U54" s="1025"/>
      <c r="V54" s="1025"/>
      <c r="W54" s="1025" t="s">
        <v>118</v>
      </c>
      <c r="X54" s="1028">
        <v>500</v>
      </c>
      <c r="Y54" s="1028">
        <v>450</v>
      </c>
      <c r="Z54" s="1037" t="str">
        <f t="shared" si="10"/>
        <v/>
      </c>
      <c r="AA54" s="1022">
        <f t="shared" si="11"/>
        <v>16.600000000000001</v>
      </c>
      <c r="AB54" s="1022"/>
      <c r="AC54" s="1022">
        <v>18.399999999999999</v>
      </c>
      <c r="AD54" s="1022">
        <v>2.1</v>
      </c>
      <c r="AE54" s="1022">
        <v>11</v>
      </c>
      <c r="AF54" s="732" t="s">
        <v>972</v>
      </c>
      <c r="AG54" s="1022">
        <v>125</v>
      </c>
      <c r="AH54" s="1025" t="s">
        <v>944</v>
      </c>
      <c r="AI54" s="1025" t="s">
        <v>958</v>
      </c>
      <c r="AJ54" s="1018">
        <f t="shared" si="8"/>
        <v>362.18181818181824</v>
      </c>
      <c r="AK54" s="1018">
        <f t="shared" si="9"/>
        <v>31.872</v>
      </c>
      <c r="AL54" s="1039">
        <v>40000</v>
      </c>
      <c r="AM54" s="1039">
        <v>0</v>
      </c>
      <c r="AN54" s="1008">
        <f t="shared" si="3"/>
        <v>6942.1487603305777</v>
      </c>
      <c r="AO54" s="1108">
        <f t="shared" si="4"/>
        <v>33057.85123966942</v>
      </c>
    </row>
    <row r="55" spans="1:41">
      <c r="A55" s="171" t="s">
        <v>848</v>
      </c>
      <c r="B55" s="1025" t="s">
        <v>581</v>
      </c>
      <c r="C55" s="1021">
        <v>43313</v>
      </c>
      <c r="D55" s="1025" t="s">
        <v>1003</v>
      </c>
      <c r="E55" s="1025" t="s">
        <v>28</v>
      </c>
      <c r="F55" s="719" t="str">
        <f t="shared" si="5"/>
        <v>L</v>
      </c>
      <c r="G55" s="719">
        <v>5</v>
      </c>
      <c r="H55" s="1028">
        <v>1685</v>
      </c>
      <c r="I55" s="1028">
        <v>332</v>
      </c>
      <c r="J55" s="1028">
        <v>1114</v>
      </c>
      <c r="K55" s="1028">
        <v>150</v>
      </c>
      <c r="L55" s="1028">
        <v>204</v>
      </c>
      <c r="M55" s="1028">
        <v>395</v>
      </c>
      <c r="N55" s="1028">
        <v>167</v>
      </c>
      <c r="O55" s="1025" t="s">
        <v>957</v>
      </c>
      <c r="P55" s="1025" t="s">
        <v>952</v>
      </c>
      <c r="Q55" s="1025" t="s">
        <v>118</v>
      </c>
      <c r="R55" s="1025" t="s">
        <v>118</v>
      </c>
      <c r="S55" s="1028">
        <v>67.099999999999994</v>
      </c>
      <c r="T55" s="1028">
        <v>64</v>
      </c>
      <c r="U55" s="1025"/>
      <c r="V55" s="1025"/>
      <c r="W55" s="1025" t="s">
        <v>118</v>
      </c>
      <c r="X55" s="1028">
        <v>449</v>
      </c>
      <c r="Y55" s="1028">
        <v>400</v>
      </c>
      <c r="Z55" s="1037" t="str">
        <f t="shared" si="10"/>
        <v/>
      </c>
      <c r="AA55" s="1022">
        <f t="shared" si="11"/>
        <v>14.944320712694875</v>
      </c>
      <c r="AB55" s="1022"/>
      <c r="AC55" s="1112">
        <v>16</v>
      </c>
      <c r="AD55" s="1028">
        <v>1.8</v>
      </c>
      <c r="AE55" s="1028">
        <v>7.2</v>
      </c>
      <c r="AF55" s="732" t="s">
        <v>953</v>
      </c>
      <c r="AG55" s="1028">
        <v>80</v>
      </c>
      <c r="AH55" s="1025" t="s">
        <v>944</v>
      </c>
      <c r="AI55" s="1025" t="s">
        <v>958</v>
      </c>
      <c r="AJ55" s="1018">
        <f t="shared" si="8"/>
        <v>447.33333333333337</v>
      </c>
      <c r="AK55" s="1018">
        <f t="shared" si="9"/>
        <v>40.260000000000005</v>
      </c>
      <c r="AL55" s="1039">
        <v>40995</v>
      </c>
      <c r="AM55" s="1039">
        <v>0</v>
      </c>
      <c r="AN55" s="1008">
        <f t="shared" si="3"/>
        <v>7114.8347107438012</v>
      </c>
      <c r="AO55" s="1108">
        <f t="shared" si="4"/>
        <v>33880.165289256198</v>
      </c>
    </row>
    <row r="56" spans="1:41">
      <c r="A56" s="171" t="s">
        <v>848</v>
      </c>
      <c r="B56" s="1025" t="s">
        <v>1001</v>
      </c>
      <c r="C56" s="1021">
        <v>43435</v>
      </c>
      <c r="D56" s="1025" t="s">
        <v>1004</v>
      </c>
      <c r="E56" s="1025" t="s">
        <v>28</v>
      </c>
      <c r="F56" s="719" t="str">
        <f t="shared" si="5"/>
        <v>L</v>
      </c>
      <c r="G56" s="719">
        <v>5</v>
      </c>
      <c r="H56" s="1028">
        <v>1737</v>
      </c>
      <c r="I56" s="1028">
        <v>451</v>
      </c>
      <c r="J56" s="1028">
        <v>1405</v>
      </c>
      <c r="K56" s="1028">
        <v>150</v>
      </c>
      <c r="L56" s="1028">
        <v>204</v>
      </c>
      <c r="M56" s="1028">
        <v>395</v>
      </c>
      <c r="N56" s="1028">
        <v>167</v>
      </c>
      <c r="O56" s="1025" t="s">
        <v>957</v>
      </c>
      <c r="P56" s="1025" t="s">
        <v>952</v>
      </c>
      <c r="Q56" s="1025" t="s">
        <v>118</v>
      </c>
      <c r="R56" s="1025" t="s">
        <v>118</v>
      </c>
      <c r="S56" s="1028">
        <v>67.099999999999994</v>
      </c>
      <c r="T56" s="1028">
        <v>64</v>
      </c>
      <c r="U56" s="1025"/>
      <c r="V56" s="1025"/>
      <c r="W56" s="1025" t="s">
        <v>118</v>
      </c>
      <c r="X56" s="1028">
        <v>455</v>
      </c>
      <c r="Y56" s="1028">
        <v>375</v>
      </c>
      <c r="Z56" s="1037" t="str">
        <f t="shared" si="10"/>
        <v/>
      </c>
      <c r="AA56" s="1022">
        <f t="shared" si="11"/>
        <v>14.747252747252745</v>
      </c>
      <c r="AB56" s="1022"/>
      <c r="AC56" s="1028">
        <v>17.100000000000001</v>
      </c>
      <c r="AD56" s="1028">
        <v>1.9</v>
      </c>
      <c r="AE56" s="1028">
        <v>7.2</v>
      </c>
      <c r="AF56" s="732" t="s">
        <v>953</v>
      </c>
      <c r="AG56" s="1028">
        <v>80</v>
      </c>
      <c r="AH56" s="1025" t="s">
        <v>944</v>
      </c>
      <c r="AI56" s="1025" t="s">
        <v>958</v>
      </c>
      <c r="AJ56" s="1018">
        <f t="shared" si="8"/>
        <v>447.33333333333337</v>
      </c>
      <c r="AK56" s="1018">
        <f t="shared" si="9"/>
        <v>40.260000000000005</v>
      </c>
      <c r="AL56" s="1039">
        <v>42510</v>
      </c>
      <c r="AM56" s="1039">
        <v>0</v>
      </c>
      <c r="AN56" s="1008">
        <f t="shared" si="3"/>
        <v>7377.7685950413224</v>
      </c>
      <c r="AO56" s="1108">
        <f t="shared" si="4"/>
        <v>35132.231404958678</v>
      </c>
    </row>
    <row r="57" spans="1:41">
      <c r="A57" s="171" t="s">
        <v>848</v>
      </c>
      <c r="B57" s="1025" t="s">
        <v>1001</v>
      </c>
      <c r="C57" s="1021">
        <v>43009</v>
      </c>
      <c r="D57" s="1025" t="s">
        <v>1002</v>
      </c>
      <c r="E57" s="1025" t="s">
        <v>28</v>
      </c>
      <c r="F57" s="719" t="str">
        <f t="shared" si="5"/>
        <v>L</v>
      </c>
      <c r="G57" s="1028">
        <v>5</v>
      </c>
      <c r="H57" s="1028">
        <v>1657</v>
      </c>
      <c r="I57" s="1028">
        <v>315</v>
      </c>
      <c r="J57" s="1028">
        <v>1339</v>
      </c>
      <c r="K57" s="1028">
        <v>150</v>
      </c>
      <c r="L57" s="1028">
        <v>204</v>
      </c>
      <c r="M57" s="1028">
        <v>395</v>
      </c>
      <c r="N57" s="1028">
        <v>167</v>
      </c>
      <c r="O57" s="1025" t="s">
        <v>957</v>
      </c>
      <c r="P57" s="1025" t="s">
        <v>952</v>
      </c>
      <c r="Q57" s="1025" t="s">
        <v>118</v>
      </c>
      <c r="R57" s="1025" t="s">
        <v>118</v>
      </c>
      <c r="S57" s="1028">
        <v>67.099999999999994</v>
      </c>
      <c r="T57" s="1028">
        <v>64</v>
      </c>
      <c r="U57" s="1025"/>
      <c r="V57" s="1025"/>
      <c r="W57" s="1025" t="s">
        <v>118</v>
      </c>
      <c r="X57" s="1028">
        <v>452</v>
      </c>
      <c r="Y57" s="1028">
        <v>370</v>
      </c>
      <c r="Z57" s="1037" t="str">
        <f t="shared" si="10"/>
        <v/>
      </c>
      <c r="AA57" s="1022">
        <f t="shared" si="11"/>
        <v>14.845132743362829</v>
      </c>
      <c r="AB57" s="1022"/>
      <c r="AC57" s="1028">
        <v>17.3</v>
      </c>
      <c r="AD57" s="1028">
        <v>1.9</v>
      </c>
      <c r="AE57" s="1028">
        <v>7.2</v>
      </c>
      <c r="AF57" s="732" t="s">
        <v>953</v>
      </c>
      <c r="AG57" s="1028">
        <v>77</v>
      </c>
      <c r="AH57" s="1025" t="s">
        <v>944</v>
      </c>
      <c r="AI57" s="1025" t="s">
        <v>958</v>
      </c>
      <c r="AJ57" s="1018">
        <f t="shared" si="8"/>
        <v>447.33333333333337</v>
      </c>
      <c r="AK57" s="1018">
        <f t="shared" si="9"/>
        <v>41.828571428571429</v>
      </c>
      <c r="AL57" s="1039">
        <v>42995</v>
      </c>
      <c r="AM57" s="1039">
        <v>0</v>
      </c>
      <c r="AN57" s="1008">
        <f t="shared" si="3"/>
        <v>7461.9421487603304</v>
      </c>
      <c r="AO57" s="1108">
        <f t="shared" si="4"/>
        <v>35533.057851239668</v>
      </c>
    </row>
    <row r="58" spans="1:41">
      <c r="A58" s="171" t="s">
        <v>848</v>
      </c>
      <c r="B58" s="1025" t="s">
        <v>1001</v>
      </c>
      <c r="C58" s="1021">
        <v>43831</v>
      </c>
      <c r="D58" s="1025" t="s">
        <v>1005</v>
      </c>
      <c r="E58" s="1025" t="s">
        <v>28</v>
      </c>
      <c r="F58" s="719" t="str">
        <f>IF($A58="ja",E58,"")</f>
        <v>L</v>
      </c>
      <c r="G58" s="719">
        <v>5</v>
      </c>
      <c r="H58" s="1028">
        <v>1657</v>
      </c>
      <c r="I58" s="1028">
        <v>315</v>
      </c>
      <c r="J58" s="1028">
        <v>1339</v>
      </c>
      <c r="K58" s="1028">
        <v>150</v>
      </c>
      <c r="L58" s="1028">
        <v>204</v>
      </c>
      <c r="M58" s="1028">
        <v>395</v>
      </c>
      <c r="N58" s="1028">
        <v>167</v>
      </c>
      <c r="O58" s="1025" t="s">
        <v>957</v>
      </c>
      <c r="P58" s="1025" t="s">
        <v>952</v>
      </c>
      <c r="Q58" s="1025" t="s">
        <v>118</v>
      </c>
      <c r="R58" s="1025" t="s">
        <v>118</v>
      </c>
      <c r="S58" s="1028">
        <v>67.099999999999994</v>
      </c>
      <c r="T58" s="1028">
        <v>64</v>
      </c>
      <c r="U58" s="1025"/>
      <c r="V58" s="1025"/>
      <c r="W58" s="1025" t="s">
        <v>118</v>
      </c>
      <c r="X58" s="1028">
        <v>452</v>
      </c>
      <c r="Y58" s="1028">
        <v>370</v>
      </c>
      <c r="Z58" s="1037" t="str">
        <f t="shared" si="10"/>
        <v/>
      </c>
      <c r="AA58" s="1022">
        <f t="shared" si="11"/>
        <v>14.845132743362829</v>
      </c>
      <c r="AB58" s="1022"/>
      <c r="AC58" s="1028">
        <v>16.8</v>
      </c>
      <c r="AD58" s="1028">
        <v>1.9</v>
      </c>
      <c r="AE58" s="1028">
        <v>7.2</v>
      </c>
      <c r="AF58" s="732" t="s">
        <v>953</v>
      </c>
      <c r="AG58" s="1028">
        <v>80</v>
      </c>
      <c r="AH58" s="1025" t="s">
        <v>944</v>
      </c>
      <c r="AI58" s="1025" t="s">
        <v>958</v>
      </c>
      <c r="AJ58" s="1018">
        <f t="shared" si="8"/>
        <v>447.33333333333337</v>
      </c>
      <c r="AK58" s="1018">
        <f t="shared" si="9"/>
        <v>40.260000000000005</v>
      </c>
      <c r="AL58" s="1039">
        <v>42995</v>
      </c>
      <c r="AM58" s="1039">
        <v>0</v>
      </c>
      <c r="AN58" s="1008">
        <f t="shared" si="3"/>
        <v>7461.9421487603304</v>
      </c>
      <c r="AO58" s="1108">
        <f t="shared" si="4"/>
        <v>35533.057851239668</v>
      </c>
    </row>
    <row r="59" spans="1:41">
      <c r="A59" s="1032" t="s">
        <v>849</v>
      </c>
      <c r="B59" s="1025" t="s">
        <v>1021</v>
      </c>
      <c r="C59" s="1021">
        <v>44621</v>
      </c>
      <c r="D59" s="1025" t="s">
        <v>1022</v>
      </c>
      <c r="E59" s="1025" t="s">
        <v>28</v>
      </c>
      <c r="F59" s="719" t="str">
        <f t="shared" si="5"/>
        <v/>
      </c>
      <c r="G59" s="719">
        <v>7</v>
      </c>
      <c r="H59" s="1028">
        <v>1700</v>
      </c>
      <c r="I59" s="1025" t="s">
        <v>118</v>
      </c>
      <c r="J59" s="1025" t="s">
        <v>118</v>
      </c>
      <c r="K59" s="1028">
        <v>150</v>
      </c>
      <c r="L59" s="1028">
        <v>204</v>
      </c>
      <c r="M59" s="1028">
        <v>350</v>
      </c>
      <c r="N59" s="1028">
        <v>200</v>
      </c>
      <c r="O59" s="1025" t="s">
        <v>951</v>
      </c>
      <c r="P59" s="1025" t="s">
        <v>118</v>
      </c>
      <c r="Q59" s="1025" t="s">
        <v>118</v>
      </c>
      <c r="R59" s="1025" t="s">
        <v>118</v>
      </c>
      <c r="S59" s="1028">
        <v>60</v>
      </c>
      <c r="T59" s="1028">
        <v>50</v>
      </c>
      <c r="U59" s="1025"/>
      <c r="V59" s="1025"/>
      <c r="W59" s="1025" t="s">
        <v>118</v>
      </c>
      <c r="X59" s="1025" t="s">
        <v>118</v>
      </c>
      <c r="Y59" s="1028">
        <v>300</v>
      </c>
      <c r="Z59" s="1037" t="str">
        <f t="shared" si="10"/>
        <v/>
      </c>
      <c r="AA59" s="1037" t="str">
        <f t="shared" si="11"/>
        <v/>
      </c>
      <c r="AB59" s="1037"/>
      <c r="AC59" s="1028">
        <v>16.7</v>
      </c>
      <c r="AD59" s="1022">
        <v>1.9</v>
      </c>
      <c r="AE59" s="1028">
        <v>11</v>
      </c>
      <c r="AF59" s="732" t="s">
        <v>953</v>
      </c>
      <c r="AG59" s="1028">
        <v>100</v>
      </c>
      <c r="AH59" s="1025" t="s">
        <v>944</v>
      </c>
      <c r="AI59" s="1025" t="s">
        <v>958</v>
      </c>
      <c r="AJ59" s="1018">
        <f t="shared" si="8"/>
        <v>261.81818181818181</v>
      </c>
      <c r="AK59" s="1018">
        <f t="shared" si="9"/>
        <v>28.799999999999997</v>
      </c>
      <c r="AL59" s="1039">
        <v>47000</v>
      </c>
      <c r="AM59" s="1039">
        <v>0</v>
      </c>
      <c r="AN59" s="1008">
        <f t="shared" si="3"/>
        <v>8157.0247933884293</v>
      </c>
      <c r="AO59" s="1108">
        <f t="shared" si="4"/>
        <v>38842.975206611569</v>
      </c>
    </row>
    <row r="60" spans="1:41">
      <c r="A60" s="171" t="s">
        <v>848</v>
      </c>
      <c r="B60" s="1025" t="s">
        <v>1008</v>
      </c>
      <c r="C60" s="1021">
        <v>43862</v>
      </c>
      <c r="D60" s="1025" t="s">
        <v>1009</v>
      </c>
      <c r="E60" s="1025" t="s">
        <v>28</v>
      </c>
      <c r="F60" s="719" t="str">
        <f t="shared" si="5"/>
        <v>L</v>
      </c>
      <c r="G60" s="719">
        <v>5</v>
      </c>
      <c r="H60" s="1028">
        <v>1500</v>
      </c>
      <c r="I60" s="1028">
        <v>350</v>
      </c>
      <c r="J60" s="1028">
        <v>1050</v>
      </c>
      <c r="K60" s="1028">
        <v>100</v>
      </c>
      <c r="L60" s="1028">
        <v>136</v>
      </c>
      <c r="M60" s="1028">
        <v>260</v>
      </c>
      <c r="N60" s="1028">
        <v>150</v>
      </c>
      <c r="O60" s="1025" t="s">
        <v>957</v>
      </c>
      <c r="P60" s="1025" t="s">
        <v>118</v>
      </c>
      <c r="Q60" s="1025" t="s">
        <v>118</v>
      </c>
      <c r="R60" s="1025" t="s">
        <v>118</v>
      </c>
      <c r="S60" s="1028">
        <v>50</v>
      </c>
      <c r="T60" s="1028">
        <v>47.5</v>
      </c>
      <c r="U60" s="1025"/>
      <c r="V60" s="1025"/>
      <c r="W60" s="1028">
        <v>450</v>
      </c>
      <c r="X60" s="1028">
        <v>320</v>
      </c>
      <c r="Y60" s="1028">
        <v>280</v>
      </c>
      <c r="Z60" s="1022">
        <f t="shared" si="10"/>
        <v>11.111111111111111</v>
      </c>
      <c r="AA60" s="1022">
        <f t="shared" si="11"/>
        <v>15.625</v>
      </c>
      <c r="AB60" s="1111">
        <f>AA60/Z60</f>
        <v>1.40625</v>
      </c>
      <c r="AC60" s="1028">
        <v>16.7</v>
      </c>
      <c r="AD60" s="1028">
        <v>1.9</v>
      </c>
      <c r="AE60" s="1028">
        <v>11</v>
      </c>
      <c r="AF60" s="732" t="s">
        <v>953</v>
      </c>
      <c r="AG60" s="1028">
        <v>100</v>
      </c>
      <c r="AH60" s="1025" t="s">
        <v>944</v>
      </c>
      <c r="AI60" s="1025" t="s">
        <v>958</v>
      </c>
      <c r="AJ60" s="1018">
        <f t="shared" si="8"/>
        <v>218.18181818181819</v>
      </c>
      <c r="AK60" s="1018">
        <f t="shared" si="9"/>
        <v>24</v>
      </c>
      <c r="AL60" s="1039">
        <v>43190</v>
      </c>
      <c r="AM60" s="1039">
        <v>0</v>
      </c>
      <c r="AN60" s="1008">
        <f t="shared" si="3"/>
        <v>7495.7851239669426</v>
      </c>
      <c r="AO60" s="1108">
        <f t="shared" si="4"/>
        <v>35694.21487603306</v>
      </c>
    </row>
    <row r="61" spans="1:41">
      <c r="A61" s="171" t="s">
        <v>848</v>
      </c>
      <c r="B61" s="1025" t="s">
        <v>1019</v>
      </c>
      <c r="C61" s="1021">
        <v>43891</v>
      </c>
      <c r="D61" s="1025" t="s">
        <v>1020</v>
      </c>
      <c r="E61" s="1025" t="s">
        <v>28</v>
      </c>
      <c r="F61" s="719" t="str">
        <f t="shared" si="5"/>
        <v>L</v>
      </c>
      <c r="G61" s="1028">
        <v>5</v>
      </c>
      <c r="H61" s="1028">
        <v>1900</v>
      </c>
      <c r="I61" s="1025" t="s">
        <v>118</v>
      </c>
      <c r="J61" s="1025" t="s">
        <v>118</v>
      </c>
      <c r="K61" s="1028">
        <v>300</v>
      </c>
      <c r="L61" s="1028">
        <v>408</v>
      </c>
      <c r="M61" s="1028">
        <v>660</v>
      </c>
      <c r="N61" s="1028">
        <v>250</v>
      </c>
      <c r="O61" s="1025" t="s">
        <v>990</v>
      </c>
      <c r="P61" s="1025" t="s">
        <v>118</v>
      </c>
      <c r="Q61" s="1025" t="s">
        <v>118</v>
      </c>
      <c r="R61" s="1025" t="s">
        <v>118</v>
      </c>
      <c r="S61" s="1028">
        <v>78</v>
      </c>
      <c r="T61" s="1028">
        <v>75</v>
      </c>
      <c r="U61" s="1025"/>
      <c r="V61" s="1025"/>
      <c r="W61" s="1025" t="s">
        <v>118</v>
      </c>
      <c r="X61" s="1025" t="s">
        <v>118</v>
      </c>
      <c r="Y61" s="1028">
        <v>400</v>
      </c>
      <c r="Z61" s="1037" t="str">
        <f t="shared" si="10"/>
        <v/>
      </c>
      <c r="AA61" s="1037" t="str">
        <f t="shared" si="11"/>
        <v/>
      </c>
      <c r="AB61" s="1037"/>
      <c r="AC61" s="1022">
        <v>18.8</v>
      </c>
      <c r="AD61" s="1022">
        <v>2</v>
      </c>
      <c r="AE61" s="1022">
        <v>11</v>
      </c>
      <c r="AF61" s="732" t="s">
        <v>953</v>
      </c>
      <c r="AG61" s="1022">
        <v>150</v>
      </c>
      <c r="AH61" s="1025" t="s">
        <v>944</v>
      </c>
      <c r="AI61" s="1025" t="s">
        <v>958</v>
      </c>
      <c r="AJ61" s="1018">
        <f t="shared" si="8"/>
        <v>340.36363636363637</v>
      </c>
      <c r="AK61" s="1018">
        <f t="shared" si="9"/>
        <v>24.96</v>
      </c>
      <c r="AL61" s="1039">
        <v>60000</v>
      </c>
      <c r="AM61" s="1039">
        <v>0</v>
      </c>
      <c r="AN61" s="1008">
        <f t="shared" si="3"/>
        <v>10413.223140495867</v>
      </c>
      <c r="AO61" s="1108">
        <f t="shared" si="4"/>
        <v>49586.776859504134</v>
      </c>
    </row>
    <row r="62" spans="1:41">
      <c r="A62" s="1032" t="s">
        <v>849</v>
      </c>
      <c r="B62" s="1025" t="s">
        <v>632</v>
      </c>
      <c r="C62" s="1021">
        <v>44256</v>
      </c>
      <c r="D62" s="1025" t="s">
        <v>1046</v>
      </c>
      <c r="E62" s="1025" t="s">
        <v>28</v>
      </c>
      <c r="F62" s="719" t="str">
        <f t="shared" si="5"/>
        <v/>
      </c>
      <c r="G62" s="719">
        <v>7</v>
      </c>
      <c r="H62" s="1028">
        <v>1850</v>
      </c>
      <c r="I62" s="1025" t="s">
        <v>118</v>
      </c>
      <c r="J62" s="1025" t="s">
        <v>118</v>
      </c>
      <c r="K62" s="1028">
        <v>211</v>
      </c>
      <c r="L62" s="1028">
        <v>287</v>
      </c>
      <c r="M62" s="1028">
        <v>416</v>
      </c>
      <c r="N62" s="1028">
        <v>209</v>
      </c>
      <c r="O62" s="1025" t="s">
        <v>951</v>
      </c>
      <c r="P62" s="1025" t="s">
        <v>118</v>
      </c>
      <c r="Q62" s="1025" t="s">
        <v>118</v>
      </c>
      <c r="R62" s="1025" t="s">
        <v>118</v>
      </c>
      <c r="S62" s="1028">
        <v>75</v>
      </c>
      <c r="T62" s="1028">
        <v>74</v>
      </c>
      <c r="U62" s="1025"/>
      <c r="V62" s="1025"/>
      <c r="W62" s="1025" t="s">
        <v>118</v>
      </c>
      <c r="X62" s="1028">
        <v>540</v>
      </c>
      <c r="Y62" s="1028">
        <v>440</v>
      </c>
      <c r="Z62" s="1037" t="str">
        <f t="shared" si="10"/>
        <v/>
      </c>
      <c r="AA62" s="1022">
        <f t="shared" si="11"/>
        <v>13.888888888888889</v>
      </c>
      <c r="AB62" s="1022"/>
      <c r="AC62" s="1022">
        <v>16.8</v>
      </c>
      <c r="AD62" s="1022">
        <v>1.9</v>
      </c>
      <c r="AE62" s="1022">
        <v>11</v>
      </c>
      <c r="AF62" s="732" t="s">
        <v>972</v>
      </c>
      <c r="AG62" s="1022">
        <v>145</v>
      </c>
      <c r="AH62" s="1025" t="s">
        <v>944</v>
      </c>
      <c r="AI62" s="829" t="s">
        <v>958</v>
      </c>
      <c r="AJ62" s="1018">
        <f t="shared" si="8"/>
        <v>327.27272727272725</v>
      </c>
      <c r="AK62" s="1018">
        <f t="shared" si="9"/>
        <v>24.827586206896552</v>
      </c>
      <c r="AL62" s="1039">
        <v>58000</v>
      </c>
      <c r="AM62" s="1039">
        <v>0</v>
      </c>
      <c r="AN62" s="1008">
        <f t="shared" si="3"/>
        <v>10066.115702479339</v>
      </c>
      <c r="AO62" s="1108">
        <f t="shared" si="4"/>
        <v>47933.884297520664</v>
      </c>
    </row>
    <row r="63" spans="1:41">
      <c r="A63" s="1032" t="s">
        <v>849</v>
      </c>
      <c r="B63" s="1025" t="s">
        <v>632</v>
      </c>
      <c r="C63" s="1021">
        <v>44256</v>
      </c>
      <c r="D63" s="1025" t="s">
        <v>1022</v>
      </c>
      <c r="E63" s="1025" t="s">
        <v>28</v>
      </c>
      <c r="F63" s="719" t="str">
        <f t="shared" si="5"/>
        <v/>
      </c>
      <c r="G63" s="719">
        <v>7</v>
      </c>
      <c r="H63" s="1028">
        <v>1700</v>
      </c>
      <c r="I63" s="1025" t="s">
        <v>118</v>
      </c>
      <c r="J63" s="1025" t="s">
        <v>118</v>
      </c>
      <c r="K63" s="1028">
        <v>150</v>
      </c>
      <c r="L63" s="1028">
        <v>204</v>
      </c>
      <c r="M63" s="1028">
        <v>350</v>
      </c>
      <c r="N63" s="1028">
        <v>200</v>
      </c>
      <c r="O63" s="1025" t="s">
        <v>951</v>
      </c>
      <c r="P63" s="1025" t="s">
        <v>118</v>
      </c>
      <c r="Q63" s="1025" t="s">
        <v>118</v>
      </c>
      <c r="R63" s="1025" t="s">
        <v>118</v>
      </c>
      <c r="S63" s="1028">
        <v>60</v>
      </c>
      <c r="T63" s="1028">
        <v>50</v>
      </c>
      <c r="U63" s="1025"/>
      <c r="V63" s="1025"/>
      <c r="W63" s="1025" t="s">
        <v>118</v>
      </c>
      <c r="X63" s="1025" t="s">
        <v>118</v>
      </c>
      <c r="Y63" s="1028">
        <v>300</v>
      </c>
      <c r="Z63" s="1037" t="str">
        <f t="shared" si="10"/>
        <v/>
      </c>
      <c r="AA63" s="1037" t="str">
        <f t="shared" si="11"/>
        <v/>
      </c>
      <c r="AB63" s="1037"/>
      <c r="AC63" s="1022">
        <v>16.8</v>
      </c>
      <c r="AD63" s="1022">
        <v>1.9</v>
      </c>
      <c r="AE63" s="1022">
        <v>11</v>
      </c>
      <c r="AF63" s="732" t="s">
        <v>972</v>
      </c>
      <c r="AG63" s="1022">
        <v>100</v>
      </c>
      <c r="AH63" s="1025" t="s">
        <v>944</v>
      </c>
      <c r="AI63" s="829" t="s">
        <v>958</v>
      </c>
      <c r="AJ63" s="1018">
        <f t="shared" si="8"/>
        <v>261.81818181818181</v>
      </c>
      <c r="AK63" s="1018">
        <f t="shared" si="9"/>
        <v>28.799999999999997</v>
      </c>
      <c r="AL63" s="1039">
        <v>47000</v>
      </c>
      <c r="AM63" s="1039">
        <v>0</v>
      </c>
      <c r="AN63" s="1008">
        <f t="shared" si="3"/>
        <v>8157.0247933884293</v>
      </c>
      <c r="AO63" s="1108">
        <f t="shared" si="4"/>
        <v>38842.975206611569</v>
      </c>
    </row>
    <row r="64" spans="1:41">
      <c r="A64" s="1032" t="s">
        <v>849</v>
      </c>
      <c r="B64" s="1025" t="s">
        <v>632</v>
      </c>
      <c r="C64" s="1021">
        <v>44256</v>
      </c>
      <c r="D64" s="1025" t="s">
        <v>1047</v>
      </c>
      <c r="E64" s="1025" t="s">
        <v>28</v>
      </c>
      <c r="F64" s="719" t="str">
        <f t="shared" si="5"/>
        <v/>
      </c>
      <c r="G64" s="719">
        <v>7</v>
      </c>
      <c r="H64" s="1028">
        <v>1950</v>
      </c>
      <c r="I64" s="1025" t="s">
        <v>118</v>
      </c>
      <c r="J64" s="1025" t="s">
        <v>118</v>
      </c>
      <c r="K64" s="1028">
        <v>258</v>
      </c>
      <c r="L64" s="1028">
        <v>351</v>
      </c>
      <c r="M64" s="1028">
        <v>527</v>
      </c>
      <c r="N64" s="1028">
        <v>217</v>
      </c>
      <c r="O64" s="1025" t="s">
        <v>990</v>
      </c>
      <c r="P64" s="1025" t="s">
        <v>118</v>
      </c>
      <c r="Q64" s="1025" t="s">
        <v>118</v>
      </c>
      <c r="R64" s="1025" t="s">
        <v>118</v>
      </c>
      <c r="S64" s="1028">
        <v>75</v>
      </c>
      <c r="T64" s="1028">
        <v>74</v>
      </c>
      <c r="U64" s="1025"/>
      <c r="V64" s="1025"/>
      <c r="W64" s="1025" t="s">
        <v>118</v>
      </c>
      <c r="X64" s="1028">
        <v>505</v>
      </c>
      <c r="Y64" s="1028">
        <v>425</v>
      </c>
      <c r="Z64" s="1037" t="str">
        <f t="shared" si="10"/>
        <v/>
      </c>
      <c r="AA64" s="1022">
        <f t="shared" si="11"/>
        <v>14.85148514851485</v>
      </c>
      <c r="AB64" s="1022"/>
      <c r="AC64" s="1022">
        <v>17.399999999999999</v>
      </c>
      <c r="AD64" s="1022">
        <v>2</v>
      </c>
      <c r="AE64" s="1022">
        <v>11</v>
      </c>
      <c r="AF64" s="732" t="s">
        <v>972</v>
      </c>
      <c r="AG64" s="1022">
        <v>145</v>
      </c>
      <c r="AH64" s="1025" t="s">
        <v>944</v>
      </c>
      <c r="AI64" s="829" t="s">
        <v>958</v>
      </c>
      <c r="AJ64" s="1018">
        <f t="shared" si="8"/>
        <v>327.27272727272725</v>
      </c>
      <c r="AK64" s="1018">
        <f t="shared" si="9"/>
        <v>24.827586206896552</v>
      </c>
      <c r="AL64" s="1039">
        <v>62000</v>
      </c>
      <c r="AM64" s="1039">
        <v>0</v>
      </c>
      <c r="AN64" s="1008">
        <f t="shared" si="3"/>
        <v>10760.330578512396</v>
      </c>
      <c r="AO64" s="1108">
        <f t="shared" si="4"/>
        <v>51239.669421487604</v>
      </c>
    </row>
    <row r="65" spans="1:41">
      <c r="A65" s="1032" t="s">
        <v>849</v>
      </c>
      <c r="B65" s="1025" t="s">
        <v>632</v>
      </c>
      <c r="C65" s="1021">
        <v>44256</v>
      </c>
      <c r="D65" s="1025" t="s">
        <v>1048</v>
      </c>
      <c r="E65" s="1025" t="s">
        <v>28</v>
      </c>
      <c r="F65" s="719" t="str">
        <f t="shared" si="5"/>
        <v/>
      </c>
      <c r="G65" s="719">
        <v>7</v>
      </c>
      <c r="H65" s="1028">
        <v>1950</v>
      </c>
      <c r="I65" s="1025" t="s">
        <v>118</v>
      </c>
      <c r="J65" s="1025" t="s">
        <v>118</v>
      </c>
      <c r="K65" s="1028">
        <v>340</v>
      </c>
      <c r="L65" s="1028">
        <v>462</v>
      </c>
      <c r="M65" s="1028">
        <v>639</v>
      </c>
      <c r="N65" s="1028">
        <v>241</v>
      </c>
      <c r="O65" s="1025" t="s">
        <v>990</v>
      </c>
      <c r="P65" s="1025" t="s">
        <v>118</v>
      </c>
      <c r="Q65" s="1025" t="s">
        <v>118</v>
      </c>
      <c r="R65" s="1025" t="s">
        <v>118</v>
      </c>
      <c r="S65" s="1028">
        <v>75</v>
      </c>
      <c r="T65" s="1028">
        <v>74</v>
      </c>
      <c r="U65" s="1025"/>
      <c r="V65" s="1025"/>
      <c r="W65" s="1025" t="s">
        <v>118</v>
      </c>
      <c r="X65" s="1028">
        <v>580</v>
      </c>
      <c r="Y65" s="1028">
        <v>400</v>
      </c>
      <c r="Z65" s="1037" t="str">
        <f t="shared" si="10"/>
        <v/>
      </c>
      <c r="AA65" s="1022">
        <f t="shared" si="11"/>
        <v>12.931034482758621</v>
      </c>
      <c r="AB65" s="1022"/>
      <c r="AC65" s="1022">
        <v>18.5</v>
      </c>
      <c r="AD65" s="1022">
        <v>2.1</v>
      </c>
      <c r="AE65" s="1022">
        <v>11</v>
      </c>
      <c r="AF65" s="732" t="s">
        <v>972</v>
      </c>
      <c r="AG65" s="1022">
        <v>145</v>
      </c>
      <c r="AH65" s="1025" t="s">
        <v>944</v>
      </c>
      <c r="AI65" s="829" t="s">
        <v>958</v>
      </c>
      <c r="AJ65" s="1018">
        <f t="shared" si="8"/>
        <v>327.27272727272725</v>
      </c>
      <c r="AK65" s="1018">
        <f t="shared" si="9"/>
        <v>24.827586206896552</v>
      </c>
      <c r="AL65" s="1039">
        <v>71000</v>
      </c>
      <c r="AM65" s="1039">
        <v>0</v>
      </c>
      <c r="AN65" s="1008">
        <f t="shared" si="3"/>
        <v>12322.314049586776</v>
      </c>
      <c r="AO65" s="1108">
        <f t="shared" si="4"/>
        <v>58677.685950413223</v>
      </c>
    </row>
    <row r="66" spans="1:41">
      <c r="A66" s="171" t="s">
        <v>848</v>
      </c>
      <c r="B66" s="1025" t="s">
        <v>996</v>
      </c>
      <c r="C66" s="1021">
        <v>44075</v>
      </c>
      <c r="D66" s="1025" t="s">
        <v>1041</v>
      </c>
      <c r="E66" s="1025" t="s">
        <v>28</v>
      </c>
      <c r="F66" s="719" t="str">
        <f t="shared" si="5"/>
        <v>L</v>
      </c>
      <c r="G66" s="719">
        <v>5</v>
      </c>
      <c r="H66" s="1028">
        <v>1900</v>
      </c>
      <c r="I66" s="1025" t="s">
        <v>118</v>
      </c>
      <c r="J66" s="1025" t="s">
        <v>118</v>
      </c>
      <c r="K66" s="1028">
        <v>225</v>
      </c>
      <c r="L66" s="1028">
        <v>306</v>
      </c>
      <c r="M66" s="1028">
        <v>460</v>
      </c>
      <c r="N66" s="1028">
        <v>180</v>
      </c>
      <c r="O66" s="1025" t="s">
        <v>990</v>
      </c>
      <c r="P66" s="1025" t="s">
        <v>118</v>
      </c>
      <c r="Q66" s="1025" t="s">
        <v>118</v>
      </c>
      <c r="R66" s="1025" t="s">
        <v>118</v>
      </c>
      <c r="S66" s="1028">
        <v>83</v>
      </c>
      <c r="T66" s="1028">
        <v>83</v>
      </c>
      <c r="U66" s="1025"/>
      <c r="V66" s="1025"/>
      <c r="W66" s="1025" t="s">
        <v>118</v>
      </c>
      <c r="X66" s="1028">
        <v>450</v>
      </c>
      <c r="Y66" s="1028">
        <v>425</v>
      </c>
      <c r="Z66" s="1037" t="str">
        <f t="shared" si="10"/>
        <v/>
      </c>
      <c r="AA66" s="1022">
        <f t="shared" si="11"/>
        <v>18.444444444444443</v>
      </c>
      <c r="AB66" s="1022"/>
      <c r="AC66" s="1022">
        <v>19.5</v>
      </c>
      <c r="AD66" s="1022">
        <v>2.2000000000000002</v>
      </c>
      <c r="AE66" s="1022">
        <v>11</v>
      </c>
      <c r="AF66" s="732" t="s">
        <v>972</v>
      </c>
      <c r="AG66" s="1022">
        <v>125</v>
      </c>
      <c r="AH66" s="1025" t="s">
        <v>944</v>
      </c>
      <c r="AI66" s="1025" t="s">
        <v>958</v>
      </c>
      <c r="AJ66" s="1018">
        <f t="shared" si="8"/>
        <v>362.18181818181824</v>
      </c>
      <c r="AK66" s="1018">
        <f t="shared" si="9"/>
        <v>31.872</v>
      </c>
      <c r="AL66" s="1039">
        <v>60000</v>
      </c>
      <c r="AM66" s="1039">
        <v>0</v>
      </c>
      <c r="AN66" s="1008">
        <f t="shared" si="3"/>
        <v>10413.223140495867</v>
      </c>
      <c r="AO66" s="1108">
        <f t="shared" si="4"/>
        <v>49586.776859504134</v>
      </c>
    </row>
    <row r="67" spans="1:41">
      <c r="A67" s="171" t="s">
        <v>848</v>
      </c>
      <c r="B67" s="1025" t="s">
        <v>1015</v>
      </c>
      <c r="C67" s="1021">
        <v>43891</v>
      </c>
      <c r="D67" s="1025" t="s">
        <v>1016</v>
      </c>
      <c r="E67" s="1025" t="s">
        <v>32</v>
      </c>
      <c r="F67" s="719" t="str">
        <f t="shared" si="5"/>
        <v>M</v>
      </c>
      <c r="G67" s="719">
        <v>5</v>
      </c>
      <c r="H67" s="1028">
        <v>2100</v>
      </c>
      <c r="I67" s="1025" t="s">
        <v>118</v>
      </c>
      <c r="J67" s="1025" t="s">
        <v>118</v>
      </c>
      <c r="K67" s="1028">
        <v>200</v>
      </c>
      <c r="L67" s="1028">
        <v>272</v>
      </c>
      <c r="M67" s="1028">
        <v>500</v>
      </c>
      <c r="N67" s="1028">
        <v>200</v>
      </c>
      <c r="O67" s="1025" t="s">
        <v>990</v>
      </c>
      <c r="P67" s="1025" t="s">
        <v>118</v>
      </c>
      <c r="Q67" s="1025" t="s">
        <v>118</v>
      </c>
      <c r="R67" s="1025" t="s">
        <v>118</v>
      </c>
      <c r="S67" s="1028">
        <v>75</v>
      </c>
      <c r="T67" s="1028">
        <v>75</v>
      </c>
      <c r="U67" s="1025"/>
      <c r="V67" s="1025"/>
      <c r="W67" s="1025" t="s">
        <v>118</v>
      </c>
      <c r="X67" s="1028">
        <v>400</v>
      </c>
      <c r="Y67" s="1028">
        <v>350</v>
      </c>
      <c r="Z67" s="1037" t="str">
        <f t="shared" si="10"/>
        <v/>
      </c>
      <c r="AA67" s="1022">
        <f t="shared" si="11"/>
        <v>18.75</v>
      </c>
      <c r="AB67" s="1022"/>
      <c r="AC67" s="1028">
        <v>21.5</v>
      </c>
      <c r="AD67" s="1028">
        <v>2.4</v>
      </c>
      <c r="AE67" s="1028">
        <v>11</v>
      </c>
      <c r="AF67" s="732" t="s">
        <v>953</v>
      </c>
      <c r="AG67" s="1028">
        <v>150</v>
      </c>
      <c r="AH67" s="1025" t="s">
        <v>944</v>
      </c>
      <c r="AI67" s="1025" t="s">
        <v>958</v>
      </c>
      <c r="AJ67" s="1018">
        <f t="shared" si="8"/>
        <v>327.27272727272725</v>
      </c>
      <c r="AK67" s="1018">
        <f t="shared" si="9"/>
        <v>24</v>
      </c>
      <c r="AL67" s="1039">
        <v>70000</v>
      </c>
      <c r="AM67" s="1039">
        <v>0</v>
      </c>
      <c r="AN67" s="1008">
        <f t="shared" si="3"/>
        <v>12148.760330578512</v>
      </c>
      <c r="AO67" s="1108">
        <f t="shared" si="4"/>
        <v>57851.239669421491</v>
      </c>
    </row>
    <row r="68" spans="1:41">
      <c r="A68" s="171" t="s">
        <v>848</v>
      </c>
      <c r="B68" s="1025" t="s">
        <v>644</v>
      </c>
      <c r="C68" s="1021">
        <v>43252</v>
      </c>
      <c r="D68" s="1025" t="s">
        <v>1010</v>
      </c>
      <c r="E68" s="1025" t="s">
        <v>32</v>
      </c>
      <c r="F68" s="719" t="str">
        <f t="shared" si="5"/>
        <v>M</v>
      </c>
      <c r="G68" s="719">
        <v>5</v>
      </c>
      <c r="H68" s="1028">
        <v>2133</v>
      </c>
      <c r="I68" s="1028">
        <v>505</v>
      </c>
      <c r="J68" s="1028">
        <v>1163</v>
      </c>
      <c r="K68" s="1028">
        <v>294</v>
      </c>
      <c r="L68" s="1028">
        <v>400</v>
      </c>
      <c r="M68" s="1028">
        <v>696</v>
      </c>
      <c r="N68" s="1028">
        <v>200</v>
      </c>
      <c r="O68" s="1025" t="s">
        <v>990</v>
      </c>
      <c r="P68" s="1025" t="s">
        <v>972</v>
      </c>
      <c r="Q68" s="1028">
        <v>0</v>
      </c>
      <c r="R68" s="1028">
        <v>750</v>
      </c>
      <c r="S68" s="1028">
        <v>90</v>
      </c>
      <c r="T68" s="1028">
        <v>84.7</v>
      </c>
      <c r="U68" s="1025"/>
      <c r="V68" s="1025"/>
      <c r="W68" s="1028">
        <v>543</v>
      </c>
      <c r="X68" s="1028">
        <v>470</v>
      </c>
      <c r="Y68" s="1028">
        <v>380</v>
      </c>
      <c r="Z68" s="1022">
        <f t="shared" si="10"/>
        <v>16.574585635359114</v>
      </c>
      <c r="AA68" s="1022">
        <f t="shared" si="11"/>
        <v>19.148936170212767</v>
      </c>
      <c r="AB68" s="1111">
        <f>AA68/Z68</f>
        <v>1.1553191489361705</v>
      </c>
      <c r="AC68" s="1028">
        <v>22.3</v>
      </c>
      <c r="AD68" s="1028">
        <v>2.5</v>
      </c>
      <c r="AE68" s="1028">
        <v>7.4</v>
      </c>
      <c r="AF68" s="732" t="s">
        <v>953</v>
      </c>
      <c r="AG68" s="1028">
        <v>100</v>
      </c>
      <c r="AH68" s="1025" t="s">
        <v>944</v>
      </c>
      <c r="AI68" s="1025" t="s">
        <v>958</v>
      </c>
      <c r="AJ68" s="1018">
        <f t="shared" ref="AJ68:AJ73" si="12">(($S68*$B$82)/$AE68)*60</f>
        <v>583.78378378378375</v>
      </c>
      <c r="AK68" s="1018">
        <f t="shared" ref="AK68:AK73" si="13">IF(AG68="-","",(($S68*$B$82)/$AG68)*60)</f>
        <v>43.199999999999996</v>
      </c>
      <c r="AL68" s="1039">
        <v>80810</v>
      </c>
      <c r="AM68" s="1039">
        <v>0</v>
      </c>
      <c r="AN68" s="1008">
        <f t="shared" si="3"/>
        <v>14024.87603305785</v>
      </c>
      <c r="AO68" s="1108">
        <f t="shared" si="4"/>
        <v>66785.123966942148</v>
      </c>
    </row>
    <row r="69" spans="1:41">
      <c r="A69" s="171" t="s">
        <v>848</v>
      </c>
      <c r="B69" s="1025" t="s">
        <v>1012</v>
      </c>
      <c r="C69" s="1021">
        <v>43617</v>
      </c>
      <c r="D69" s="1025" t="s">
        <v>1013</v>
      </c>
      <c r="E69" s="1025" t="s">
        <v>32</v>
      </c>
      <c r="F69" s="719" t="str">
        <f t="shared" ref="F69:F73" si="14">IF($A69="ja",E69,"")</f>
        <v>M</v>
      </c>
      <c r="G69" s="719">
        <v>5</v>
      </c>
      <c r="H69" s="1028">
        <v>2495</v>
      </c>
      <c r="I69" s="1028">
        <v>500</v>
      </c>
      <c r="J69" s="1025" t="s">
        <v>118</v>
      </c>
      <c r="K69" s="1028">
        <v>300</v>
      </c>
      <c r="L69" s="1028">
        <v>408</v>
      </c>
      <c r="M69" s="1028">
        <v>760</v>
      </c>
      <c r="N69" s="1028">
        <v>180</v>
      </c>
      <c r="O69" s="1025" t="s">
        <v>990</v>
      </c>
      <c r="P69" s="1025" t="s">
        <v>972</v>
      </c>
      <c r="Q69" s="1028">
        <v>0</v>
      </c>
      <c r="R69" s="1028">
        <v>1800</v>
      </c>
      <c r="S69" s="1028">
        <v>85</v>
      </c>
      <c r="T69" s="1028">
        <v>80</v>
      </c>
      <c r="U69" s="1025"/>
      <c r="V69" s="1025"/>
      <c r="W69" s="1028">
        <v>471</v>
      </c>
      <c r="X69" s="1028">
        <v>417</v>
      </c>
      <c r="Y69" s="1028">
        <v>355</v>
      </c>
      <c r="Z69" s="1022">
        <f t="shared" si="10"/>
        <v>18.046709129511676</v>
      </c>
      <c r="AA69" s="1022">
        <f t="shared" si="11"/>
        <v>20.38369304556355</v>
      </c>
      <c r="AB69" s="1111">
        <f>AA69/Z69</f>
        <v>1.1294964028776979</v>
      </c>
      <c r="AC69" s="1022">
        <v>22</v>
      </c>
      <c r="AD69" s="1028">
        <v>2.5</v>
      </c>
      <c r="AE69" s="1028">
        <v>7.4</v>
      </c>
      <c r="AF69" s="732" t="s">
        <v>953</v>
      </c>
      <c r="AG69" s="1028">
        <v>110</v>
      </c>
      <c r="AH69" s="1025" t="s">
        <v>944</v>
      </c>
      <c r="AI69" s="1025" t="s">
        <v>958</v>
      </c>
      <c r="AJ69" s="1018">
        <f t="shared" si="12"/>
        <v>551.35135135135135</v>
      </c>
      <c r="AK69" s="1018">
        <f t="shared" si="13"/>
        <v>37.090909090909093</v>
      </c>
      <c r="AL69" s="1039">
        <v>80995</v>
      </c>
      <c r="AM69" s="1039">
        <v>0</v>
      </c>
      <c r="AN69" s="1008">
        <f t="shared" si="3"/>
        <v>14056.983471074382</v>
      </c>
      <c r="AO69" s="1108">
        <f t="shared" si="4"/>
        <v>66938.016528925626</v>
      </c>
    </row>
    <row r="70" spans="1:41">
      <c r="A70" s="171" t="s">
        <v>848</v>
      </c>
      <c r="B70" s="1025" t="s">
        <v>628</v>
      </c>
      <c r="C70" s="1021">
        <v>43556</v>
      </c>
      <c r="D70" s="1025" t="s">
        <v>1011</v>
      </c>
      <c r="E70" s="1025" t="s">
        <v>32</v>
      </c>
      <c r="F70" s="719" t="str">
        <f t="shared" si="14"/>
        <v>M</v>
      </c>
      <c r="G70" s="719">
        <v>5</v>
      </c>
      <c r="H70" s="1028">
        <v>2490</v>
      </c>
      <c r="I70" s="1028">
        <v>660</v>
      </c>
      <c r="J70" s="1028">
        <v>1725</v>
      </c>
      <c r="K70" s="1028">
        <v>300</v>
      </c>
      <c r="L70" s="1028">
        <v>408</v>
      </c>
      <c r="M70" s="1028">
        <v>664</v>
      </c>
      <c r="N70" s="1028">
        <v>200</v>
      </c>
      <c r="O70" s="1025" t="s">
        <v>990</v>
      </c>
      <c r="P70" s="1025" t="s">
        <v>972</v>
      </c>
      <c r="Q70" s="1028">
        <v>750</v>
      </c>
      <c r="R70" s="1028">
        <v>1800</v>
      </c>
      <c r="S70" s="1028">
        <v>95</v>
      </c>
      <c r="T70" s="1028">
        <v>83.6</v>
      </c>
      <c r="U70" s="1025"/>
      <c r="V70" s="1025"/>
      <c r="W70" s="1025" t="s">
        <v>118</v>
      </c>
      <c r="X70" s="1028">
        <v>417</v>
      </c>
      <c r="Y70" s="1028">
        <v>360</v>
      </c>
      <c r="Z70" s="1037" t="str">
        <f t="shared" si="10"/>
        <v/>
      </c>
      <c r="AA70" s="1022">
        <f t="shared" si="11"/>
        <v>22.781774580335732</v>
      </c>
      <c r="AB70" s="1022"/>
      <c r="AC70" s="1028">
        <v>22.9</v>
      </c>
      <c r="AD70" s="1028">
        <v>2.6</v>
      </c>
      <c r="AE70" s="1028">
        <v>11</v>
      </c>
      <c r="AF70" s="732" t="s">
        <v>953</v>
      </c>
      <c r="AG70" s="1028">
        <v>150</v>
      </c>
      <c r="AH70" s="1025" t="s">
        <v>944</v>
      </c>
      <c r="AI70" s="1025" t="s">
        <v>958</v>
      </c>
      <c r="AJ70" s="1018">
        <f t="shared" si="12"/>
        <v>414.54545454545456</v>
      </c>
      <c r="AK70" s="1018">
        <f t="shared" si="13"/>
        <v>30.400000000000002</v>
      </c>
      <c r="AL70" s="1039">
        <v>84100</v>
      </c>
      <c r="AM70" s="1039">
        <v>0</v>
      </c>
      <c r="AN70" s="1008">
        <f t="shared" si="3"/>
        <v>14595.867768595041</v>
      </c>
      <c r="AO70" s="1108">
        <f t="shared" si="4"/>
        <v>69504.132231404961</v>
      </c>
    </row>
    <row r="71" spans="1:41">
      <c r="A71" s="171" t="s">
        <v>848</v>
      </c>
      <c r="B71" s="1025" t="s">
        <v>628</v>
      </c>
      <c r="C71" s="1021">
        <v>43709</v>
      </c>
      <c r="D71" s="1025" t="s">
        <v>1014</v>
      </c>
      <c r="E71" s="1025" t="s">
        <v>32</v>
      </c>
      <c r="F71" s="719" t="str">
        <f t="shared" si="14"/>
        <v>M</v>
      </c>
      <c r="G71" s="719">
        <v>5</v>
      </c>
      <c r="H71" s="1028">
        <v>2400</v>
      </c>
      <c r="I71" s="1028">
        <v>550</v>
      </c>
      <c r="J71" s="1025" t="s">
        <v>118</v>
      </c>
      <c r="K71" s="1028">
        <v>300</v>
      </c>
      <c r="L71" s="1028">
        <v>408</v>
      </c>
      <c r="M71" s="1028">
        <v>664</v>
      </c>
      <c r="N71" s="1028">
        <v>200</v>
      </c>
      <c r="O71" s="1025" t="s">
        <v>990</v>
      </c>
      <c r="P71" s="1025" t="s">
        <v>118</v>
      </c>
      <c r="Q71" s="1025" t="s">
        <v>118</v>
      </c>
      <c r="R71" s="1025" t="s">
        <v>118</v>
      </c>
      <c r="S71" s="1028">
        <v>95</v>
      </c>
      <c r="T71" s="1028">
        <v>83.6</v>
      </c>
      <c r="U71" s="1025"/>
      <c r="V71" s="1025"/>
      <c r="W71" s="1025" t="s">
        <v>118</v>
      </c>
      <c r="X71" s="1028">
        <v>400</v>
      </c>
      <c r="Y71" s="1028">
        <v>360</v>
      </c>
      <c r="Z71" s="1037" t="str">
        <f t="shared" si="10"/>
        <v/>
      </c>
      <c r="AA71" s="1022">
        <f t="shared" si="11"/>
        <v>23.75</v>
      </c>
      <c r="AB71" s="1022"/>
      <c r="AC71" s="1028">
        <v>22.6</v>
      </c>
      <c r="AD71" s="1028">
        <v>2.6</v>
      </c>
      <c r="AE71" s="1028">
        <v>11</v>
      </c>
      <c r="AF71" s="732" t="s">
        <v>953</v>
      </c>
      <c r="AG71" s="1028">
        <v>150</v>
      </c>
      <c r="AH71" s="1025" t="s">
        <v>944</v>
      </c>
      <c r="AI71" s="1025" t="s">
        <v>958</v>
      </c>
      <c r="AJ71" s="1018">
        <f t="shared" si="12"/>
        <v>414.54545454545456</v>
      </c>
      <c r="AK71" s="1018">
        <f t="shared" si="13"/>
        <v>30.400000000000002</v>
      </c>
      <c r="AL71" s="1039">
        <v>85000</v>
      </c>
      <c r="AM71" s="1039">
        <v>0</v>
      </c>
      <c r="AN71" s="1008">
        <f t="shared" si="3"/>
        <v>14752.066115702481</v>
      </c>
      <c r="AO71" s="1108">
        <f t="shared" si="4"/>
        <v>70247.933884297527</v>
      </c>
    </row>
    <row r="72" spans="1:41">
      <c r="A72" s="171" t="s">
        <v>848</v>
      </c>
      <c r="B72" s="1025" t="s">
        <v>632</v>
      </c>
      <c r="C72" s="1021">
        <v>43617</v>
      </c>
      <c r="D72" s="1025" t="s">
        <v>1247</v>
      </c>
      <c r="E72" s="1025" t="s">
        <v>32</v>
      </c>
      <c r="F72" s="719" t="str">
        <f t="shared" si="14"/>
        <v>M</v>
      </c>
      <c r="G72" s="719">
        <v>7</v>
      </c>
      <c r="H72" s="1028">
        <v>2459</v>
      </c>
      <c r="I72" s="1025" t="s">
        <v>118</v>
      </c>
      <c r="J72" s="1028">
        <v>2492</v>
      </c>
      <c r="K72" s="1028">
        <v>350</v>
      </c>
      <c r="L72" s="1028">
        <v>474</v>
      </c>
      <c r="M72" s="1028">
        <v>750</v>
      </c>
      <c r="N72" s="1028">
        <v>250</v>
      </c>
      <c r="O72" s="1025" t="s">
        <v>990</v>
      </c>
      <c r="P72" s="1025" t="s">
        <v>972</v>
      </c>
      <c r="Q72" s="1028">
        <v>450</v>
      </c>
      <c r="R72" s="1028">
        <v>2250</v>
      </c>
      <c r="S72" s="1028">
        <v>100</v>
      </c>
      <c r="T72" s="1028">
        <v>95</v>
      </c>
      <c r="U72" s="1025"/>
      <c r="V72" s="1025"/>
      <c r="W72" s="1025" t="s">
        <v>118</v>
      </c>
      <c r="X72" s="1028">
        <v>505</v>
      </c>
      <c r="Y72" s="1028">
        <v>460</v>
      </c>
      <c r="Z72" s="1037" t="str">
        <f t="shared" si="10"/>
        <v/>
      </c>
      <c r="AA72" s="1022">
        <f t="shared" si="11"/>
        <v>19.801980198019802</v>
      </c>
      <c r="AB72" s="1022"/>
      <c r="AC72" s="1028">
        <v>21.4</v>
      </c>
      <c r="AD72" s="1022">
        <v>2.2000000000000002</v>
      </c>
      <c r="AE72" s="1022">
        <v>16.5</v>
      </c>
      <c r="AF72" s="732" t="s">
        <v>953</v>
      </c>
      <c r="AG72" s="1028">
        <v>145</v>
      </c>
      <c r="AH72" s="1025" t="s">
        <v>944</v>
      </c>
      <c r="AI72" s="1025" t="s">
        <v>993</v>
      </c>
      <c r="AJ72" s="1018">
        <f t="shared" si="12"/>
        <v>290.90909090909093</v>
      </c>
      <c r="AK72" s="1018">
        <f t="shared" si="13"/>
        <v>33.103448275862071</v>
      </c>
      <c r="AL72" s="1039">
        <v>94618</v>
      </c>
      <c r="AM72" s="1039">
        <v>0</v>
      </c>
      <c r="AN72" s="1008">
        <f t="shared" si="3"/>
        <v>16421.305785123965</v>
      </c>
      <c r="AO72" s="1108">
        <f t="shared" si="4"/>
        <v>78196.694214876028</v>
      </c>
    </row>
    <row r="73" spans="1:41">
      <c r="A73" s="171" t="s">
        <v>848</v>
      </c>
      <c r="B73" s="1025" t="s">
        <v>632</v>
      </c>
      <c r="C73" s="1021">
        <v>43647</v>
      </c>
      <c r="D73" s="1025" t="s">
        <v>1248</v>
      </c>
      <c r="E73" s="1025" t="s">
        <v>32</v>
      </c>
      <c r="F73" s="719" t="str">
        <f t="shared" si="14"/>
        <v>M</v>
      </c>
      <c r="G73" s="719">
        <v>7</v>
      </c>
      <c r="H73" s="1028">
        <v>2509</v>
      </c>
      <c r="I73" s="1025" t="s">
        <v>118</v>
      </c>
      <c r="J73" s="1028">
        <v>2492</v>
      </c>
      <c r="K73" s="1028">
        <v>451</v>
      </c>
      <c r="L73" s="1028">
        <v>613</v>
      </c>
      <c r="M73" s="1028">
        <v>931</v>
      </c>
      <c r="N73" s="1028">
        <v>50</v>
      </c>
      <c r="O73" s="1025" t="s">
        <v>990</v>
      </c>
      <c r="P73" s="1025" t="s">
        <v>972</v>
      </c>
      <c r="Q73" s="1028">
        <v>450</v>
      </c>
      <c r="R73" s="1028">
        <v>2250</v>
      </c>
      <c r="S73" s="1028">
        <v>100</v>
      </c>
      <c r="T73" s="1028">
        <v>95</v>
      </c>
      <c r="U73" s="1025"/>
      <c r="V73" s="1025"/>
      <c r="W73" s="1025" t="s">
        <v>118</v>
      </c>
      <c r="X73" s="1028">
        <v>485</v>
      </c>
      <c r="Y73" s="1028">
        <v>445</v>
      </c>
      <c r="Z73" s="1037" t="str">
        <f t="shared" si="10"/>
        <v/>
      </c>
      <c r="AA73" s="1022">
        <f t="shared" si="11"/>
        <v>20.618556701030926</v>
      </c>
      <c r="AB73" s="1022"/>
      <c r="AC73" s="1028">
        <v>22.1</v>
      </c>
      <c r="AD73" s="1022">
        <v>2.2999999999999998</v>
      </c>
      <c r="AE73" s="1022">
        <v>16.5</v>
      </c>
      <c r="AF73" s="732" t="s">
        <v>953</v>
      </c>
      <c r="AG73" s="1028">
        <v>145</v>
      </c>
      <c r="AH73" s="1025" t="s">
        <v>944</v>
      </c>
      <c r="AI73" s="1025" t="s">
        <v>993</v>
      </c>
      <c r="AJ73" s="1018">
        <f t="shared" si="12"/>
        <v>290.90909090909093</v>
      </c>
      <c r="AK73" s="1018">
        <f t="shared" si="13"/>
        <v>33.103448275862071</v>
      </c>
      <c r="AL73" s="1039">
        <v>110818</v>
      </c>
      <c r="AM73" s="1039">
        <v>0</v>
      </c>
      <c r="AN73" s="1008">
        <f t="shared" si="3"/>
        <v>19232.876033057852</v>
      </c>
      <c r="AO73" s="1108">
        <f t="shared" si="4"/>
        <v>91585.123966942148</v>
      </c>
    </row>
    <row r="74" spans="1:41">
      <c r="B74" s="1025"/>
      <c r="C74" s="1021"/>
      <c r="D74" s="1025"/>
      <c r="E74" s="1025"/>
      <c r="H74" s="1028"/>
      <c r="I74" s="1025"/>
      <c r="J74" s="1028"/>
      <c r="K74" s="1028"/>
      <c r="L74" s="1028"/>
      <c r="M74" s="1028"/>
      <c r="N74" s="1028"/>
      <c r="O74" s="1025"/>
      <c r="P74" s="1025"/>
      <c r="Q74" s="1028"/>
      <c r="R74" s="1028"/>
      <c r="S74" s="1028"/>
      <c r="T74" s="1028"/>
      <c r="U74" s="1025"/>
      <c r="V74" s="1025"/>
      <c r="W74" s="1025"/>
      <c r="X74" s="1028"/>
      <c r="Y74" s="1028"/>
      <c r="Z74" s="1037"/>
      <c r="AA74" s="1022"/>
      <c r="AB74" s="1022"/>
      <c r="AC74" s="1028"/>
      <c r="AD74" s="1022"/>
      <c r="AE74" s="1022"/>
      <c r="AG74" s="1028"/>
      <c r="AH74" s="1025"/>
      <c r="AI74" s="1025"/>
      <c r="AJ74" s="1018"/>
      <c r="AK74" s="1018"/>
      <c r="AL74" s="1039"/>
      <c r="AM74" s="1039"/>
      <c r="AN74" s="1008"/>
      <c r="AO74" s="1108"/>
    </row>
    <row r="75" spans="1:41" s="829" customFormat="1">
      <c r="B75" s="1025"/>
      <c r="C75" s="1025"/>
      <c r="D75" s="1025"/>
      <c r="E75" s="1025"/>
      <c r="F75" s="719"/>
      <c r="G75" s="719"/>
      <c r="H75" s="1025"/>
      <c r="I75" s="1025"/>
      <c r="J75" s="1025"/>
      <c r="K75" s="1025"/>
      <c r="L75" s="1025"/>
      <c r="M75" s="1025"/>
      <c r="N75" s="1025"/>
      <c r="O75" s="1025"/>
      <c r="P75" s="1025"/>
      <c r="Q75" s="1025"/>
      <c r="R75" s="1025"/>
      <c r="S75" s="1025"/>
      <c r="T75" s="1025"/>
      <c r="U75" s="1025"/>
      <c r="V75" s="1025"/>
      <c r="W75" s="1025"/>
      <c r="X75" s="1025"/>
      <c r="Y75" s="1025"/>
      <c r="Z75" s="1025"/>
      <c r="AA75" s="1025"/>
      <c r="AB75" s="1025"/>
      <c r="AC75" s="1025"/>
      <c r="AD75" s="1025"/>
      <c r="AE75" s="1025"/>
      <c r="AF75" s="732"/>
      <c r="AG75" s="1025"/>
      <c r="AH75" s="1025"/>
      <c r="AI75" s="1025"/>
      <c r="AJ75" s="1025"/>
      <c r="AK75" s="1025"/>
      <c r="AL75" s="1113"/>
      <c r="AM75" s="1113"/>
      <c r="AN75" s="1113"/>
      <c r="AO75" s="1114"/>
    </row>
    <row r="76" spans="1:41" s="829" customFormat="1">
      <c r="B76" s="1115" t="s">
        <v>808</v>
      </c>
      <c r="C76" s="1025"/>
      <c r="D76" s="1025"/>
      <c r="E76" s="1025"/>
      <c r="F76" s="719"/>
      <c r="G76" s="719"/>
      <c r="H76" s="1025"/>
      <c r="I76" s="1025"/>
      <c r="J76" s="1025"/>
      <c r="K76" s="1025"/>
      <c r="L76" s="1025"/>
      <c r="M76" s="1025"/>
      <c r="N76" s="1025"/>
      <c r="O76" s="1025"/>
      <c r="P76" s="1025"/>
      <c r="Q76" s="1025"/>
      <c r="R76" s="1025"/>
      <c r="S76" s="1025"/>
      <c r="T76" s="1025"/>
      <c r="U76" s="1025"/>
      <c r="V76" s="1025"/>
      <c r="W76" s="1025"/>
      <c r="X76" s="1025"/>
      <c r="Y76" s="1025"/>
      <c r="Z76" s="1025"/>
      <c r="AA76" s="1025"/>
      <c r="AB76" s="1025"/>
      <c r="AC76" s="1025"/>
      <c r="AD76" s="1025"/>
      <c r="AF76" s="732"/>
      <c r="AG76" s="1025"/>
      <c r="AH76" s="1025"/>
      <c r="AI76" s="1025"/>
      <c r="AJ76" s="1025"/>
      <c r="AK76" s="1025"/>
      <c r="AL76" s="1113"/>
      <c r="AM76" s="1113"/>
      <c r="AN76" s="1113"/>
      <c r="AO76" s="1025"/>
    </row>
    <row r="77" spans="1:41" s="829" customFormat="1">
      <c r="B77" s="1116">
        <v>43678</v>
      </c>
      <c r="C77" s="1025"/>
      <c r="D77" s="1025"/>
      <c r="E77" s="1025"/>
      <c r="F77" s="719"/>
      <c r="G77" s="719"/>
      <c r="H77" s="1025"/>
      <c r="I77" s="1025"/>
      <c r="J77" s="1025"/>
      <c r="K77" s="1025"/>
      <c r="L77" s="1025"/>
      <c r="M77" s="1025"/>
      <c r="N77" s="1025"/>
      <c r="O77" s="1025"/>
      <c r="P77" s="1025"/>
      <c r="Q77" s="1025"/>
      <c r="R77" s="1025"/>
      <c r="S77" s="1025"/>
      <c r="T77" s="1025"/>
      <c r="U77" s="1025"/>
      <c r="V77" s="1025"/>
      <c r="W77" s="1025"/>
      <c r="X77" s="1025"/>
      <c r="Y77" s="1025"/>
      <c r="Z77" s="1025"/>
      <c r="AA77" s="1025"/>
      <c r="AB77" s="1025"/>
      <c r="AC77" s="1025"/>
      <c r="AD77" s="1025"/>
      <c r="AE77" s="1025"/>
      <c r="AF77" s="732"/>
      <c r="AG77" s="1025"/>
      <c r="AH77" s="1025"/>
      <c r="AI77" s="1025"/>
      <c r="AJ77" s="1025"/>
      <c r="AK77" s="1025"/>
      <c r="AL77" s="1113"/>
      <c r="AM77" s="1113"/>
      <c r="AN77" s="1113"/>
      <c r="AO77" s="1025"/>
    </row>
    <row r="78" spans="1:41" s="829" customFormat="1">
      <c r="B78" s="1117" t="s">
        <v>1051</v>
      </c>
      <c r="C78" s="1118"/>
      <c r="D78" s="1025"/>
      <c r="E78" s="1025"/>
      <c r="F78" s="719"/>
      <c r="G78" s="719"/>
      <c r="H78" s="1025"/>
      <c r="I78" s="1025"/>
      <c r="J78" s="1025"/>
      <c r="K78" s="1025"/>
      <c r="L78" s="1025"/>
      <c r="M78" s="1025"/>
      <c r="N78" s="1025"/>
      <c r="O78" s="1025"/>
      <c r="P78" s="1025"/>
      <c r="Q78" s="1025"/>
      <c r="R78" s="1025"/>
      <c r="S78" s="1025"/>
      <c r="T78" s="1025"/>
      <c r="U78" s="1025"/>
      <c r="V78" s="1025"/>
      <c r="W78" s="1025"/>
      <c r="X78" s="1025"/>
      <c r="Y78" s="1025"/>
      <c r="Z78" s="1025"/>
      <c r="AA78" s="1025"/>
      <c r="AB78" s="1025"/>
      <c r="AC78" s="1025"/>
      <c r="AD78" s="1025"/>
      <c r="AE78" s="1025"/>
      <c r="AF78" s="732"/>
      <c r="AG78" s="1025"/>
      <c r="AH78" s="1025"/>
      <c r="AI78" s="1025"/>
      <c r="AJ78" s="1025"/>
      <c r="AK78" s="1025"/>
      <c r="AL78" s="1113"/>
      <c r="AM78" s="1113"/>
      <c r="AN78" s="1113"/>
      <c r="AO78" s="1025"/>
    </row>
    <row r="79" spans="1:41" s="829" customFormat="1">
      <c r="B79" s="1118" t="s">
        <v>1645</v>
      </c>
      <c r="C79" s="1118"/>
      <c r="D79" s="1025"/>
      <c r="E79" s="1025"/>
      <c r="F79" s="719"/>
      <c r="G79" s="719"/>
      <c r="H79" s="1025"/>
      <c r="I79" s="1025"/>
      <c r="J79" s="1025"/>
      <c r="K79" s="1025"/>
      <c r="L79" s="1025"/>
      <c r="M79" s="1025"/>
      <c r="N79" s="1025"/>
      <c r="O79" s="1025"/>
      <c r="P79" s="1025"/>
      <c r="Q79" s="1025"/>
      <c r="R79" s="1025"/>
      <c r="S79" s="1025"/>
      <c r="T79" s="1025"/>
      <c r="U79" s="1025"/>
      <c r="V79" s="1025"/>
      <c r="W79" s="1025"/>
      <c r="X79" s="1025"/>
      <c r="Y79" s="1025"/>
      <c r="Z79" s="1025"/>
      <c r="AA79" s="1025"/>
      <c r="AB79" s="1025"/>
      <c r="AC79" s="1025"/>
      <c r="AD79" s="1025"/>
      <c r="AE79" s="1025"/>
      <c r="AF79" s="732"/>
      <c r="AG79" s="1025"/>
      <c r="AH79" s="1025"/>
      <c r="AI79" s="1025"/>
      <c r="AJ79" s="1025"/>
      <c r="AK79" s="1025"/>
      <c r="AL79" s="1113"/>
      <c r="AM79" s="1113"/>
      <c r="AN79" s="1113"/>
      <c r="AO79" s="1025"/>
    </row>
    <row r="80" spans="1:41" s="829" customFormat="1">
      <c r="B80" s="1025"/>
      <c r="C80" s="1025"/>
      <c r="D80" s="1025"/>
      <c r="E80" s="1025"/>
      <c r="F80" s="719"/>
      <c r="G80" s="719"/>
      <c r="H80" s="1025"/>
      <c r="I80" s="1025"/>
      <c r="J80" s="1025"/>
      <c r="K80" s="1025"/>
      <c r="L80" s="1025"/>
      <c r="M80" s="1025"/>
      <c r="N80" s="1025"/>
      <c r="O80" s="1025"/>
      <c r="P80" s="1025"/>
      <c r="Q80" s="1025"/>
      <c r="R80" s="1025"/>
      <c r="S80" s="1025"/>
      <c r="T80" s="1025"/>
      <c r="U80" s="1025"/>
      <c r="V80" s="1025"/>
      <c r="W80" s="1025"/>
      <c r="X80" s="1025"/>
      <c r="Y80" s="1025"/>
      <c r="Z80" s="1025"/>
      <c r="AA80" s="1025"/>
      <c r="AB80" s="1025"/>
      <c r="AC80" s="1025"/>
      <c r="AD80" s="1025"/>
      <c r="AE80" s="1025"/>
      <c r="AF80" s="732"/>
      <c r="AG80" s="1025"/>
      <c r="AH80" s="1025"/>
      <c r="AI80" s="1025"/>
      <c r="AJ80" s="1025"/>
      <c r="AK80" s="1025"/>
      <c r="AL80" s="1113"/>
      <c r="AM80" s="1113"/>
      <c r="AN80" s="1113"/>
      <c r="AO80" s="1025"/>
    </row>
    <row r="81" spans="2:41" s="829" customFormat="1">
      <c r="B81" s="719" t="s">
        <v>1646</v>
      </c>
      <c r="C81" s="1025"/>
      <c r="D81" s="1025"/>
      <c r="E81" s="1025"/>
      <c r="F81" s="719"/>
      <c r="G81" s="719"/>
      <c r="H81" s="1025"/>
      <c r="I81" s="1025"/>
      <c r="J81" s="1025"/>
      <c r="K81" s="1025"/>
      <c r="L81" s="1025"/>
      <c r="M81" s="1025"/>
      <c r="N81" s="1025"/>
      <c r="O81" s="1025"/>
      <c r="P81" s="1025"/>
      <c r="Q81" s="1025"/>
      <c r="R81" s="1025"/>
      <c r="S81" s="1025"/>
      <c r="T81" s="1025"/>
      <c r="U81" s="1025"/>
      <c r="V81" s="1025"/>
      <c r="W81" s="1025"/>
      <c r="X81" s="1025"/>
      <c r="Y81" s="1025"/>
      <c r="Z81" s="1025"/>
      <c r="AA81" s="1025"/>
      <c r="AB81" s="1025"/>
      <c r="AC81" s="1025"/>
      <c r="AD81" s="1025"/>
      <c r="AE81" s="1025"/>
      <c r="AF81" s="732"/>
      <c r="AG81" s="1025"/>
      <c r="AH81" s="1025"/>
      <c r="AI81" s="1025"/>
      <c r="AJ81" s="1025"/>
      <c r="AK81" s="1025"/>
      <c r="AL81" s="1113"/>
      <c r="AM81" s="1113"/>
      <c r="AN81" s="1113"/>
      <c r="AO81" s="1025"/>
    </row>
    <row r="82" spans="2:41" s="829" customFormat="1">
      <c r="B82" s="1119">
        <v>0.8</v>
      </c>
      <c r="C82" s="1025"/>
      <c r="D82" s="1025"/>
      <c r="E82" s="1025"/>
      <c r="F82" s="719"/>
      <c r="G82" s="719"/>
      <c r="H82" s="1025"/>
      <c r="I82" s="1025"/>
      <c r="J82" s="1025"/>
      <c r="K82" s="1025"/>
      <c r="L82" s="1025"/>
      <c r="M82" s="1025"/>
      <c r="N82" s="1025"/>
      <c r="O82" s="1025"/>
      <c r="P82" s="1025"/>
      <c r="Q82" s="1025"/>
      <c r="R82" s="1025"/>
      <c r="S82" s="1025"/>
      <c r="T82" s="1025"/>
      <c r="U82" s="1025"/>
      <c r="V82" s="1025"/>
      <c r="W82" s="1025"/>
      <c r="X82" s="1025"/>
      <c r="Y82" s="1025"/>
      <c r="Z82" s="1025"/>
      <c r="AA82" s="1025"/>
      <c r="AB82" s="1025"/>
      <c r="AC82" s="1025"/>
      <c r="AD82" s="1025"/>
      <c r="AE82" s="1025"/>
      <c r="AF82" s="732"/>
      <c r="AG82" s="1025"/>
      <c r="AH82" s="1025"/>
      <c r="AI82" s="1025"/>
      <c r="AJ82" s="1025"/>
      <c r="AK82" s="1025"/>
      <c r="AL82" s="1113"/>
      <c r="AM82" s="1113"/>
      <c r="AN82" s="1113"/>
      <c r="AO82" s="1025"/>
    </row>
    <row r="83" spans="2:41" s="829" customFormat="1">
      <c r="B83" s="1119"/>
      <c r="C83" s="1025"/>
      <c r="D83" s="1025"/>
      <c r="E83" s="1025"/>
      <c r="F83" s="719"/>
      <c r="G83" s="719"/>
      <c r="H83" s="1025"/>
      <c r="I83" s="1025"/>
      <c r="J83" s="1025"/>
      <c r="K83" s="1025"/>
      <c r="L83" s="1025"/>
      <c r="M83" s="1025"/>
      <c r="N83" s="1025"/>
      <c r="O83" s="1025"/>
      <c r="P83" s="1025"/>
      <c r="Q83" s="1025"/>
      <c r="R83" s="1025"/>
      <c r="S83" s="1025"/>
      <c r="T83" s="1025"/>
      <c r="U83" s="1025"/>
      <c r="V83" s="1025"/>
      <c r="W83" s="1025"/>
      <c r="X83" s="1025"/>
      <c r="Y83" s="1025"/>
      <c r="Z83" s="1025"/>
      <c r="AA83" s="1025"/>
      <c r="AB83" s="1025"/>
      <c r="AC83" s="1025"/>
      <c r="AD83" s="1025"/>
      <c r="AE83" s="1025"/>
      <c r="AF83" s="732"/>
      <c r="AG83" s="1025"/>
      <c r="AH83" s="1025"/>
      <c r="AI83" s="1025"/>
      <c r="AJ83" s="1025"/>
      <c r="AK83" s="1025"/>
      <c r="AL83" s="1113"/>
      <c r="AM83" s="1113"/>
      <c r="AN83" s="1113"/>
      <c r="AO83" s="1025"/>
    </row>
    <row r="84" spans="2:41" s="829" customFormat="1">
      <c r="B84" s="1025"/>
      <c r="C84" s="1025"/>
      <c r="D84" s="1025"/>
      <c r="E84" s="1025"/>
      <c r="F84" s="719"/>
      <c r="G84" s="719"/>
      <c r="H84" s="1025"/>
      <c r="I84" s="1025"/>
      <c r="J84" s="1025"/>
      <c r="K84" s="1025"/>
      <c r="L84" s="1025"/>
      <c r="M84" s="1025"/>
      <c r="N84" s="1025"/>
      <c r="O84" s="1025"/>
      <c r="P84" s="1025"/>
      <c r="Q84" s="1025"/>
      <c r="R84" s="1025"/>
      <c r="S84" s="1025"/>
      <c r="T84" s="1025"/>
      <c r="U84" s="1025"/>
      <c r="V84" s="1025"/>
      <c r="W84" s="1025"/>
      <c r="X84" s="1025"/>
      <c r="Y84" s="1025"/>
      <c r="Z84" s="1025"/>
      <c r="AA84" s="1025"/>
      <c r="AB84" s="1025"/>
      <c r="AC84" s="1025"/>
      <c r="AD84" s="1025"/>
      <c r="AE84" s="1025"/>
      <c r="AF84" s="732"/>
      <c r="AG84" s="1025"/>
      <c r="AH84" s="1025"/>
      <c r="AI84" s="1025"/>
      <c r="AJ84" s="1025"/>
      <c r="AK84" s="1025"/>
      <c r="AL84" s="1113"/>
      <c r="AM84" s="1113"/>
      <c r="AN84" s="1113"/>
      <c r="AO84" s="1025"/>
    </row>
    <row r="85" spans="2:41" s="1107" customFormat="1" ht="69" thickBot="1">
      <c r="B85" s="1100" t="s">
        <v>921</v>
      </c>
      <c r="C85" s="1100" t="s">
        <v>922</v>
      </c>
      <c r="D85" s="1100" t="s">
        <v>1904</v>
      </c>
      <c r="E85" s="1100"/>
      <c r="F85" s="1101" t="s">
        <v>112</v>
      </c>
      <c r="G85" s="1101" t="s">
        <v>923</v>
      </c>
      <c r="H85" s="1100" t="s">
        <v>924</v>
      </c>
      <c r="I85" s="1100" t="s">
        <v>925</v>
      </c>
      <c r="J85" s="1100" t="s">
        <v>926</v>
      </c>
      <c r="K85" s="1100" t="s">
        <v>927</v>
      </c>
      <c r="L85" s="1100" t="s">
        <v>928</v>
      </c>
      <c r="M85" s="1100" t="s">
        <v>929</v>
      </c>
      <c r="N85" s="1100" t="s">
        <v>930</v>
      </c>
      <c r="O85" s="1100" t="s">
        <v>931</v>
      </c>
      <c r="P85" s="1102" t="s">
        <v>932</v>
      </c>
      <c r="Q85" s="1102" t="s">
        <v>933</v>
      </c>
      <c r="R85" s="1102" t="s">
        <v>934</v>
      </c>
      <c r="S85" s="1102" t="s">
        <v>935</v>
      </c>
      <c r="T85" s="1102" t="s">
        <v>936</v>
      </c>
      <c r="U85" s="1102" t="s">
        <v>1062</v>
      </c>
      <c r="V85" s="1102" t="s">
        <v>1063</v>
      </c>
      <c r="W85" s="1100" t="s">
        <v>937</v>
      </c>
      <c r="X85" s="1100" t="s">
        <v>938</v>
      </c>
      <c r="Y85" s="1100" t="s">
        <v>939</v>
      </c>
      <c r="Z85" s="1102" t="s">
        <v>1064</v>
      </c>
      <c r="AA85" s="1102" t="s">
        <v>1065</v>
      </c>
      <c r="AB85" s="1102"/>
      <c r="AC85" s="1102" t="s">
        <v>519</v>
      </c>
      <c r="AD85" s="1102" t="s">
        <v>940</v>
      </c>
      <c r="AE85" s="1103" t="s">
        <v>941</v>
      </c>
      <c r="AF85" s="1104" t="s">
        <v>942</v>
      </c>
      <c r="AG85" s="1104" t="s">
        <v>943</v>
      </c>
      <c r="AH85" s="1104" t="s">
        <v>944</v>
      </c>
      <c r="AI85" s="1105" t="s">
        <v>945</v>
      </c>
      <c r="AJ85" s="1105" t="s">
        <v>946</v>
      </c>
      <c r="AK85" s="1105" t="s">
        <v>947</v>
      </c>
      <c r="AL85" s="1106" t="s">
        <v>1066</v>
      </c>
      <c r="AM85" s="1103" t="s">
        <v>121</v>
      </c>
      <c r="AN85" s="1105" t="s">
        <v>464</v>
      </c>
      <c r="AO85" s="1100" t="s">
        <v>948</v>
      </c>
    </row>
    <row r="86" spans="2:41" ht="17" thickTop="1">
      <c r="B86" s="652" t="s">
        <v>1069</v>
      </c>
      <c r="D86" s="616">
        <f>AB11</f>
        <v>1.2030075187969924</v>
      </c>
      <c r="E86" s="616"/>
      <c r="G86" s="742">
        <f>AVERAGEIF(_BEV_Pers!$F$4:$F$73,"A",_BEV_Pers!G4:G73)</f>
        <v>3.5555555555555554</v>
      </c>
      <c r="H86" s="742">
        <f>AVERAGEIF(_BEV_Pers!$F$4:$F$73,"A",_BEV_Pers!H4:H73)</f>
        <v>1114.3333333333333</v>
      </c>
      <c r="I86" s="742">
        <f>AVERAGEIF(_BEV_Pers!$F$4:$F$73,"A",_BEV_Pers!I4:I73)</f>
        <v>223.5</v>
      </c>
      <c r="J86" s="742">
        <f>AVERAGEIF(_BEV_Pers!$F$4:$F$73,"A",_BEV_Pers!J4:J73)</f>
        <v>769.25</v>
      </c>
      <c r="K86" s="742">
        <f>AVERAGEIF(_BEV_Pers!$F$4:$F$73,"A",_BEV_Pers!K4:K73)</f>
        <v>57.444444444444443</v>
      </c>
      <c r="L86" s="742">
        <f>AVERAGEIF(_BEV_Pers!$F$4:$F$73,"A",_BEV_Pers!L4:L73)</f>
        <v>78.333333333333329</v>
      </c>
      <c r="M86" s="742">
        <f>AVERAGEIF(_BEV_Pers!$F$4:$F$73,"A",_BEV_Pers!M4:M73)</f>
        <v>190.44444444444446</v>
      </c>
      <c r="N86" s="742">
        <f>AVERAGEIF(_BEV_Pers!$F$4:$F$73,"A",_BEV_Pers!N4:N73)</f>
        <v>130</v>
      </c>
      <c r="O86" s="742" t="e">
        <f>AVERAGEIF(_BEV_Pers!$F$4:$F$73,"A",_BEV_Pers!O4:O73)</f>
        <v>#DIV/0!</v>
      </c>
      <c r="P86" s="742" t="e">
        <f>AVERAGEIF(_BEV_Pers!$F$4:$F$73,"A",_BEV_Pers!P4:P73)</f>
        <v>#DIV/0!</v>
      </c>
      <c r="Q86" s="742" t="e">
        <f>AVERAGEIF(_BEV_Pers!$F$4:$F$73,"A",_BEV_Pers!Q4:Q73)</f>
        <v>#DIV/0!</v>
      </c>
      <c r="R86" s="742" t="e">
        <f>AVERAGEIF(_BEV_Pers!$F$4:$F$73,"A",_BEV_Pers!R4:R73)</f>
        <v>#DIV/0!</v>
      </c>
      <c r="S86" s="742">
        <f>AVERAGEIF(_BEV_Pers!$F$4:$F$73,"A",_BEV_Pers!S4:S73)</f>
        <v>22.655555555555551</v>
      </c>
      <c r="T86" s="742">
        <f>AVERAGEIF(_BEV_Pers!$F$4:$F$73,"A",_BEV_Pers!T4:T73)</f>
        <v>22.833333333333329</v>
      </c>
      <c r="U86" s="742" t="e">
        <f>AVERAGEIF(_BEV_Pers!$F$4:$F$73,"A",_BEV_Pers!U4:U73)</f>
        <v>#DIV/0!</v>
      </c>
      <c r="V86" s="742" t="e">
        <f>AVERAGEIF(_BEV_Pers!$F$4:$F$73,"A",_BEV_Pers!V4:V73)</f>
        <v>#DIV/0!</v>
      </c>
      <c r="W86" s="742">
        <f>AVERAGEIF(_BEV_Pers!$F$4:$F$73,"A",_BEV_Pers!W4:W73)</f>
        <v>155.83333333333334</v>
      </c>
      <c r="X86" s="742">
        <f>AVERAGEIF(_BEV_Pers!$F$4:$F$73,"A",_BEV_Pers!X4:X73)</f>
        <v>229.5</v>
      </c>
      <c r="Y86" s="742">
        <f>AVERAGEIF(_BEV_Pers!$F$4:$F$73,"A",_BEV_Pers!Y4:Y73)</f>
        <v>137.77777777777777</v>
      </c>
      <c r="Z86" s="742">
        <f>AVERAGEIF(_BEV_Pers!$F$4:$F$73,"A",_BEV_Pers!Z4:Z73)</f>
        <v>11.062612007168459</v>
      </c>
      <c r="AA86" s="742">
        <f>AVERAGEIF(_BEV_Pers!$F$4:$F$73,"A",_BEV_Pers!AA4:AA73)</f>
        <v>13.494707710210225</v>
      </c>
      <c r="AB86" s="742"/>
      <c r="AC86" s="742">
        <f>AVERAGEIF(_BEV_Pers!$F$4:$F$73,"A",_BEV_Pers!AC4:AC73)</f>
        <v>16.833333333333332</v>
      </c>
      <c r="AD86" s="742">
        <f>AVERAGEIF(_BEV_Pers!$F$4:$F$73,"A",_BEV_Pers!AD4:AD73)</f>
        <v>1.8666666666666667</v>
      </c>
      <c r="AE86" s="742">
        <f>AVERAGEIF(_BEV_Pers!$F$4:$F$73,"A",_BEV_Pers!AE4:AE73)</f>
        <v>9.033333333333335</v>
      </c>
      <c r="AF86" s="742" t="e">
        <f>AVERAGEIF(_BEV_Pers!$F$4:$F$73,"A",_BEV_Pers!AF4:AF73)</f>
        <v>#DIV/0!</v>
      </c>
      <c r="AG86" s="742">
        <f>AVERAGEIF(_BEV_Pers!$F$4:$F$73,"A",_BEV_Pers!AG4:AG73)</f>
        <v>41.666666666666664</v>
      </c>
      <c r="AH86" s="742" t="e">
        <f>AVERAGEIF(_BEV_Pers!$F$4:$F$73,"A",_BEV_Pers!AH4:AH73)</f>
        <v>#DIV/0!</v>
      </c>
      <c r="AI86" s="742" t="e">
        <f>AVERAGEIF(_BEV_Pers!$F$4:$F$73,"A",_BEV_Pers!AI4:AI73)</f>
        <v>#DIV/0!</v>
      </c>
      <c r="AJ86" s="742">
        <f>AVERAGEIF(_BEV_Pers!$F$4:$F$73,"A",_BEV_Pers!AJ4:AJ73)</f>
        <v>176.39058188623409</v>
      </c>
      <c r="AK86" s="742">
        <f>AVERAGEIF(_BEV_Pers!$F$4:$F$73,"A",_BEV_Pers!AK4:AK73)</f>
        <v>29.471999999999994</v>
      </c>
      <c r="AL86" s="707">
        <f>AVERAGEIF(_BEV_Pers!$F$4:$F$73,"A",_BEV_Pers!AL4:AL73)</f>
        <v>23422.222222222223</v>
      </c>
      <c r="AM86" s="707">
        <f>AVERAGEIF(_BEV_Pers!$F$4:$F$73,"A",_BEV_Pers!AM4:AM73)</f>
        <v>0</v>
      </c>
      <c r="AN86" s="707">
        <f>AVERAGEIF(_BEV_Pers!$F$4:$F$73,"A",_BEV_Pers!AN4:AN73)</f>
        <v>4065.0137741046833</v>
      </c>
      <c r="AO86" s="707">
        <f>AVERAGEIF(_BEV_Pers!$F$4:$F$73,"A",_BEV_Pers!AO4:AO73)</f>
        <v>19357.208448117541</v>
      </c>
    </row>
    <row r="87" spans="2:41">
      <c r="B87" s="652" t="s">
        <v>1070</v>
      </c>
      <c r="D87" s="616">
        <f>AVERAGE(AB19,AB21,AB22)</f>
        <v>1.2307067478944038</v>
      </c>
      <c r="E87" s="616"/>
      <c r="G87" s="742">
        <f>AVERAGEIF(_BEV_Pers!$F$4:$F$73,"B",_BEV_Pers!G4:G73)</f>
        <v>4.7</v>
      </c>
      <c r="H87" s="742">
        <f>AVERAGEIF(_BEV_Pers!$F$4:$F$73,"B",_BEV_Pers!H4:H73)</f>
        <v>1431.9</v>
      </c>
      <c r="I87" s="742">
        <f>AVERAGEIF(_BEV_Pers!$F$4:$F$73,"B",_BEV_Pers!I4:I73)</f>
        <v>330.7</v>
      </c>
      <c r="J87" s="742">
        <f>AVERAGEIF(_BEV_Pers!$F$4:$F$73,"B",_BEV_Pers!J4:J73)</f>
        <v>1130.5</v>
      </c>
      <c r="K87" s="742">
        <f>AVERAGEIF(_BEV_Pers!$F$4:$F$73,"B",_BEV_Pers!K4:K73)</f>
        <v>104.3</v>
      </c>
      <c r="L87" s="742">
        <f>AVERAGEIF(_BEV_Pers!$F$4:$F$73,"B",_BEV_Pers!L4:L73)</f>
        <v>141.9</v>
      </c>
      <c r="M87" s="742">
        <f>AVERAGEIF(_BEV_Pers!$F$4:$F$73,"B",_BEV_Pers!M4:M73)</f>
        <v>252</v>
      </c>
      <c r="N87" s="742">
        <f>AVERAGEIF(_BEV_Pers!$F$4:$F$73,"B",_BEV_Pers!N4:N73)</f>
        <v>144.5</v>
      </c>
      <c r="O87" s="742" t="e">
        <f>AVERAGEIF(_BEV_Pers!$F$4:$F$73,"B",_BEV_Pers!O4:O73)</f>
        <v>#DIV/0!</v>
      </c>
      <c r="P87" s="742" t="e">
        <f>AVERAGEIF(_BEV_Pers!$F$4:$F$73,"B",_BEV_Pers!P4:P73)</f>
        <v>#DIV/0!</v>
      </c>
      <c r="Q87" s="742" t="e">
        <f>AVERAGEIF(_BEV_Pers!$F$4:$F$73,"B",_BEV_Pers!Q4:Q73)</f>
        <v>#DIV/0!</v>
      </c>
      <c r="R87" s="742">
        <f>AVERAGEIF(_BEV_Pers!$F$4:$F$73,"B",_BEV_Pers!R4:R73)</f>
        <v>750</v>
      </c>
      <c r="S87" s="742">
        <f>AVERAGEIF(_BEV_Pers!$F$4:$F$73,"B",_BEV_Pers!S4:S73)</f>
        <v>45.019999999999996</v>
      </c>
      <c r="T87" s="742">
        <f>AVERAGEIF(_BEV_Pers!$F$4:$F$73,"B",_BEV_Pers!T4:T73)</f>
        <v>42.069999999999993</v>
      </c>
      <c r="U87" s="742" t="e">
        <f>AVERAGEIF(_BEV_Pers!$F$4:$F$73,"B",_BEV_Pers!U4:U73)</f>
        <v>#DIV/0!</v>
      </c>
      <c r="V87" s="742" t="e">
        <f>AVERAGEIF(_BEV_Pers!$F$4:$F$73,"B",_BEV_Pers!V4:V73)</f>
        <v>#DIV/0!</v>
      </c>
      <c r="W87" s="742">
        <f>AVERAGEIF(_BEV_Pers!$F$4:$F$73,"B",_BEV_Pers!W4:W73)</f>
        <v>367.75</v>
      </c>
      <c r="X87" s="742">
        <f>AVERAGEIF(_BEV_Pers!$F$4:$F$73,"B",_BEV_Pers!X4:X73)</f>
        <v>314.66666666666669</v>
      </c>
      <c r="Y87" s="742">
        <f>AVERAGEIF(_BEV_Pers!$F$4:$F$73,"B",_BEV_Pers!Y4:Y73)</f>
        <v>263</v>
      </c>
      <c r="Z87" s="742">
        <f>AVERAGEIF(_BEV_Pers!$F$4:$F$73,"B",_BEV_Pers!Z4:Z73)</f>
        <v>12.252385436295732</v>
      </c>
      <c r="AA87" s="742">
        <f>AVERAGEIF(_BEV_Pers!$F$4:$F$73,"B",_BEV_Pers!AA4:AA73)</f>
        <v>14.652316465265002</v>
      </c>
      <c r="AB87" s="742"/>
      <c r="AC87" s="742">
        <f>AVERAGEIF(_BEV_Pers!$F$4:$F$73,"B",_BEV_Pers!AC4:AC73)</f>
        <v>16.02</v>
      </c>
      <c r="AD87" s="742">
        <f>AVERAGEIF(_BEV_Pers!$F$4:$F$73,"B",_BEV_Pers!AD4:AD73)</f>
        <v>1.8</v>
      </c>
      <c r="AE87" s="742">
        <f>AVERAGEIF(_BEV_Pers!$F$4:$F$73,"B",_BEV_Pers!AE4:AE73)</f>
        <v>15.4</v>
      </c>
      <c r="AF87" s="742" t="e">
        <f>AVERAGEIF(_BEV_Pers!$F$4:$F$73,"B",_BEV_Pers!AF4:AF73)</f>
        <v>#DIV/0!</v>
      </c>
      <c r="AG87" s="742">
        <f>AVERAGEIF(_BEV_Pers!$F$4:$F$73,"B",_BEV_Pers!AG4:AG73)</f>
        <v>62.5</v>
      </c>
      <c r="AH87" s="742" t="e">
        <f>AVERAGEIF(_BEV_Pers!$F$4:$F$73,"B",_BEV_Pers!AH4:AH73)</f>
        <v>#DIV/0!</v>
      </c>
      <c r="AI87" s="742" t="e">
        <f>AVERAGEIF(_BEV_Pers!$F$4:$F$73,"B",_BEV_Pers!AI4:AI73)</f>
        <v>#DIV/0!</v>
      </c>
      <c r="AJ87" s="742">
        <f>AVERAGEIF(_BEV_Pers!$F$4:$F$73,"B",_BEV_Pers!AJ4:AJ73)</f>
        <v>153.20727272727274</v>
      </c>
      <c r="AK87" s="742">
        <f>AVERAGEIF(_BEV_Pers!$F$4:$F$73,"B",_BEV_Pers!AK4:AK73)</f>
        <v>37.44</v>
      </c>
      <c r="AL87" s="707">
        <f>AVERAGEIF(_BEV_Pers!$F$4:$F$73,"B",_BEV_Pers!AL4:AL73)</f>
        <v>35681.599999999999</v>
      </c>
      <c r="AM87" s="707">
        <f>AVERAGEIF(_BEV_Pers!$F$4:$F$73,"B",_BEV_Pers!AM4:AM73)</f>
        <v>0</v>
      </c>
      <c r="AN87" s="707">
        <f>AVERAGEIF(_BEV_Pers!$F$4:$F$73,"B",_BEV_Pers!AN4:AN73)</f>
        <v>6192.6743801652901</v>
      </c>
      <c r="AO87" s="707">
        <f>AVERAGEIF(_BEV_Pers!$F$4:$F$73,"B",_BEV_Pers!AO4:AO73)</f>
        <v>29488.925619834714</v>
      </c>
    </row>
    <row r="88" spans="2:41">
      <c r="B88" s="652" t="s">
        <v>1071</v>
      </c>
      <c r="D88" s="616">
        <f>AVERAGE(AB30,AB32)</f>
        <v>1.3363844393592679</v>
      </c>
      <c r="E88" s="616"/>
      <c r="G88" s="742">
        <f>AVERAGEIF(_BEV_Pers!$F$4:$F$73,"C",_BEV_Pers!G4:G73)</f>
        <v>4.6363636363636367</v>
      </c>
      <c r="H88" s="742">
        <f>AVERAGEIF(_BEV_Pers!$F$4:$F$73,"C",_BEV_Pers!H4:H73)</f>
        <v>1557.4545454545455</v>
      </c>
      <c r="I88" s="742">
        <f>AVERAGEIF(_BEV_Pers!$F$4:$F$73,"C",_BEV_Pers!I4:I73)</f>
        <v>377.83333333333331</v>
      </c>
      <c r="J88" s="742">
        <f>AVERAGEIF(_BEV_Pers!$F$4:$F$73,"C",_BEV_Pers!J4:J73)</f>
        <v>1184.6666666666667</v>
      </c>
      <c r="K88" s="742">
        <f>AVERAGEIF(_BEV_Pers!$F$4:$F$73,"C",_BEV_Pers!K4:K73)</f>
        <v>137.09090909090909</v>
      </c>
      <c r="L88" s="742">
        <f>AVERAGEIF(_BEV_Pers!$F$4:$F$73,"C",_BEV_Pers!L4:L73)</f>
        <v>186.54545454545453</v>
      </c>
      <c r="M88" s="742">
        <f>AVERAGEIF(_BEV_Pers!$F$4:$F$73,"C",_BEV_Pers!M4:M73)</f>
        <v>347.72727272727275</v>
      </c>
      <c r="N88" s="742">
        <f>AVERAGEIF(_BEV_Pers!$F$4:$F$73,"C",_BEV_Pers!N4:N73)</f>
        <v>168.27272727272728</v>
      </c>
      <c r="O88" s="742" t="e">
        <f>AVERAGEIF(_BEV_Pers!$F$4:$F$73,"C",_BEV_Pers!O4:O73)</f>
        <v>#DIV/0!</v>
      </c>
      <c r="P88" s="742" t="e">
        <f>AVERAGEIF(_BEV_Pers!$F$4:$F$73,"C",_BEV_Pers!P4:P73)</f>
        <v>#DIV/0!</v>
      </c>
      <c r="Q88" s="742" t="e">
        <f>AVERAGEIF(_BEV_Pers!$F$4:$F$73,"C",_BEV_Pers!Q4:Q73)</f>
        <v>#DIV/0!</v>
      </c>
      <c r="R88" s="742" t="e">
        <f>AVERAGEIF(_BEV_Pers!$F$4:$F$73,"C",_BEV_Pers!R4:R73)</f>
        <v>#DIV/0!</v>
      </c>
      <c r="S88" s="742">
        <f>AVERAGEIF(_BEV_Pers!$F$4:$F$73,"C",_BEV_Pers!S4:S73)</f>
        <v>52.781818181818181</v>
      </c>
      <c r="T88" s="742">
        <f>AVERAGEIF(_BEV_Pers!$F$4:$F$73,"C",_BEV_Pers!T4:T73)</f>
        <v>50.209090909090904</v>
      </c>
      <c r="U88" s="742" t="e">
        <f>AVERAGEIF(_BEV_Pers!$F$4:$F$73,"C",_BEV_Pers!U4:U73)</f>
        <v>#DIV/0!</v>
      </c>
      <c r="V88" s="742" t="e">
        <f>AVERAGEIF(_BEV_Pers!$F$4:$F$73,"C",_BEV_Pers!V4:V73)</f>
        <v>#DIV/0!</v>
      </c>
      <c r="W88" s="742">
        <f>AVERAGEIF(_BEV_Pers!$F$4:$F$73,"C",_BEV_Pers!W4:W73)</f>
        <v>362.5</v>
      </c>
      <c r="X88" s="742">
        <f>AVERAGEIF(_BEV_Pers!$F$4:$F$73,"C",_BEV_Pers!X4:X73)</f>
        <v>367.9</v>
      </c>
      <c r="Y88" s="742">
        <f>AVERAGEIF(_BEV_Pers!$F$4:$F$73,"C",_BEV_Pers!Y4:Y73)</f>
        <v>312.72727272727275</v>
      </c>
      <c r="Z88" s="742">
        <f>AVERAGEIF(_BEV_Pers!$F$4:$F$73,"C",_BEV_Pers!Z4:Z73)</f>
        <v>11.44830586080586</v>
      </c>
      <c r="AA88" s="742">
        <f>AVERAGEIF(_BEV_Pers!$F$4:$F$73,"C",_BEV_Pers!AA4:AA73)</f>
        <v>14.82101946556357</v>
      </c>
      <c r="AB88" s="742"/>
      <c r="AC88" s="742">
        <f>AVERAGEIF(_BEV_Pers!$F$4:$F$73,"C",_BEV_Pers!AC4:AC73)</f>
        <v>15.981818181818182</v>
      </c>
      <c r="AD88" s="742">
        <f>AVERAGEIF(_BEV_Pers!$F$4:$F$73,"C",_BEV_Pers!AD4:AD73)</f>
        <v>1.8</v>
      </c>
      <c r="AE88" s="742">
        <f>AVERAGEIF(_BEV_Pers!$F$4:$F$73,"C",_BEV_Pers!AE4:AE73)</f>
        <v>8.5090909090909097</v>
      </c>
      <c r="AF88" s="742" t="e">
        <f>AVERAGEIF(_BEV_Pers!$F$4:$F$73,"C",_BEV_Pers!AF4:AF73)</f>
        <v>#DIV/0!</v>
      </c>
      <c r="AG88" s="742">
        <f>AVERAGEIF(_BEV_Pers!$F$4:$F$73,"C",_BEV_Pers!AG4:AG73)</f>
        <v>85</v>
      </c>
      <c r="AH88" s="742" t="e">
        <f>AVERAGEIF(_BEV_Pers!$F$4:$F$73,"C",_BEV_Pers!AH4:AH73)</f>
        <v>#DIV/0!</v>
      </c>
      <c r="AI88" s="742" t="e">
        <f>AVERAGEIF(_BEV_Pers!$F$4:$F$73,"C",_BEV_Pers!AI4:AI73)</f>
        <v>#DIV/0!</v>
      </c>
      <c r="AJ88" s="742">
        <f>AVERAGEIF(_BEV_Pers!$F$4:$F$73,"C",_BEV_Pers!AJ4:AJ73)</f>
        <v>314.4937830392376</v>
      </c>
      <c r="AK88" s="742">
        <f>AVERAGEIF(_BEV_Pers!$F$4:$F$73,"C",_BEV_Pers!AK4:AK73)</f>
        <v>31.896935064935068</v>
      </c>
      <c r="AL88" s="707">
        <f>AVERAGEIF(_BEV_Pers!$F$4:$F$73,"C",_BEV_Pers!AL4:AL73)</f>
        <v>39532.63636363636</v>
      </c>
      <c r="AM88" s="707">
        <f>AVERAGEIF(_BEV_Pers!$F$4:$F$73,"C",_BEV_Pers!AM4:AM73)</f>
        <v>0</v>
      </c>
      <c r="AN88" s="707">
        <f>AVERAGEIF(_BEV_Pers!$F$4:$F$73,"C",_BEV_Pers!AN4:AN73)</f>
        <v>6861.036063110444</v>
      </c>
      <c r="AO88" s="707">
        <f>AVERAGEIF(_BEV_Pers!$F$4:$F$73,"C",_BEV_Pers!AO4:AO73)</f>
        <v>32671.600300525923</v>
      </c>
    </row>
    <row r="89" spans="2:41">
      <c r="B89" s="652" t="s">
        <v>1072</v>
      </c>
      <c r="G89" s="742">
        <f>AVERAGEIF(_BEV_Pers!$F$4:$F$73,"D",_BEV_Pers!G4:G73)</f>
        <v>5</v>
      </c>
      <c r="H89" s="742">
        <f>AVERAGEIF(_BEV_Pers!$F$4:$F$73,"D",_BEV_Pers!H4:H73)</f>
        <v>1763.2</v>
      </c>
      <c r="I89" s="742">
        <f>AVERAGEIF(_BEV_Pers!$F$4:$F$73,"D",_BEV_Pers!I4:I73)</f>
        <v>530.20000000000005</v>
      </c>
      <c r="J89" s="742" t="e">
        <f>AVERAGEIF(_BEV_Pers!$F$4:$F$73,"D",_BEV_Pers!J4:J73)</f>
        <v>#DIV/0!</v>
      </c>
      <c r="K89" s="742">
        <f>AVERAGEIF(_BEV_Pers!$F$4:$F$73,"D",_BEV_Pers!K4:K73)</f>
        <v>244.6</v>
      </c>
      <c r="L89" s="742">
        <f>AVERAGEIF(_BEV_Pers!$F$4:$F$73,"D",_BEV_Pers!L4:L73)</f>
        <v>332.6</v>
      </c>
      <c r="M89" s="742">
        <f>AVERAGEIF(_BEV_Pers!$F$4:$F$73,"D",_BEV_Pers!M4:M73)</f>
        <v>510.2</v>
      </c>
      <c r="N89" s="742">
        <f>AVERAGEIF(_BEV_Pers!$F$4:$F$73,"D",_BEV_Pers!N4:N73)</f>
        <v>235.8</v>
      </c>
      <c r="O89" s="742" t="e">
        <f>AVERAGEIF(_BEV_Pers!$F$4:$F$73,"D",_BEV_Pers!O4:O73)</f>
        <v>#DIV/0!</v>
      </c>
      <c r="P89" s="742" t="e">
        <f>AVERAGEIF(_BEV_Pers!$F$4:$F$73,"D",_BEV_Pers!P4:P73)</f>
        <v>#DIV/0!</v>
      </c>
      <c r="Q89" s="742">
        <f>AVERAGEIF(_BEV_Pers!$F$4:$F$73,"D",_BEV_Pers!Q4:Q73)</f>
        <v>750</v>
      </c>
      <c r="R89" s="742">
        <f>AVERAGEIF(_BEV_Pers!$F$4:$F$73,"D",_BEV_Pers!R4:R73)</f>
        <v>910</v>
      </c>
      <c r="S89" s="742">
        <f>AVERAGEIF(_BEV_Pers!$F$4:$F$73,"D",_BEV_Pers!S4:S73)</f>
        <v>67.599999999999994</v>
      </c>
      <c r="T89" s="742">
        <f>AVERAGEIF(_BEV_Pers!$F$4:$F$73,"D",_BEV_Pers!T4:T73)</f>
        <v>63.8</v>
      </c>
      <c r="U89" s="742" t="e">
        <f>AVERAGEIF(_BEV_Pers!$F$4:$F$73,"D",_BEV_Pers!U4:U73)</f>
        <v>#DIV/0!</v>
      </c>
      <c r="V89" s="742" t="e">
        <f>AVERAGEIF(_BEV_Pers!$F$4:$F$73,"D",_BEV_Pers!V4:V73)</f>
        <v>#DIV/0!</v>
      </c>
      <c r="W89" s="742" t="e">
        <f>AVERAGEIF(_BEV_Pers!$F$4:$F$73,"D",_BEV_Pers!W4:W73)</f>
        <v>#DIV/0!</v>
      </c>
      <c r="X89" s="742">
        <f>AVERAGEIF(_BEV_Pers!$F$4:$F$73,"D",_BEV_Pers!X4:X73)</f>
        <v>476.6764705882353</v>
      </c>
      <c r="Y89" s="742">
        <f>AVERAGEIF(_BEV_Pers!$F$4:$F$73,"D",_BEV_Pers!Y4:Y73)</f>
        <v>405</v>
      </c>
      <c r="Z89" s="742" t="e">
        <f>AVERAGEIF(_BEV_Pers!$F$4:$F$73,"D",_BEV_Pers!Z4:Z73)</f>
        <v>#DIV/0!</v>
      </c>
      <c r="AA89" s="742">
        <f>AVERAGEIF(_BEV_Pers!$F$4:$F$73,"D",_BEV_Pers!AA4:AA73)</f>
        <v>14.186474837704003</v>
      </c>
      <c r="AB89" s="742"/>
      <c r="AC89" s="742">
        <f>AVERAGEIF(_BEV_Pers!$F$4:$F$73,"D",_BEV_Pers!AC4:AC73)</f>
        <v>15.680000000000001</v>
      </c>
      <c r="AD89" s="742">
        <f>AVERAGEIF(_BEV_Pers!$F$4:$F$73,"D",_BEV_Pers!AD4:AD73)</f>
        <v>1.78</v>
      </c>
      <c r="AE89" s="742">
        <f>AVERAGEIF(_BEV_Pers!$F$4:$F$73,"D",_BEV_Pers!AE4:AE73)</f>
        <v>11</v>
      </c>
      <c r="AF89" s="742" t="e">
        <f>AVERAGEIF(_BEV_Pers!$F$4:$F$73,"D",_BEV_Pers!AF4:AF73)</f>
        <v>#DIV/0!</v>
      </c>
      <c r="AG89" s="742">
        <f>AVERAGEIF(_BEV_Pers!$F$4:$F$73,"D",_BEV_Pers!AG4:AG73)</f>
        <v>170</v>
      </c>
      <c r="AH89" s="742" t="e">
        <f>AVERAGEIF(_BEV_Pers!$F$4:$F$73,"D",_BEV_Pers!AH4:AH73)</f>
        <v>#DIV/0!</v>
      </c>
      <c r="AI89" s="742" t="e">
        <f>AVERAGEIF(_BEV_Pers!$F$4:$F$73,"D",_BEV_Pers!AI4:AI73)</f>
        <v>#DIV/0!</v>
      </c>
      <c r="AJ89" s="742">
        <f>AVERAGEIF(_BEV_Pers!$F$4:$F$73,"D",_BEV_Pers!AJ4:AJ73)</f>
        <v>294.98181818181814</v>
      </c>
      <c r="AK89" s="742">
        <f>AVERAGEIF(_BEV_Pers!$F$4:$F$73,"D",_BEV_Pers!AK4:AK73)</f>
        <v>21.312000000000001</v>
      </c>
      <c r="AL89" s="707">
        <f>AVERAGEIF(_BEV_Pers!$F$4:$F$73,"D",_BEV_Pers!AL4:AL73)</f>
        <v>55560</v>
      </c>
      <c r="AM89" s="707">
        <f>AVERAGEIF(_BEV_Pers!$F$4:$F$73,"D",_BEV_Pers!AM4:AM73)</f>
        <v>0</v>
      </c>
      <c r="AN89" s="707">
        <f>AVERAGEIF(_BEV_Pers!$F$4:$F$73,"D",_BEV_Pers!AN4:AN73)</f>
        <v>9642.6446280991713</v>
      </c>
      <c r="AO89" s="707">
        <f>AVERAGEIF(_BEV_Pers!$F$4:$F$73,"D",_BEV_Pers!AO4:AO73)</f>
        <v>45917.355371900827</v>
      </c>
    </row>
    <row r="90" spans="2:41">
      <c r="B90" s="652" t="s">
        <v>1073</v>
      </c>
      <c r="G90" s="742">
        <f>AVERAGEIF(_BEV_Pers!$F$4:$F$73,"E",_BEV_Pers!G4:G73)</f>
        <v>5</v>
      </c>
      <c r="H90" s="742">
        <f>AVERAGEIF(_BEV_Pers!$F$4:$F$73,"E",_BEV_Pers!H4:H73)</f>
        <v>2228</v>
      </c>
      <c r="I90" s="742">
        <f>AVERAGEIF(_BEV_Pers!$F$4:$F$73,"E",_BEV_Pers!I4:I73)</f>
        <v>894</v>
      </c>
      <c r="J90" s="742">
        <f>AVERAGEIF(_BEV_Pers!$F$4:$F$73,"E",_BEV_Pers!J4:J73)</f>
        <v>1645</v>
      </c>
      <c r="K90" s="742">
        <f>AVERAGEIF(_BEV_Pers!$F$4:$F$73,"E",_BEV_Pers!K4:K73)</f>
        <v>400.5</v>
      </c>
      <c r="L90" s="742">
        <f>AVERAGEIF(_BEV_Pers!$F$4:$F$73,"E",_BEV_Pers!L4:L73)</f>
        <v>544.5</v>
      </c>
      <c r="M90" s="742">
        <f>AVERAGEIF(_BEV_Pers!$F$4:$F$73,"E",_BEV_Pers!M4:M73)</f>
        <v>840.5</v>
      </c>
      <c r="N90" s="742">
        <f>AVERAGEIF(_BEV_Pers!$F$4:$F$73,"E",_BEV_Pers!N4:N73)</f>
        <v>250</v>
      </c>
      <c r="O90" s="742" t="e">
        <f>AVERAGEIF(_BEV_Pers!$F$4:$F$73,"E",_BEV_Pers!O4:O73)</f>
        <v>#DIV/0!</v>
      </c>
      <c r="P90" s="742" t="e">
        <f>AVERAGEIF(_BEV_Pers!$F$4:$F$73,"E",_BEV_Pers!P4:P73)</f>
        <v>#DIV/0!</v>
      </c>
      <c r="Q90" s="742" t="e">
        <f>AVERAGEIF(_BEV_Pers!$F$4:$F$73,"E",_BEV_Pers!Q4:Q73)</f>
        <v>#DIV/0!</v>
      </c>
      <c r="R90" s="742" t="e">
        <f>AVERAGEIF(_BEV_Pers!$F$4:$F$73,"E",_BEV_Pers!R4:R73)</f>
        <v>#DIV/0!</v>
      </c>
      <c r="S90" s="742">
        <f>AVERAGEIF(_BEV_Pers!$F$4:$F$73,"E",_BEV_Pers!S4:S73)</f>
        <v>100</v>
      </c>
      <c r="T90" s="742">
        <f>AVERAGEIF(_BEV_Pers!$F$4:$F$73,"E",_BEV_Pers!T4:T73)</f>
        <v>95</v>
      </c>
      <c r="U90" s="742" t="e">
        <f>AVERAGEIF(_BEV_Pers!$F$4:$F$73,"E",_BEV_Pers!U4:U73)</f>
        <v>#DIV/0!</v>
      </c>
      <c r="V90" s="742" t="e">
        <f>AVERAGEIF(_BEV_Pers!$F$4:$F$73,"E",_BEV_Pers!V4:V73)</f>
        <v>#DIV/0!</v>
      </c>
      <c r="W90" s="742" t="e">
        <f>AVERAGEIF(_BEV_Pers!$F$4:$F$73,"E",_BEV_Pers!W4:W73)</f>
        <v>#DIV/0!</v>
      </c>
      <c r="X90" s="742">
        <f>AVERAGEIF(_BEV_Pers!$F$4:$F$73,"E",_BEV_Pers!X4:X73)</f>
        <v>600</v>
      </c>
      <c r="Y90" s="742">
        <f>AVERAGEIF(_BEV_Pers!$F$4:$F$73,"E",_BEV_Pers!Y4:Y73)</f>
        <v>517.5</v>
      </c>
      <c r="Z90" s="742" t="e">
        <f>AVERAGEIF(_BEV_Pers!$F$4:$F$73,"E",_BEV_Pers!Z4:Z73)</f>
        <v>#DIV/0!</v>
      </c>
      <c r="AA90" s="742">
        <f>AVERAGEIF(_BEV_Pers!$F$4:$F$73,"E",_BEV_Pers!AA4:AA73)</f>
        <v>16.67129758266185</v>
      </c>
      <c r="AB90" s="742"/>
      <c r="AC90" s="742">
        <f>AVERAGEIF(_BEV_Pers!$F$4:$F$73,"E",_BEV_Pers!AC4:AC73)</f>
        <v>18.899999999999999</v>
      </c>
      <c r="AD90" s="742">
        <f>AVERAGEIF(_BEV_Pers!$F$4:$F$73,"E",_BEV_Pers!AD4:AD73)</f>
        <v>2.0499999999999998</v>
      </c>
      <c r="AE90" s="742">
        <f>AVERAGEIF(_BEV_Pers!$F$4:$F$73,"E",_BEV_Pers!AE4:AE73)</f>
        <v>16.5</v>
      </c>
      <c r="AF90" s="742" t="e">
        <f>AVERAGEIF(_BEV_Pers!$F$4:$F$73,"E",_BEV_Pers!AF4:AF73)</f>
        <v>#DIV/0!</v>
      </c>
      <c r="AG90" s="742">
        <f>AVERAGEIF(_BEV_Pers!$F$4:$F$73,"E",_BEV_Pers!AG4:AG73)</f>
        <v>145</v>
      </c>
      <c r="AH90" s="742" t="e">
        <f>AVERAGEIF(_BEV_Pers!$F$4:$F$73,"E",_BEV_Pers!AH4:AH73)</f>
        <v>#DIV/0!</v>
      </c>
      <c r="AI90" s="742" t="e">
        <f>AVERAGEIF(_BEV_Pers!$F$4:$F$73,"E",_BEV_Pers!AI4:AI73)</f>
        <v>#DIV/0!</v>
      </c>
      <c r="AJ90" s="742">
        <f>AVERAGEIF(_BEV_Pers!$F$4:$F$73,"E",_BEV_Pers!AJ4:AJ73)</f>
        <v>290.90909090909093</v>
      </c>
      <c r="AK90" s="742">
        <f>AVERAGEIF(_BEV_Pers!$F$4:$F$73,"E",_BEV_Pers!AK4:AK73)</f>
        <v>33.103448275862071</v>
      </c>
      <c r="AL90" s="707">
        <f>AVERAGEIF(_BEV_Pers!$F$4:$F$73,"E",_BEV_Pers!AL4:AL73)</f>
        <v>96998</v>
      </c>
      <c r="AM90" s="707">
        <f>AVERAGEIF(_BEV_Pers!$F$4:$F$73,"E",_BEV_Pers!AM4:AM73)</f>
        <v>0</v>
      </c>
      <c r="AN90" s="707">
        <f>AVERAGEIF(_BEV_Pers!$F$4:$F$73,"E",_BEV_Pers!AN4:AN73)</f>
        <v>16834.363636363636</v>
      </c>
      <c r="AO90" s="707">
        <f>AVERAGEIF(_BEV_Pers!$F$4:$F$73,"E",_BEV_Pers!AO4:AO73)</f>
        <v>80163.636363636368</v>
      </c>
    </row>
    <row r="91" spans="2:41">
      <c r="B91" s="1120" t="s">
        <v>1241</v>
      </c>
      <c r="G91" s="742">
        <f>AVERAGEIF(_BEV_Pers!$F$4:$F$73,"E",_BEV_Pers!G4:G73)</f>
        <v>5</v>
      </c>
      <c r="H91" s="742">
        <f>AVERAGEIF(_BEV_Pers!$F$4:$F$73,"E",_BEV_Pers!H4:H73)</f>
        <v>2228</v>
      </c>
      <c r="I91" s="742">
        <f>AVERAGEIF(_BEV_Pers!$F$4:$F$73,"E",_BEV_Pers!I4:I73)</f>
        <v>894</v>
      </c>
      <c r="J91" s="742">
        <f>AVERAGEIF(_BEV_Pers!$F$4:$F$73,"E",_BEV_Pers!J4:J73)</f>
        <v>1645</v>
      </c>
      <c r="K91" s="742">
        <f>AVERAGEIF(_BEV_Pers!$F$4:$F$73,"E",_BEV_Pers!K4:K73)</f>
        <v>400.5</v>
      </c>
      <c r="L91" s="742">
        <f>AVERAGEIF(_BEV_Pers!$F$4:$F$73,"E",_BEV_Pers!L4:L73)</f>
        <v>544.5</v>
      </c>
      <c r="M91" s="742">
        <f>AVERAGEIF(_BEV_Pers!$F$4:$F$73,"E",_BEV_Pers!M4:M73)</f>
        <v>840.5</v>
      </c>
      <c r="N91" s="742">
        <f>AVERAGEIF(_BEV_Pers!$F$4:$F$73,"E",_BEV_Pers!N4:N73)</f>
        <v>250</v>
      </c>
      <c r="O91" s="742" t="e">
        <f>AVERAGEIF(_BEV_Pers!$F$4:$F$73,"E",_BEV_Pers!O4:O73)</f>
        <v>#DIV/0!</v>
      </c>
      <c r="P91" s="742" t="e">
        <f>AVERAGEIF(_BEV_Pers!$F$4:$F$73,"E",_BEV_Pers!P4:P73)</f>
        <v>#DIV/0!</v>
      </c>
      <c r="Q91" s="742" t="e">
        <f>AVERAGEIF(_BEV_Pers!$F$4:$F$73,"E",_BEV_Pers!Q4:Q73)</f>
        <v>#DIV/0!</v>
      </c>
      <c r="R91" s="742" t="e">
        <f>AVERAGEIF(_BEV_Pers!$F$4:$F$73,"E",_BEV_Pers!R4:R73)</f>
        <v>#DIV/0!</v>
      </c>
      <c r="S91" s="742">
        <f>AVERAGEIF(_BEV_Pers!$F$4:$F$73,"E",_BEV_Pers!S4:S73)</f>
        <v>100</v>
      </c>
      <c r="T91" s="742">
        <f>AVERAGEIF(_BEV_Pers!$F$4:$F$73,"E",_BEV_Pers!T4:T73)</f>
        <v>95</v>
      </c>
      <c r="U91" s="742" t="e">
        <f>AVERAGEIF(_BEV_Pers!$F$4:$F$73,"E",_BEV_Pers!U4:U73)</f>
        <v>#DIV/0!</v>
      </c>
      <c r="V91" s="742" t="e">
        <f>AVERAGEIF(_BEV_Pers!$F$4:$F$73,"E",_BEV_Pers!V4:V73)</f>
        <v>#DIV/0!</v>
      </c>
      <c r="W91" s="742" t="e">
        <f>AVERAGEIF(_BEV_Pers!$F$4:$F$73,"E",_BEV_Pers!W4:W73)</f>
        <v>#DIV/0!</v>
      </c>
      <c r="X91" s="742">
        <f>AVERAGEIF(_BEV_Pers!$F$4:$F$73,"E",_BEV_Pers!X4:X73)</f>
        <v>600</v>
      </c>
      <c r="Y91" s="742">
        <f>AVERAGEIF(_BEV_Pers!$F$4:$F$73,"E",_BEV_Pers!Y4:Y73)</f>
        <v>517.5</v>
      </c>
      <c r="Z91" s="742" t="e">
        <f>AVERAGEIF(_BEV_Pers!$F$4:$F$73,"E",_BEV_Pers!Z4:Z73)</f>
        <v>#DIV/0!</v>
      </c>
      <c r="AA91" s="742">
        <f>AVERAGEIF(_BEV_Pers!$F$4:$F$73,"E",_BEV_Pers!AA4:AA73)</f>
        <v>16.67129758266185</v>
      </c>
      <c r="AB91" s="742"/>
      <c r="AC91" s="742">
        <f>AVERAGEIF(_BEV_Pers!$F$4:$F$73,"E",_BEV_Pers!AC4:AC73)</f>
        <v>18.899999999999999</v>
      </c>
      <c r="AD91" s="742">
        <f>AVERAGEIF(_BEV_Pers!$F$4:$F$73,"E",_BEV_Pers!AD4:AD73)</f>
        <v>2.0499999999999998</v>
      </c>
      <c r="AE91" s="742">
        <f>AVERAGEIF(_BEV_Pers!$F$4:$F$73,"E",_BEV_Pers!AE4:AE73)</f>
        <v>16.5</v>
      </c>
      <c r="AF91" s="742" t="e">
        <f>AVERAGEIF(_BEV_Pers!$F$4:$F$73,"E",_BEV_Pers!AF4:AF73)</f>
        <v>#DIV/0!</v>
      </c>
      <c r="AG91" s="742">
        <f>AVERAGEIF(_BEV_Pers!$F$4:$F$73,"E",_BEV_Pers!AG4:AG73)</f>
        <v>145</v>
      </c>
      <c r="AH91" s="742" t="e">
        <f>AVERAGEIF(_BEV_Pers!$F$4:$F$73,"E",_BEV_Pers!AH4:AH73)</f>
        <v>#DIV/0!</v>
      </c>
      <c r="AI91" s="742" t="e">
        <f>AVERAGEIF(_BEV_Pers!$F$4:$F$73,"E",_BEV_Pers!AI4:AI73)</f>
        <v>#DIV/0!</v>
      </c>
      <c r="AJ91" s="742">
        <f>AVERAGEIF(_BEV_Pers!$F$4:$F$73,"E",_BEV_Pers!AJ4:AJ73)</f>
        <v>290.90909090909093</v>
      </c>
      <c r="AK91" s="742">
        <f>AVERAGEIF(_BEV_Pers!$F$4:$F$73,"E",_BEV_Pers!AK4:AK73)</f>
        <v>33.103448275862071</v>
      </c>
      <c r="AL91" s="707">
        <f>AVERAGEIF(_BEV_Pers!$F$4:$F$73,"E",_BEV_Pers!AL4:AL73)</f>
        <v>96998</v>
      </c>
      <c r="AM91" s="707">
        <f>AVERAGEIF(_BEV_Pers!$F$4:$F$73,"E",_BEV_Pers!AM4:AM73)</f>
        <v>0</v>
      </c>
      <c r="AN91" s="707">
        <f>AVERAGEIF(_BEV_Pers!$F$4:$F$73,"E",_BEV_Pers!AN4:AN73)</f>
        <v>16834.363636363636</v>
      </c>
      <c r="AO91" s="707">
        <f>AVERAGEIF(_BEV_Pers!$F$4:$F$73,"E",_BEV_Pers!AO4:AO73)</f>
        <v>80163.636363636368</v>
      </c>
    </row>
    <row r="92" spans="2:41">
      <c r="B92" s="652" t="s">
        <v>1074</v>
      </c>
      <c r="D92" s="616">
        <f>AB49</f>
        <v>1.4000000000000001</v>
      </c>
      <c r="E92" s="616"/>
      <c r="G92" s="742">
        <f>AVERAGEIF(_BEV_Pers!$F$4:$F$73,"J",_BEV_Pers!G4:G73)</f>
        <v>6</v>
      </c>
      <c r="H92" s="742">
        <f>AVERAGEIF(_BEV_Pers!$F$4:$F$73,"J",_BEV_Pers!H4:H73)</f>
        <v>1609.5</v>
      </c>
      <c r="I92" s="742">
        <f>AVERAGEIF(_BEV_Pers!$F$4:$F$73,"J",_BEV_Pers!I4:I73)</f>
        <v>1650</v>
      </c>
      <c r="J92" s="742">
        <f>AVERAGEIF(_BEV_Pers!$F$4:$F$73,"J",_BEV_Pers!J4:J73)</f>
        <v>3200</v>
      </c>
      <c r="K92" s="742">
        <f>AVERAGEIF(_BEV_Pers!$F$4:$F$73,"J",_BEV_Pers!K4:K73)</f>
        <v>62</v>
      </c>
      <c r="L92" s="742">
        <f>AVERAGEIF(_BEV_Pers!$F$4:$F$73,"J",_BEV_Pers!L4:L73)</f>
        <v>84.5</v>
      </c>
      <c r="M92" s="742">
        <f>AVERAGEIF(_BEV_Pers!$F$4:$F$73,"J",_BEV_Pers!M4:M73)</f>
        <v>239.5</v>
      </c>
      <c r="N92" s="742">
        <f>AVERAGEIF(_BEV_Pers!$F$4:$F$73,"J",_BEV_Pers!N4:N73)</f>
        <v>126.5</v>
      </c>
      <c r="O92" s="742" t="e">
        <f>AVERAGEIF(_BEV_Pers!$F$4:$F$73,"J",_BEV_Pers!O4:O73)</f>
        <v>#DIV/0!</v>
      </c>
      <c r="P92" s="742" t="e">
        <f>AVERAGEIF(_BEV_Pers!$F$4:$F$73,"J",_BEV_Pers!P4:P73)</f>
        <v>#DIV/0!</v>
      </c>
      <c r="Q92" s="742" t="e">
        <f>AVERAGEIF(_BEV_Pers!$F$4:$F$73,"J",_BEV_Pers!Q4:Q73)</f>
        <v>#DIV/0!</v>
      </c>
      <c r="R92" s="742" t="e">
        <f>AVERAGEIF(_BEV_Pers!$F$4:$F$73,"J",_BEV_Pers!R4:R73)</f>
        <v>#DIV/0!</v>
      </c>
      <c r="S92" s="742">
        <f>AVERAGEIF(_BEV_Pers!$F$4:$F$73,"J",_BEV_Pers!S4:S73)</f>
        <v>36.5</v>
      </c>
      <c r="T92" s="742">
        <f>AVERAGEIF(_BEV_Pers!$F$4:$F$73,"J",_BEV_Pers!T4:T73)</f>
        <v>34.5</v>
      </c>
      <c r="U92" s="742" t="e">
        <f>AVERAGEIF(_BEV_Pers!$F$4:$F$73,"J",_BEV_Pers!U4:U73)</f>
        <v>#DIV/0!</v>
      </c>
      <c r="V92" s="742" t="e">
        <f>AVERAGEIF(_BEV_Pers!$F$4:$F$73,"J",_BEV_Pers!V4:V73)</f>
        <v>#DIV/0!</v>
      </c>
      <c r="W92" s="742">
        <f>AVERAGEIF(_BEV_Pers!$F$4:$F$73,"J",_BEV_Pers!W4:W73)</f>
        <v>275</v>
      </c>
      <c r="X92" s="742">
        <f>AVERAGEIF(_BEV_Pers!$F$4:$F$73,"J",_BEV_Pers!X4:X73)</f>
        <v>200</v>
      </c>
      <c r="Y92" s="742">
        <f>AVERAGEIF(_BEV_Pers!$F$4:$F$73,"J",_BEV_Pers!Y4:Y73)</f>
        <v>177.5</v>
      </c>
      <c r="Z92" s="742">
        <f>AVERAGEIF(_BEV_Pers!$F$4:$F$73,"J",_BEV_Pers!Z4:Z73)</f>
        <v>14.742857142857142</v>
      </c>
      <c r="AA92" s="742">
        <f>AVERAGEIF(_BEV_Pers!$F$4:$F$73,"J",_BEV_Pers!AA4:AA73)</f>
        <v>19.595009852575551</v>
      </c>
      <c r="AB92" s="742"/>
      <c r="AC92" s="742">
        <f>AVERAGEIF(_BEV_Pers!$F$4:$F$73,"J",_BEV_Pers!AC4:AC73)</f>
        <v>19.399999999999999</v>
      </c>
      <c r="AD92" s="742">
        <f>AVERAGEIF(_BEV_Pers!$F$4:$F$73,"J",_BEV_Pers!AD4:AD73)</f>
        <v>2.1500000000000004</v>
      </c>
      <c r="AE92" s="742">
        <f>AVERAGEIF(_BEV_Pers!$F$4:$F$73,"J",_BEV_Pers!AE4:AE73)</f>
        <v>7</v>
      </c>
      <c r="AF92" s="742" t="e">
        <f>AVERAGEIF(_BEV_Pers!$F$4:$F$73,"J",_BEV_Pers!AF4:AF73)</f>
        <v>#DIV/0!</v>
      </c>
      <c r="AG92" s="742">
        <f>AVERAGEIF(_BEV_Pers!$F$4:$F$73,"J",_BEV_Pers!AG4:AG73)</f>
        <v>50</v>
      </c>
      <c r="AH92" s="742" t="e">
        <f>AVERAGEIF(_BEV_Pers!$F$4:$F$73,"J",_BEV_Pers!AH4:AH73)</f>
        <v>#DIV/0!</v>
      </c>
      <c r="AI92" s="742" t="e">
        <f>AVERAGEIF(_BEV_Pers!$F$4:$F$73,"J",_BEV_Pers!AI4:AI73)</f>
        <v>#DIV/0!</v>
      </c>
      <c r="AJ92" s="742">
        <f>AVERAGEIF(_BEV_Pers!$F$4:$F$73,"J",_BEV_Pers!AJ4:AJ73)</f>
        <v>252.4815724815725</v>
      </c>
      <c r="AK92" s="742">
        <f>AVERAGEIF(_BEV_Pers!$F$4:$F$73,"J",_BEV_Pers!AK4:AK73)</f>
        <v>38.4</v>
      </c>
      <c r="AL92" s="707">
        <f>AVERAGEIF(_BEV_Pers!$F$4:$F$73,"J",_BEV_Pers!AL4:AL73)</f>
        <v>41292</v>
      </c>
      <c r="AM92" s="707">
        <f>AVERAGEIF(_BEV_Pers!$F$4:$F$73,"J",_BEV_Pers!AM4:AM73)</f>
        <v>0</v>
      </c>
      <c r="AN92" s="707">
        <f>AVERAGEIF(_BEV_Pers!$F$4:$F$73,"J",_BEV_Pers!AN4:AN73)</f>
        <v>7166.3801652892562</v>
      </c>
      <c r="AO92" s="707">
        <f>AVERAGEIF(_BEV_Pers!$F$4:$F$73,"J",_BEV_Pers!AO4:AO73)</f>
        <v>34125.619834710742</v>
      </c>
    </row>
    <row r="93" spans="2:41">
      <c r="B93" s="652" t="s">
        <v>1249</v>
      </c>
      <c r="G93" s="742"/>
      <c r="H93" s="742"/>
      <c r="I93" s="742"/>
      <c r="J93" s="742"/>
      <c r="K93" s="742"/>
      <c r="L93" s="742"/>
      <c r="M93" s="742"/>
      <c r="N93" s="742"/>
      <c r="O93" s="742"/>
      <c r="P93" s="742"/>
      <c r="Q93" s="742"/>
      <c r="R93" s="742"/>
      <c r="S93" s="742"/>
      <c r="T93" s="742"/>
      <c r="U93" s="742"/>
      <c r="V93" s="742"/>
      <c r="W93" s="742"/>
      <c r="X93" s="742"/>
      <c r="Y93" s="742"/>
      <c r="Z93" s="742"/>
      <c r="AA93" s="742"/>
      <c r="AB93" s="742"/>
      <c r="AC93" s="742"/>
      <c r="AD93" s="742"/>
      <c r="AE93" s="742"/>
      <c r="AF93" s="742"/>
      <c r="AG93" s="742"/>
      <c r="AH93" s="742"/>
      <c r="AI93" s="742"/>
      <c r="AJ93" s="742"/>
      <c r="AK93" s="742"/>
      <c r="AL93" s="707"/>
      <c r="AM93" s="707"/>
      <c r="AN93" s="707"/>
      <c r="AO93" s="707"/>
    </row>
    <row r="94" spans="2:41">
      <c r="B94" s="652" t="s">
        <v>1075</v>
      </c>
      <c r="G94" s="742">
        <f>AVERAGEIF(_BEV_Pers!$F$4:$F$73,"L",_BEV_Pers!G4:G73)</f>
        <v>4.916666666666667</v>
      </c>
      <c r="H94" s="742">
        <f>AVERAGEIF(_BEV_Pers!$F$4:$F$73,"L",_BEV_Pers!H4:H73)</f>
        <v>1667.75</v>
      </c>
      <c r="I94" s="742">
        <f>AVERAGEIF(_BEV_Pers!$F$4:$F$73,"L",_BEV_Pers!I4:I73)</f>
        <v>389</v>
      </c>
      <c r="J94" s="742">
        <f>AVERAGEIF(_BEV_Pers!$F$4:$F$73,"L",_BEV_Pers!J4:J73)</f>
        <v>1252.2857142857142</v>
      </c>
      <c r="K94" s="742">
        <f>AVERAGEIF(_BEV_Pers!$F$4:$F$73,"L",_BEV_Pers!K4:K73)</f>
        <v>154.58333333333334</v>
      </c>
      <c r="L94" s="742">
        <f>AVERAGEIF(_BEV_Pers!$F$4:$F$73,"L",_BEV_Pers!L4:L73)</f>
        <v>210.25</v>
      </c>
      <c r="M94" s="742">
        <f>AVERAGEIF(_BEV_Pers!$F$4:$F$73,"L",_BEV_Pers!M4:M73)</f>
        <v>393.58333333333331</v>
      </c>
      <c r="N94" s="742">
        <f>AVERAGEIF(_BEV_Pers!$F$4:$F$73,"L",_BEV_Pers!N4:N73)</f>
        <v>180.25</v>
      </c>
      <c r="O94" s="742" t="e">
        <f>AVERAGEIF(_BEV_Pers!$F$4:$F$73,"L",_BEV_Pers!O4:O73)</f>
        <v>#DIV/0!</v>
      </c>
      <c r="P94" s="742" t="e">
        <f>AVERAGEIF(_BEV_Pers!$F$4:$F$73,"L",_BEV_Pers!P4:P73)</f>
        <v>#DIV/0!</v>
      </c>
      <c r="Q94" s="742" t="e">
        <f>AVERAGEIF(_BEV_Pers!$F$4:$F$73,"L",_BEV_Pers!Q4:Q73)</f>
        <v>#DIV/0!</v>
      </c>
      <c r="R94" s="742" t="e">
        <f>AVERAGEIF(_BEV_Pers!$F$4:$F$73,"L",_BEV_Pers!R4:R73)</f>
        <v>#DIV/0!</v>
      </c>
      <c r="S94" s="742">
        <f>AVERAGEIF(_BEV_Pers!$F$4:$F$73,"L",_BEV_Pers!S4:S73)</f>
        <v>61.741666666666674</v>
      </c>
      <c r="T94" s="742">
        <f>AVERAGEIF(_BEV_Pers!$F$4:$F$73,"L",_BEV_Pers!T4:T73)</f>
        <v>59.199999999999996</v>
      </c>
      <c r="U94" s="742" t="e">
        <f>AVERAGEIF(_BEV_Pers!$F$4:$F$73,"L",_BEV_Pers!U4:U73)</f>
        <v>#DIV/0!</v>
      </c>
      <c r="V94" s="742" t="e">
        <f>AVERAGEIF(_BEV_Pers!$F$4:$F$73,"L",_BEV_Pers!V4:V73)</f>
        <v>#DIV/0!</v>
      </c>
      <c r="W94" s="742">
        <f>AVERAGEIF(_BEV_Pers!$F$4:$F$73,"L",_BEV_Pers!W4:W73)</f>
        <v>440</v>
      </c>
      <c r="X94" s="742">
        <f>AVERAGEIF(_BEV_Pers!$F$4:$F$73,"L",_BEV_Pers!X4:X73)</f>
        <v>384.36363636363637</v>
      </c>
      <c r="Y94" s="742">
        <f>AVERAGEIF(_BEV_Pers!$F$4:$F$73,"L",_BEV_Pers!Y4:Y73)</f>
        <v>338.75</v>
      </c>
      <c r="Z94" s="742">
        <f>AVERAGEIF(_BEV_Pers!$F$4:$F$73,"L",_BEV_Pers!Z4:Z73)</f>
        <v>11.369509043927648</v>
      </c>
      <c r="AA94" s="742">
        <f>AVERAGEIF(_BEV_Pers!$F$4:$F$73,"L",_BEV_Pers!AA4:AA73)</f>
        <v>15.657344765295125</v>
      </c>
      <c r="AB94" s="742"/>
      <c r="AC94" s="742">
        <f>AVERAGEIF(_BEV_Pers!$F$4:$F$73,"L",_BEV_Pers!AC4:AC73)</f>
        <v>17.348484848484848</v>
      </c>
      <c r="AD94" s="742">
        <f>AVERAGEIF(_BEV_Pers!$F$4:$F$73,"L",_BEV_Pers!AD4:AD73)</f>
        <v>1.9333333333333333</v>
      </c>
      <c r="AE94" s="742">
        <f>AVERAGEIF(_BEV_Pers!$F$4:$F$73,"L",_BEV_Pers!AE4:AE73)</f>
        <v>8.8000000000000007</v>
      </c>
      <c r="AF94" s="742" t="e">
        <f>AVERAGEIF(_BEV_Pers!$F$4:$F$73,"L",_BEV_Pers!AF4:AF73)</f>
        <v>#DIV/0!</v>
      </c>
      <c r="AG94" s="742">
        <f>AVERAGEIF(_BEV_Pers!$F$4:$F$73,"L",_BEV_Pers!AG4:AG73)</f>
        <v>91.833333333333329</v>
      </c>
      <c r="AH94" s="742" t="e">
        <f>AVERAGEIF(_BEV_Pers!$F$4:$F$73,"L",_BEV_Pers!AH4:AH73)</f>
        <v>#DIV/0!</v>
      </c>
      <c r="AI94" s="742" t="e">
        <f>AVERAGEIF(_BEV_Pers!$F$4:$F$73,"L",_BEV_Pers!AI4:AI73)</f>
        <v>#DIV/0!</v>
      </c>
      <c r="AJ94" s="742">
        <f>AVERAGEIF(_BEV_Pers!$F$4:$F$73,"L",_BEV_Pers!AJ4:AJ73)</f>
        <v>344.92274092274096</v>
      </c>
      <c r="AK94" s="742">
        <f>AVERAGEIF(_BEV_Pers!$F$4:$F$73,"L",_BEV_Pers!AK4:AK73)</f>
        <v>33.756831932773103</v>
      </c>
      <c r="AL94" s="707">
        <f>AVERAGEIF(_BEV_Pers!$F$4:$F$73,"L",_BEV_Pers!AL4:AL73)</f>
        <v>42973.75</v>
      </c>
      <c r="AM94" s="707">
        <f>AVERAGEIF(_BEV_Pers!$F$4:$F$73,"L",_BEV_Pers!AM4:AM73)</f>
        <v>0</v>
      </c>
      <c r="AN94" s="707">
        <f>AVERAGEIF(_BEV_Pers!$F$4:$F$73,"L",_BEV_Pers!AN4:AN73)</f>
        <v>7458.2541322314064</v>
      </c>
      <c r="AO94" s="707">
        <f>AVERAGEIF(_BEV_Pers!$F$4:$F$73,"L",_BEV_Pers!AO4:AO73)</f>
        <v>35515.495867768594</v>
      </c>
    </row>
    <row r="95" spans="2:41" ht="17" thickBot="1">
      <c r="B95" s="652" t="s">
        <v>1076</v>
      </c>
      <c r="D95" s="616">
        <f>AVERAGE(AB68,AB69)</f>
        <v>1.1424077759069342</v>
      </c>
      <c r="E95" s="616"/>
      <c r="G95" s="742">
        <f>AVERAGEIF(_BEV_Pers!$F$4:$F$73,"M",_BEV_Pers!G4:G73)</f>
        <v>5.5714285714285712</v>
      </c>
      <c r="H95" s="742">
        <f>AVERAGEIF(_BEV_Pers!$F$4:$F$73,"M",_BEV_Pers!H4:H73)</f>
        <v>2369.4285714285716</v>
      </c>
      <c r="I95" s="742">
        <f>AVERAGEIF(_BEV_Pers!$F$4:$F$73,"M",_BEV_Pers!I4:I73)</f>
        <v>553.75</v>
      </c>
      <c r="J95" s="742">
        <f>AVERAGEIF(_BEV_Pers!$F$4:$F$73,"M",_BEV_Pers!J4:J73)</f>
        <v>1968</v>
      </c>
      <c r="K95" s="742">
        <f>AVERAGEIF(_BEV_Pers!$F$4:$F$73,"M",_BEV_Pers!K4:K73)</f>
        <v>313.57142857142856</v>
      </c>
      <c r="L95" s="742">
        <f>AVERAGEIF(_BEV_Pers!$F$4:$F$73,"M",_BEV_Pers!L4:L73)</f>
        <v>426.14285714285717</v>
      </c>
      <c r="M95" s="742">
        <f>AVERAGEIF(_BEV_Pers!$F$4:$F$73,"M",_BEV_Pers!M4:M73)</f>
        <v>709.28571428571433</v>
      </c>
      <c r="N95" s="742">
        <f>AVERAGEIF(_BEV_Pers!$F$4:$F$73,"M",_BEV_Pers!N4:N73)</f>
        <v>182.85714285714286</v>
      </c>
      <c r="O95" s="742" t="e">
        <f>AVERAGEIF(_BEV_Pers!$F$4:$F$73,"M",_BEV_Pers!O4:O73)</f>
        <v>#DIV/0!</v>
      </c>
      <c r="P95" s="742" t="e">
        <f>AVERAGEIF(_BEV_Pers!$F$4:$F$73,"M",_BEV_Pers!P4:P73)</f>
        <v>#DIV/0!</v>
      </c>
      <c r="Q95" s="742">
        <f>AVERAGEIF(_BEV_Pers!$F$4:$F$73,"M",_BEV_Pers!Q4:Q73)</f>
        <v>330</v>
      </c>
      <c r="R95" s="742">
        <f>AVERAGEIF(_BEV_Pers!$F$4:$F$73,"M",_BEV_Pers!R4:R73)</f>
        <v>1770</v>
      </c>
      <c r="S95" s="742">
        <f>AVERAGEIF(_BEV_Pers!$F$4:$F$73,"M",_BEV_Pers!S4:S73)</f>
        <v>91.428571428571431</v>
      </c>
      <c r="T95" s="742">
        <f>AVERAGEIF(_BEV_Pers!$F$4:$F$73,"M",_BEV_Pers!T4:T73)</f>
        <v>85.271428571428572</v>
      </c>
      <c r="U95" s="742" t="e">
        <f>AVERAGEIF(_BEV_Pers!$F$4:$F$73,"M",_BEV_Pers!U4:U73)</f>
        <v>#DIV/0!</v>
      </c>
      <c r="V95" s="742" t="e">
        <f>AVERAGEIF(_BEV_Pers!$F$4:$F$73,"M",_BEV_Pers!V4:V73)</f>
        <v>#DIV/0!</v>
      </c>
      <c r="W95" s="742">
        <f>AVERAGEIF(_BEV_Pers!$F$4:$F$73,"M",_BEV_Pers!W4:W73)</f>
        <v>507</v>
      </c>
      <c r="X95" s="742">
        <f>AVERAGEIF(_BEV_Pers!$F$4:$F$73,"M",_BEV_Pers!X4:X73)</f>
        <v>442</v>
      </c>
      <c r="Y95" s="742">
        <f>AVERAGEIF(_BEV_Pers!$F$4:$F$73,"M",_BEV_Pers!Y4:Y73)</f>
        <v>387.14285714285717</v>
      </c>
      <c r="Z95" s="742">
        <f>AVERAGEIF(_BEV_Pers!$F$4:$F$73,"M",_BEV_Pers!Z4:Z73)</f>
        <v>17.310647382435395</v>
      </c>
      <c r="AA95" s="742">
        <f>AVERAGEIF(_BEV_Pers!$F$4:$F$73,"M",_BEV_Pers!AA4:AA73)</f>
        <v>20.74784867073754</v>
      </c>
      <c r="AB95" s="742"/>
      <c r="AC95" s="742">
        <f>AVERAGEIF(_BEV_Pers!$F$4:$F$73,"M",_BEV_Pers!AC4:AC73)</f>
        <v>22.11428571428571</v>
      </c>
      <c r="AD95" s="742">
        <f>AVERAGEIF(_BEV_Pers!$F$4:$F$73,"M",_BEV_Pers!AD4:AD73)</f>
        <v>2.4428571428571431</v>
      </c>
      <c r="AE95" s="742">
        <f>AVERAGEIF(_BEV_Pers!$F$4:$F$73,"M",_BEV_Pers!AE4:AE73)</f>
        <v>11.542857142857143</v>
      </c>
      <c r="AF95" s="742" t="e">
        <f>AVERAGEIF(_BEV_Pers!$F$4:$F$73,"M",_BEV_Pers!AF4:AF73)</f>
        <v>#DIV/0!</v>
      </c>
      <c r="AG95" s="742">
        <f>AVERAGEIF(_BEV_Pers!$F$4:$F$73,"M",_BEV_Pers!AG4:AG73)</f>
        <v>135.71428571428572</v>
      </c>
      <c r="AH95" s="742" t="e">
        <f>AVERAGEIF(_BEV_Pers!$F$4:$F$73,"M",_BEV_Pers!AH4:AH73)</f>
        <v>#DIV/0!</v>
      </c>
      <c r="AI95" s="742" t="e">
        <f>AVERAGEIF(_BEV_Pers!$F$4:$F$73,"M",_BEV_Pers!AI4:AI73)</f>
        <v>#DIV/0!</v>
      </c>
      <c r="AJ95" s="742">
        <f>AVERAGEIF(_BEV_Pers!$F$4:$F$73,"M",_BEV_Pers!AJ4:AJ73)</f>
        <v>410.47385047385052</v>
      </c>
      <c r="AK95" s="742">
        <f>AVERAGEIF(_BEV_Pers!$F$4:$F$73,"M",_BEV_Pers!AK4:AK73)</f>
        <v>33.042543663233317</v>
      </c>
      <c r="AL95" s="707">
        <f>AVERAGEIF(_BEV_Pers!$F$4:$F$73,"M",_BEV_Pers!AL4:AL73)</f>
        <v>86620.142857142855</v>
      </c>
      <c r="AM95" s="707">
        <f>AVERAGEIF(_BEV_Pers!$F$4:$F$73,"M",_BEV_Pers!AM4:AM73)</f>
        <v>0</v>
      </c>
      <c r="AN95" s="707">
        <f>AVERAGEIF(_BEV_Pers!$F$4:$F$73,"M",_BEV_Pers!AN4:AN73)</f>
        <v>15033.247933884295</v>
      </c>
      <c r="AO95" s="707">
        <f>AVERAGEIF(_BEV_Pers!$F$4:$F$73,"M",_BEV_Pers!AO4:AO73)</f>
        <v>71586.894923258558</v>
      </c>
    </row>
    <row r="96" spans="2:41" ht="17" thickBot="1">
      <c r="D96" s="1121">
        <f>AVERAGE(D86:D95)</f>
        <v>1.2625012963915196</v>
      </c>
      <c r="E96" s="1122"/>
    </row>
    <row r="97" spans="1:35">
      <c r="D97" s="1122"/>
      <c r="E97" s="1122"/>
    </row>
    <row r="98" spans="1:35">
      <c r="A98" s="171" t="s">
        <v>1906</v>
      </c>
      <c r="B98" s="171" t="s">
        <v>1907</v>
      </c>
    </row>
    <row r="106" spans="1:35">
      <c r="AE106" s="1025"/>
      <c r="AH106" s="1025"/>
      <c r="AI106" s="732"/>
    </row>
    <row r="107" spans="1:35">
      <c r="AE107" s="1110"/>
      <c r="AF107" s="1033"/>
      <c r="AH107" s="1110"/>
      <c r="AI107" s="1033"/>
    </row>
    <row r="108" spans="1:35">
      <c r="AE108" s="742"/>
      <c r="AH108" s="742"/>
    </row>
  </sheetData>
  <sheetProtection algorithmName="SHA-512" hashValue="CmXZi3MKPrVJQy3vObdjBD+QMY/XPHSJxl0BV7RXffNs7qJZQ6yVqK7ZFsPScRemrKT61b918FJfxVFla84K8g==" saltValue="7gQGkXf5eNuGcaqbNo+R4A==" spinCount="100000" sheet="1" objects="1" scenarios="1"/>
  <autoFilter ref="A3:AQ73" xr:uid="{27B0DA27-AA70-2946-A56F-8BD9D42987EB}"/>
  <mergeCells count="8">
    <mergeCell ref="B1:G2"/>
    <mergeCell ref="H1:R2"/>
    <mergeCell ref="S1:AK1"/>
    <mergeCell ref="AL1:AO2"/>
    <mergeCell ref="S2:V2"/>
    <mergeCell ref="W2:Y2"/>
    <mergeCell ref="Z2:AD2"/>
    <mergeCell ref="AE2:AK2"/>
  </mergeCells>
  <hyperlinks>
    <hyperlink ref="AQ6" r:id="rId1" xr:uid="{70DE3CAB-0F73-D748-A95A-1D6F99FBB4BB}"/>
    <hyperlink ref="B78" r:id="rId2" xr:uid="{A87CC8F3-7A18-B344-B086-495FE40A4C4F}"/>
  </hyperlinks>
  <pageMargins left="0.7" right="0.7" top="0.75" bottom="0.75" header="0.3" footer="0.3"/>
  <pageSetup paperSize="9" orientation="portrait" horizontalDpi="0" verticalDpi="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B7E9C-B79F-A94C-ABF7-CD4D2B78594C}">
  <sheetPr codeName="Blad5">
    <tabColor theme="4"/>
  </sheetPr>
  <dimension ref="A1:AS33"/>
  <sheetViews>
    <sheetView topLeftCell="Z1" zoomScale="110" zoomScaleNormal="110" workbookViewId="0">
      <selection activeCell="Z1" sqref="A1:XFD1048576"/>
    </sheetView>
  </sheetViews>
  <sheetFormatPr baseColWidth="10" defaultRowHeight="16"/>
  <cols>
    <col min="1" max="1" width="27" style="171" bestFit="1" customWidth="1"/>
    <col min="2" max="2" width="62.6640625" style="171" bestFit="1" customWidth="1"/>
    <col min="3" max="3" width="15.83203125" style="171" customWidth="1"/>
    <col min="4" max="4" width="57.6640625" style="171" customWidth="1"/>
    <col min="5" max="5" width="25.6640625" style="171" customWidth="1"/>
    <col min="6" max="6" width="24.1640625" style="171" bestFit="1" customWidth="1"/>
    <col min="7" max="10" width="10.83203125" style="171"/>
    <col min="11" max="11" width="13.33203125" style="171" customWidth="1"/>
    <col min="12" max="16" width="10.83203125" style="171"/>
    <col min="17" max="17" width="12" style="171" bestFit="1" customWidth="1"/>
    <col min="18" max="34" width="10.83203125" style="171"/>
    <col min="35" max="35" width="17.1640625" style="171" customWidth="1"/>
    <col min="36" max="37" width="10.83203125" style="171"/>
    <col min="38" max="38" width="19.33203125" style="171" customWidth="1"/>
    <col min="39" max="39" width="10.83203125" style="171"/>
    <col min="40" max="40" width="11.5" style="171" bestFit="1" customWidth="1"/>
    <col min="41" max="41" width="11.6640625" style="171" bestFit="1" customWidth="1"/>
    <col min="42" max="42" width="130.6640625" style="171" bestFit="1" customWidth="1"/>
    <col min="43" max="16384" width="10.83203125" style="171"/>
  </cols>
  <sheetData>
    <row r="1" spans="1:45" ht="86" thickBot="1">
      <c r="A1" s="989" t="s">
        <v>1242</v>
      </c>
      <c r="B1" s="987" t="s">
        <v>921</v>
      </c>
      <c r="C1" s="987" t="s">
        <v>922</v>
      </c>
      <c r="D1" s="987" t="s">
        <v>565</v>
      </c>
      <c r="E1" s="988" t="s">
        <v>112</v>
      </c>
      <c r="F1" s="989" t="s">
        <v>1909</v>
      </c>
      <c r="G1" s="988" t="s">
        <v>923</v>
      </c>
      <c r="H1" s="987" t="s">
        <v>924</v>
      </c>
      <c r="I1" s="987" t="s">
        <v>1221</v>
      </c>
      <c r="J1" s="987" t="s">
        <v>925</v>
      </c>
      <c r="K1" s="987" t="s">
        <v>926</v>
      </c>
      <c r="L1" s="987" t="s">
        <v>927</v>
      </c>
      <c r="M1" s="987" t="s">
        <v>928</v>
      </c>
      <c r="N1" s="987" t="s">
        <v>929</v>
      </c>
      <c r="O1" s="987" t="s">
        <v>930</v>
      </c>
      <c r="P1" s="987" t="s">
        <v>931</v>
      </c>
      <c r="Q1" s="989" t="s">
        <v>932</v>
      </c>
      <c r="R1" s="989" t="s">
        <v>933</v>
      </c>
      <c r="S1" s="989" t="s">
        <v>934</v>
      </c>
      <c r="T1" s="989" t="s">
        <v>935</v>
      </c>
      <c r="U1" s="989" t="s">
        <v>936</v>
      </c>
      <c r="V1" s="989" t="s">
        <v>1062</v>
      </c>
      <c r="W1" s="989" t="s">
        <v>1063</v>
      </c>
      <c r="X1" s="987" t="s">
        <v>937</v>
      </c>
      <c r="Y1" s="987" t="s">
        <v>938</v>
      </c>
      <c r="Z1" s="987" t="s">
        <v>1219</v>
      </c>
      <c r="AA1" s="990" t="s">
        <v>1064</v>
      </c>
      <c r="AB1" s="990" t="s">
        <v>1065</v>
      </c>
      <c r="AC1" s="990" t="s">
        <v>519</v>
      </c>
      <c r="AD1" s="989" t="s">
        <v>940</v>
      </c>
      <c r="AE1" s="991" t="s">
        <v>941</v>
      </c>
      <c r="AF1" s="992" t="s">
        <v>942</v>
      </c>
      <c r="AG1" s="992" t="s">
        <v>943</v>
      </c>
      <c r="AH1" s="992" t="s">
        <v>944</v>
      </c>
      <c r="AI1" s="993" t="s">
        <v>945</v>
      </c>
      <c r="AJ1" s="994" t="s">
        <v>946</v>
      </c>
      <c r="AK1" s="994" t="s">
        <v>947</v>
      </c>
      <c r="AL1" s="995" t="s">
        <v>1066</v>
      </c>
      <c r="AM1" s="996" t="s">
        <v>121</v>
      </c>
      <c r="AN1" s="994" t="s">
        <v>464</v>
      </c>
      <c r="AO1" s="997" t="s">
        <v>948</v>
      </c>
      <c r="AP1" s="995" t="s">
        <v>1167</v>
      </c>
    </row>
    <row r="2" spans="1:45" ht="17" thickTop="1">
      <c r="A2" s="171" t="s">
        <v>848</v>
      </c>
      <c r="B2" s="171" t="s">
        <v>654</v>
      </c>
      <c r="C2" s="998">
        <v>43191</v>
      </c>
      <c r="D2" s="816" t="s">
        <v>1000</v>
      </c>
      <c r="E2" s="816" t="s">
        <v>1208</v>
      </c>
      <c r="F2" s="719" t="str">
        <f>IF($A2="ja",E2,"")</f>
        <v>Taxibus Klein</v>
      </c>
      <c r="G2" s="171">
        <v>7</v>
      </c>
      <c r="H2" s="171">
        <v>1689</v>
      </c>
      <c r="J2" s="171">
        <v>2000</v>
      </c>
      <c r="K2" s="171">
        <v>3000</v>
      </c>
      <c r="L2" s="171">
        <v>80</v>
      </c>
      <c r="M2" s="171">
        <v>109</v>
      </c>
      <c r="N2" s="171">
        <v>254</v>
      </c>
      <c r="O2" s="171">
        <v>123</v>
      </c>
      <c r="P2" s="171" t="s">
        <v>957</v>
      </c>
      <c r="Q2" s="171" t="s">
        <v>952</v>
      </c>
      <c r="R2" s="171" t="s">
        <v>118</v>
      </c>
      <c r="S2" s="171" t="s">
        <v>118</v>
      </c>
      <c r="T2" s="171">
        <v>40</v>
      </c>
      <c r="U2" s="171">
        <v>38</v>
      </c>
      <c r="W2" s="171" t="s">
        <v>1218</v>
      </c>
      <c r="X2" s="171">
        <v>280</v>
      </c>
      <c r="Y2" s="171">
        <v>200</v>
      </c>
      <c r="Z2" s="171">
        <v>190</v>
      </c>
      <c r="AA2" s="742">
        <f>(U2/X2)*100</f>
        <v>13.571428571428571</v>
      </c>
      <c r="AB2" s="742">
        <f t="shared" ref="AB2:AB10" si="0">(U2/Y2)*100</f>
        <v>19</v>
      </c>
      <c r="AC2" s="742">
        <f t="shared" ref="AC2:AC10" si="1">(U2/Z2)*100</f>
        <v>20</v>
      </c>
      <c r="AD2" s="171">
        <v>2.2000000000000002</v>
      </c>
      <c r="AE2" s="171">
        <v>6.6</v>
      </c>
      <c r="AF2" s="171" t="s">
        <v>953</v>
      </c>
      <c r="AG2" s="171">
        <v>50</v>
      </c>
      <c r="AH2" s="171" t="s">
        <v>944</v>
      </c>
      <c r="AI2" s="171" t="s">
        <v>954</v>
      </c>
      <c r="AL2" s="1001">
        <v>44689</v>
      </c>
      <c r="AM2" s="171">
        <v>0</v>
      </c>
      <c r="AN2" s="1001">
        <v>7755.9421487603304</v>
      </c>
      <c r="AO2" s="1001">
        <v>36933.057851239668</v>
      </c>
    </row>
    <row r="3" spans="1:45">
      <c r="A3" s="171" t="s">
        <v>848</v>
      </c>
      <c r="B3" s="171" t="s">
        <v>588</v>
      </c>
      <c r="C3" s="998">
        <v>42917</v>
      </c>
      <c r="D3" s="816" t="s">
        <v>999</v>
      </c>
      <c r="E3" s="816" t="s">
        <v>1208</v>
      </c>
      <c r="F3" s="719" t="str">
        <f t="shared" ref="F3:F19" si="2">IF($A3="ja",E3,"")</f>
        <v>Taxibus Klein</v>
      </c>
      <c r="G3" s="171">
        <v>5</v>
      </c>
      <c r="H3" s="719">
        <v>1530</v>
      </c>
      <c r="I3" s="719"/>
      <c r="J3" s="171">
        <v>1300</v>
      </c>
      <c r="K3" s="171">
        <v>3400</v>
      </c>
      <c r="L3" s="171">
        <v>44</v>
      </c>
      <c r="M3" s="171">
        <v>60</v>
      </c>
      <c r="N3" s="171">
        <v>225</v>
      </c>
      <c r="O3" s="171">
        <v>130</v>
      </c>
      <c r="P3" s="171" t="s">
        <v>957</v>
      </c>
      <c r="Q3" s="171" t="s">
        <v>952</v>
      </c>
      <c r="R3" s="171" t="s">
        <v>118</v>
      </c>
      <c r="S3" s="171" t="s">
        <v>118</v>
      </c>
      <c r="T3" s="742">
        <v>33</v>
      </c>
      <c r="U3" s="171">
        <v>31</v>
      </c>
      <c r="W3" s="171" t="s">
        <v>1218</v>
      </c>
      <c r="X3" s="171">
        <v>270</v>
      </c>
      <c r="Y3" s="742">
        <f>Y2/X2*X3</f>
        <v>192.85714285714286</v>
      </c>
      <c r="Z3" s="171">
        <v>165</v>
      </c>
      <c r="AA3" s="742">
        <f>(U3/X3)*100</f>
        <v>11.481481481481481</v>
      </c>
      <c r="AB3" s="742">
        <f t="shared" si="0"/>
        <v>16.074074074074073</v>
      </c>
      <c r="AC3" s="742">
        <f t="shared" si="1"/>
        <v>18.787878787878785</v>
      </c>
      <c r="AD3" s="171">
        <v>2.1</v>
      </c>
      <c r="AE3" s="171">
        <v>7.4</v>
      </c>
      <c r="AF3" s="171" t="s">
        <v>961</v>
      </c>
      <c r="AG3" s="171" t="s">
        <v>118</v>
      </c>
      <c r="AH3" s="171" t="s">
        <v>965</v>
      </c>
      <c r="AI3" s="171" t="s">
        <v>963</v>
      </c>
      <c r="AL3" s="1001">
        <v>37895</v>
      </c>
      <c r="AM3" s="171">
        <v>0</v>
      </c>
      <c r="AN3" s="1001">
        <v>6576.818181818182</v>
      </c>
      <c r="AO3" s="1001">
        <v>31318.18181818182</v>
      </c>
    </row>
    <row r="4" spans="1:45">
      <c r="A4" s="171" t="s">
        <v>848</v>
      </c>
      <c r="B4" s="171" t="s">
        <v>1927</v>
      </c>
      <c r="C4" s="998">
        <v>43647</v>
      </c>
      <c r="D4" s="816" t="s">
        <v>1957</v>
      </c>
      <c r="E4" s="816" t="s">
        <v>1209</v>
      </c>
      <c r="F4" s="719" t="str">
        <f t="shared" si="2"/>
        <v>Taxibus Middel</v>
      </c>
      <c r="G4" s="171">
        <v>7</v>
      </c>
      <c r="H4" s="171">
        <v>2500</v>
      </c>
      <c r="L4" s="171">
        <v>85</v>
      </c>
      <c r="M4" s="171">
        <v>116</v>
      </c>
      <c r="N4" s="171">
        <v>295</v>
      </c>
      <c r="O4" s="171">
        <v>130</v>
      </c>
      <c r="P4" s="171" t="s">
        <v>957</v>
      </c>
      <c r="Q4" s="171" t="s">
        <v>952</v>
      </c>
      <c r="R4" s="171" t="s">
        <v>118</v>
      </c>
      <c r="S4" s="171" t="s">
        <v>118</v>
      </c>
      <c r="T4" s="742">
        <v>41.4</v>
      </c>
      <c r="U4" s="171">
        <v>35</v>
      </c>
      <c r="W4" s="171" t="s">
        <v>1218</v>
      </c>
      <c r="X4" s="171">
        <v>160</v>
      </c>
      <c r="Y4" s="171">
        <v>150</v>
      </c>
      <c r="Z4" s="171">
        <v>140</v>
      </c>
      <c r="AA4" s="742">
        <f>(U4/X4)*100</f>
        <v>21.875</v>
      </c>
      <c r="AB4" s="742">
        <f t="shared" si="0"/>
        <v>23.333333333333332</v>
      </c>
      <c r="AC4" s="742">
        <f>(U4/Z4)*100</f>
        <v>25</v>
      </c>
      <c r="AE4" s="719">
        <v>7.4</v>
      </c>
      <c r="AF4" s="1123" t="s">
        <v>961</v>
      </c>
      <c r="AG4" s="719" t="s">
        <v>1089</v>
      </c>
      <c r="AH4" s="171" t="s">
        <v>962</v>
      </c>
      <c r="AI4" s="546" t="s">
        <v>1088</v>
      </c>
      <c r="AJ4" s="1022">
        <f>(($T4*80%)/$AE4)*60</f>
        <v>268.54054054054052</v>
      </c>
      <c r="AK4" s="1022" t="s">
        <v>118</v>
      </c>
      <c r="AL4" s="1001">
        <f>AO4+AN4+AM4</f>
        <v>54268.5</v>
      </c>
      <c r="AM4" s="171">
        <v>0</v>
      </c>
      <c r="AN4" s="1001">
        <f>AO4*0.21</f>
        <v>9418.5</v>
      </c>
      <c r="AO4" s="707">
        <f>44850</f>
        <v>44850</v>
      </c>
      <c r="AP4" s="171" t="s">
        <v>1924</v>
      </c>
    </row>
    <row r="5" spans="1:45">
      <c r="A5" s="171" t="s">
        <v>848</v>
      </c>
      <c r="B5" s="171" t="s">
        <v>1210</v>
      </c>
      <c r="C5" s="998">
        <v>43800</v>
      </c>
      <c r="D5" s="816" t="s">
        <v>1223</v>
      </c>
      <c r="E5" s="816" t="s">
        <v>895</v>
      </c>
      <c r="F5" s="719" t="str">
        <f t="shared" si="2"/>
        <v>Taxibus Groot</v>
      </c>
      <c r="G5" s="719" t="s">
        <v>1225</v>
      </c>
      <c r="I5" s="171">
        <v>3500</v>
      </c>
      <c r="L5" s="691">
        <v>100</v>
      </c>
      <c r="M5" s="691">
        <v>136</v>
      </c>
      <c r="N5" s="691">
        <v>290</v>
      </c>
      <c r="O5" s="691">
        <v>90</v>
      </c>
      <c r="P5" s="171" t="s">
        <v>957</v>
      </c>
      <c r="Q5" s="171" t="s">
        <v>952</v>
      </c>
      <c r="R5" s="171" t="s">
        <v>118</v>
      </c>
      <c r="S5" s="171" t="s">
        <v>118</v>
      </c>
      <c r="T5" s="171">
        <v>35.799999999999997</v>
      </c>
      <c r="U5" s="742">
        <v>33.6</v>
      </c>
      <c r="W5" s="171" t="s">
        <v>1218</v>
      </c>
      <c r="Y5" s="171">
        <v>120</v>
      </c>
      <c r="Z5" s="171">
        <v>100</v>
      </c>
      <c r="AA5" s="742"/>
      <c r="AB5" s="742">
        <f t="shared" si="0"/>
        <v>28.000000000000004</v>
      </c>
      <c r="AC5" s="742">
        <f t="shared" si="1"/>
        <v>33.6</v>
      </c>
      <c r="AE5" s="546">
        <v>7.2</v>
      </c>
      <c r="AF5" s="199" t="s">
        <v>953</v>
      </c>
      <c r="AG5" s="546">
        <v>40</v>
      </c>
      <c r="AH5" s="546" t="s">
        <v>944</v>
      </c>
      <c r="AI5" s="171" t="s">
        <v>1078</v>
      </c>
      <c r="AL5" s="1001">
        <f>AO5+AN5+AM5</f>
        <v>90750</v>
      </c>
      <c r="AM5" s="171">
        <v>0</v>
      </c>
      <c r="AN5" s="1001">
        <f t="shared" ref="AN5:AN13" si="3">AO5*0.21</f>
        <v>15750</v>
      </c>
      <c r="AO5" s="836">
        <f>65000+_Ombouwkosten_bestel_personen</f>
        <v>75000</v>
      </c>
      <c r="AP5" s="703" t="s">
        <v>1220</v>
      </c>
    </row>
    <row r="6" spans="1:45">
      <c r="A6" s="171" t="s">
        <v>848</v>
      </c>
      <c r="B6" s="171" t="s">
        <v>1210</v>
      </c>
      <c r="C6" s="998">
        <v>43252</v>
      </c>
      <c r="D6" s="816" t="s">
        <v>1222</v>
      </c>
      <c r="E6" s="816" t="s">
        <v>714</v>
      </c>
      <c r="F6" s="719" t="str">
        <f t="shared" si="2"/>
        <v>Rolstoelbus</v>
      </c>
      <c r="G6" s="719" t="s">
        <v>1226</v>
      </c>
      <c r="I6" s="171">
        <v>3500</v>
      </c>
      <c r="L6" s="1001"/>
      <c r="M6" s="1007"/>
      <c r="N6" s="1001"/>
      <c r="O6" s="1001"/>
      <c r="T6" s="171">
        <v>35.799999999999997</v>
      </c>
      <c r="U6" s="742">
        <v>33.6</v>
      </c>
      <c r="W6" s="171" t="s">
        <v>1218</v>
      </c>
      <c r="Y6" s="171">
        <v>100</v>
      </c>
      <c r="Z6" s="171">
        <v>80</v>
      </c>
      <c r="AA6" s="742"/>
      <c r="AB6" s="742">
        <f t="shared" si="0"/>
        <v>33.6</v>
      </c>
      <c r="AC6" s="742">
        <f t="shared" si="1"/>
        <v>42.000000000000007</v>
      </c>
      <c r="AE6" s="546">
        <v>7.2</v>
      </c>
      <c r="AF6" s="199" t="s">
        <v>953</v>
      </c>
      <c r="AG6" s="546">
        <v>40</v>
      </c>
      <c r="AH6" s="546" t="s">
        <v>944</v>
      </c>
      <c r="AI6" s="171" t="s">
        <v>1078</v>
      </c>
      <c r="AL6" s="1001">
        <f>AO6+AN6+AM6</f>
        <v>107690</v>
      </c>
      <c r="AM6" s="171">
        <v>0</v>
      </c>
      <c r="AN6" s="1001">
        <f t="shared" si="3"/>
        <v>18690</v>
      </c>
      <c r="AO6" s="707">
        <f>65000+_Ombouwkosten_rolstoel_groot_ZE</f>
        <v>89000</v>
      </c>
    </row>
    <row r="7" spans="1:45">
      <c r="A7" s="171" t="s">
        <v>848</v>
      </c>
      <c r="B7" s="171" t="s">
        <v>1958</v>
      </c>
      <c r="C7" s="998">
        <v>43739</v>
      </c>
      <c r="D7" s="816" t="s">
        <v>1960</v>
      </c>
      <c r="E7" s="816" t="s">
        <v>895</v>
      </c>
      <c r="F7" s="719" t="str">
        <f t="shared" si="2"/>
        <v>Taxibus Groot</v>
      </c>
      <c r="G7" s="719" t="s">
        <v>1225</v>
      </c>
      <c r="I7" s="171">
        <v>3500</v>
      </c>
      <c r="L7" s="1001"/>
      <c r="M7" s="1007"/>
      <c r="N7" s="1001"/>
      <c r="O7" s="1001"/>
      <c r="T7" s="171">
        <v>33</v>
      </c>
      <c r="U7" s="742"/>
      <c r="W7" s="171" t="s">
        <v>1218</v>
      </c>
      <c r="AA7" s="742"/>
      <c r="AB7" s="742"/>
      <c r="AC7" s="742"/>
      <c r="AE7" s="546"/>
      <c r="AF7" s="199"/>
      <c r="AG7" s="546"/>
      <c r="AH7" s="546"/>
      <c r="AL7" s="1001">
        <f>AO7+AN7+AM7</f>
        <v>87120</v>
      </c>
      <c r="AM7" s="171">
        <v>0</v>
      </c>
      <c r="AN7" s="1001">
        <f t="shared" si="3"/>
        <v>15120</v>
      </c>
      <c r="AO7" s="707">
        <f>62000+_Ombouwkosten_bestel_personen</f>
        <v>72000</v>
      </c>
    </row>
    <row r="8" spans="1:45">
      <c r="A8" s="171" t="s">
        <v>848</v>
      </c>
      <c r="B8" s="171" t="s">
        <v>1958</v>
      </c>
      <c r="C8" s="998">
        <v>43739</v>
      </c>
      <c r="D8" s="816" t="s">
        <v>1960</v>
      </c>
      <c r="E8" s="816" t="s">
        <v>714</v>
      </c>
      <c r="F8" s="719" t="str">
        <f t="shared" si="2"/>
        <v>Rolstoelbus</v>
      </c>
      <c r="G8" s="719" t="s">
        <v>1226</v>
      </c>
      <c r="I8" s="171">
        <v>3500</v>
      </c>
      <c r="L8" s="1001"/>
      <c r="M8" s="1007"/>
      <c r="N8" s="1001"/>
      <c r="O8" s="1001"/>
      <c r="T8" s="171">
        <v>33</v>
      </c>
      <c r="U8" s="742"/>
      <c r="W8" s="171" t="s">
        <v>1218</v>
      </c>
      <c r="AA8" s="742"/>
      <c r="AB8" s="742"/>
      <c r="AC8" s="742"/>
      <c r="AE8" s="546"/>
      <c r="AF8" s="199"/>
      <c r="AG8" s="546"/>
      <c r="AH8" s="546"/>
      <c r="AL8" s="1001">
        <f>AO8+AN8+AM8</f>
        <v>104060</v>
      </c>
      <c r="AM8" s="171">
        <v>0</v>
      </c>
      <c r="AN8" s="1001">
        <f t="shared" si="3"/>
        <v>18060</v>
      </c>
      <c r="AO8" s="707">
        <f>62000+_Ombouwkosten_rolstoel_groot_ZE</f>
        <v>86000</v>
      </c>
    </row>
    <row r="9" spans="1:45">
      <c r="A9" s="171" t="s">
        <v>848</v>
      </c>
      <c r="B9" s="171" t="s">
        <v>1211</v>
      </c>
      <c r="C9" s="998">
        <v>43525</v>
      </c>
      <c r="D9" s="816" t="s">
        <v>1212</v>
      </c>
      <c r="E9" s="816" t="s">
        <v>895</v>
      </c>
      <c r="F9" s="719" t="str">
        <f t="shared" si="2"/>
        <v>Taxibus Groot</v>
      </c>
      <c r="G9" s="719" t="s">
        <v>1225</v>
      </c>
      <c r="H9" s="813"/>
      <c r="I9" s="171">
        <v>3500</v>
      </c>
      <c r="K9" s="1001"/>
      <c r="L9" s="1001"/>
      <c r="M9" s="1007"/>
      <c r="N9" s="1001"/>
      <c r="O9" s="1001"/>
      <c r="T9" s="171">
        <v>56</v>
      </c>
      <c r="U9" s="171">
        <v>52.6</v>
      </c>
      <c r="W9" s="171" t="s">
        <v>1218</v>
      </c>
      <c r="Y9" s="171">
        <v>150</v>
      </c>
      <c r="Z9" s="171">
        <v>130</v>
      </c>
      <c r="AB9" s="742">
        <f t="shared" si="0"/>
        <v>35.06666666666667</v>
      </c>
      <c r="AC9" s="742">
        <f t="shared" si="1"/>
        <v>40.46153846153846</v>
      </c>
      <c r="AE9" s="171">
        <v>7.4</v>
      </c>
      <c r="AF9" s="1033" t="s">
        <v>953</v>
      </c>
      <c r="AG9" s="171">
        <v>40</v>
      </c>
      <c r="AH9" s="171" t="s">
        <v>962</v>
      </c>
      <c r="AI9" s="171" t="s">
        <v>1078</v>
      </c>
      <c r="AL9" s="1001">
        <f t="shared" ref="AL9" si="4">AO9+AN9+AM9</f>
        <v>80465</v>
      </c>
      <c r="AM9" s="171">
        <v>0</v>
      </c>
      <c r="AN9" s="1001">
        <f t="shared" si="3"/>
        <v>13965</v>
      </c>
      <c r="AO9" s="707">
        <f>71500-5000</f>
        <v>66500</v>
      </c>
    </row>
    <row r="10" spans="1:45">
      <c r="A10" s="171" t="s">
        <v>848</v>
      </c>
      <c r="B10" s="171" t="s">
        <v>1211</v>
      </c>
      <c r="C10" s="998">
        <v>43525</v>
      </c>
      <c r="D10" s="816" t="s">
        <v>1212</v>
      </c>
      <c r="E10" s="816" t="s">
        <v>714</v>
      </c>
      <c r="F10" s="719" t="str">
        <f t="shared" si="2"/>
        <v>Rolstoelbus</v>
      </c>
      <c r="G10" s="719" t="s">
        <v>1226</v>
      </c>
      <c r="H10" s="813"/>
      <c r="I10" s="171">
        <v>3500</v>
      </c>
      <c r="K10" s="1001"/>
      <c r="L10" s="1001"/>
      <c r="M10" s="1007"/>
      <c r="N10" s="1001"/>
      <c r="O10" s="1001"/>
      <c r="T10" s="171">
        <v>56</v>
      </c>
      <c r="U10" s="171">
        <v>52.6</v>
      </c>
      <c r="W10" s="171" t="s">
        <v>1218</v>
      </c>
      <c r="Y10" s="171">
        <v>130</v>
      </c>
      <c r="Z10" s="171">
        <v>110</v>
      </c>
      <c r="AB10" s="742">
        <f t="shared" si="0"/>
        <v>40.46153846153846</v>
      </c>
      <c r="AC10" s="742">
        <f t="shared" si="1"/>
        <v>47.81818181818182</v>
      </c>
      <c r="AE10" s="171">
        <v>7.4</v>
      </c>
      <c r="AF10" s="1033" t="s">
        <v>953</v>
      </c>
      <c r="AG10" s="171">
        <v>40</v>
      </c>
      <c r="AH10" s="171" t="s">
        <v>962</v>
      </c>
      <c r="AI10" s="171" t="s">
        <v>1078</v>
      </c>
      <c r="AL10" s="1001">
        <f t="shared" ref="AL10:AL13" si="5">AO10+AN10+AM10</f>
        <v>86515</v>
      </c>
      <c r="AM10" s="171">
        <v>0</v>
      </c>
      <c r="AN10" s="1001">
        <f t="shared" si="3"/>
        <v>15015</v>
      </c>
      <c r="AO10" s="707">
        <f>71500</f>
        <v>71500</v>
      </c>
      <c r="AP10" s="703" t="s">
        <v>1224</v>
      </c>
    </row>
    <row r="11" spans="1:45">
      <c r="A11" s="1032" t="s">
        <v>1926</v>
      </c>
      <c r="B11" s="171" t="s">
        <v>1921</v>
      </c>
      <c r="C11" s="1018">
        <v>2018</v>
      </c>
      <c r="D11" s="816" t="s">
        <v>1923</v>
      </c>
      <c r="E11" s="816" t="s">
        <v>1919</v>
      </c>
      <c r="F11" s="719" t="str">
        <f t="shared" si="2"/>
        <v/>
      </c>
      <c r="G11" s="719" t="s">
        <v>1922</v>
      </c>
      <c r="H11" s="813"/>
      <c r="K11" s="1001"/>
      <c r="L11" s="1001"/>
      <c r="M11" s="1007"/>
      <c r="N11" s="1001"/>
      <c r="O11" s="1001"/>
      <c r="T11" s="1110">
        <v>70</v>
      </c>
      <c r="X11" s="719" t="s">
        <v>1753</v>
      </c>
      <c r="Z11" s="719" t="s">
        <v>1754</v>
      </c>
      <c r="AB11" s="742"/>
      <c r="AC11" s="742"/>
      <c r="AF11" s="1033" t="s">
        <v>953</v>
      </c>
      <c r="AL11" s="1001"/>
      <c r="AN11" s="1001"/>
      <c r="AO11" s="707" t="s">
        <v>1925</v>
      </c>
      <c r="AP11" s="703"/>
    </row>
    <row r="12" spans="1:45">
      <c r="A12" s="1032" t="s">
        <v>1926</v>
      </c>
      <c r="B12" s="171" t="s">
        <v>1921</v>
      </c>
      <c r="C12" s="1018">
        <v>2018</v>
      </c>
      <c r="D12" s="816" t="s">
        <v>1923</v>
      </c>
      <c r="E12" s="816" t="s">
        <v>1919</v>
      </c>
      <c r="F12" s="719" t="str">
        <f t="shared" si="2"/>
        <v/>
      </c>
      <c r="G12" s="719" t="s">
        <v>1922</v>
      </c>
      <c r="H12" s="813"/>
      <c r="K12" s="1001"/>
      <c r="L12" s="1001"/>
      <c r="M12" s="1007"/>
      <c r="N12" s="1001"/>
      <c r="O12" s="1001"/>
      <c r="T12" s="1110">
        <v>76</v>
      </c>
      <c r="X12" s="719" t="s">
        <v>1815</v>
      </c>
      <c r="Z12" s="719" t="s">
        <v>1816</v>
      </c>
      <c r="AB12" s="742"/>
      <c r="AC12" s="742"/>
      <c r="AF12" s="1033" t="s">
        <v>953</v>
      </c>
      <c r="AL12" s="1001"/>
      <c r="AN12" s="1001"/>
      <c r="AO12" s="707" t="s">
        <v>1925</v>
      </c>
      <c r="AP12" s="703"/>
    </row>
    <row r="13" spans="1:45">
      <c r="A13" s="1032" t="s">
        <v>849</v>
      </c>
      <c r="B13" s="171" t="s">
        <v>1149</v>
      </c>
      <c r="C13" s="719" t="s">
        <v>1148</v>
      </c>
      <c r="D13" s="1025" t="s">
        <v>1901</v>
      </c>
      <c r="E13" s="1025" t="s">
        <v>1208</v>
      </c>
      <c r="F13" s="719" t="str">
        <f t="shared" si="2"/>
        <v/>
      </c>
      <c r="G13" s="719">
        <v>5</v>
      </c>
      <c r="H13" s="813"/>
      <c r="K13" s="1001"/>
      <c r="L13" s="1001"/>
      <c r="M13" s="1007"/>
      <c r="N13" s="1001"/>
      <c r="O13" s="1001"/>
      <c r="T13" s="1110">
        <v>23</v>
      </c>
      <c r="X13" s="719">
        <v>170</v>
      </c>
      <c r="AA13" s="742">
        <f t="shared" ref="AA13:AA19" si="6">T13/X13*100</f>
        <v>13.529411764705882</v>
      </c>
      <c r="AB13" s="742">
        <f t="shared" ref="AB13:AB19" si="7">AA13*Factor_WLTP_NEDC</f>
        <v>17.080899892355855</v>
      </c>
      <c r="AC13" s="742"/>
      <c r="AF13" s="1033"/>
      <c r="AL13" s="1001">
        <f t="shared" si="5"/>
        <v>30250</v>
      </c>
      <c r="AM13" s="171">
        <v>0</v>
      </c>
      <c r="AN13" s="1001">
        <f t="shared" si="3"/>
        <v>5250</v>
      </c>
      <c r="AO13" s="707">
        <v>25000</v>
      </c>
      <c r="AP13" s="703"/>
    </row>
    <row r="14" spans="1:45">
      <c r="A14" s="1032" t="s">
        <v>849</v>
      </c>
      <c r="B14" s="171" t="s">
        <v>595</v>
      </c>
      <c r="C14" s="742">
        <v>2021</v>
      </c>
      <c r="D14" s="1025" t="s">
        <v>1900</v>
      </c>
      <c r="E14" s="1025" t="s">
        <v>1208</v>
      </c>
      <c r="F14" s="719" t="str">
        <f t="shared" si="2"/>
        <v/>
      </c>
      <c r="G14" s="171">
        <v>5</v>
      </c>
      <c r="T14" s="1110">
        <v>30</v>
      </c>
      <c r="X14" s="719">
        <v>150</v>
      </c>
      <c r="AA14" s="742">
        <f t="shared" si="6"/>
        <v>20</v>
      </c>
      <c r="AB14" s="742">
        <f t="shared" si="7"/>
        <v>25.250025927830393</v>
      </c>
      <c r="AC14" s="742"/>
      <c r="AQ14" s="171" t="s">
        <v>1755</v>
      </c>
      <c r="AR14" s="171" t="s">
        <v>433</v>
      </c>
      <c r="AS14" s="171" t="s">
        <v>422</v>
      </c>
    </row>
    <row r="15" spans="1:45">
      <c r="A15" s="171" t="s">
        <v>848</v>
      </c>
      <c r="B15" s="171" t="s">
        <v>1918</v>
      </c>
      <c r="C15" s="1018" t="s">
        <v>1807</v>
      </c>
      <c r="D15" s="1025" t="s">
        <v>1920</v>
      </c>
      <c r="E15" s="1025" t="s">
        <v>895</v>
      </c>
      <c r="F15" s="719" t="str">
        <f t="shared" si="2"/>
        <v>Taxibus Groot</v>
      </c>
      <c r="G15" s="719" t="s">
        <v>1226</v>
      </c>
      <c r="T15" s="1110">
        <v>72</v>
      </c>
      <c r="X15" s="719">
        <v>200</v>
      </c>
      <c r="AA15" s="742">
        <f t="shared" si="6"/>
        <v>36</v>
      </c>
      <c r="AB15" s="742">
        <f t="shared" si="7"/>
        <v>45.450046670094707</v>
      </c>
      <c r="AC15" s="742"/>
      <c r="AQ15" s="171" t="s">
        <v>1810</v>
      </c>
      <c r="AR15" s="171" t="s">
        <v>1780</v>
      </c>
      <c r="AS15" s="171" t="s">
        <v>1770</v>
      </c>
    </row>
    <row r="16" spans="1:45">
      <c r="A16" s="171" t="s">
        <v>848</v>
      </c>
      <c r="B16" s="171" t="s">
        <v>1902</v>
      </c>
      <c r="C16" s="1018" t="s">
        <v>1807</v>
      </c>
      <c r="D16" s="1025" t="s">
        <v>1920</v>
      </c>
      <c r="E16" s="1025" t="s">
        <v>895</v>
      </c>
      <c r="F16" s="719" t="str">
        <f t="shared" si="2"/>
        <v>Taxibus Groot</v>
      </c>
      <c r="G16" s="719" t="s">
        <v>1226</v>
      </c>
      <c r="T16" s="1110">
        <v>92</v>
      </c>
      <c r="X16" s="719">
        <v>300</v>
      </c>
      <c r="AA16" s="742">
        <f t="shared" si="6"/>
        <v>30.666666666666664</v>
      </c>
      <c r="AB16" s="742">
        <f t="shared" si="7"/>
        <v>38.716706422673269</v>
      </c>
      <c r="AC16" s="742"/>
      <c r="AQ16" s="171" t="s">
        <v>1810</v>
      </c>
      <c r="AR16" s="171" t="s">
        <v>1780</v>
      </c>
      <c r="AS16" s="171" t="s">
        <v>1770</v>
      </c>
    </row>
    <row r="17" spans="1:45">
      <c r="A17" s="171" t="s">
        <v>848</v>
      </c>
      <c r="B17" s="171" t="s">
        <v>1918</v>
      </c>
      <c r="C17" s="1018" t="s">
        <v>1807</v>
      </c>
      <c r="D17" s="1025" t="s">
        <v>1920</v>
      </c>
      <c r="E17" s="1025" t="s">
        <v>714</v>
      </c>
      <c r="F17" s="719" t="str">
        <f t="shared" si="2"/>
        <v>Rolstoelbus</v>
      </c>
      <c r="G17" s="719" t="s">
        <v>1226</v>
      </c>
      <c r="T17" s="1110">
        <v>72</v>
      </c>
      <c r="X17" s="719">
        <v>200</v>
      </c>
      <c r="AA17" s="742">
        <f t="shared" si="6"/>
        <v>36</v>
      </c>
      <c r="AB17" s="742">
        <f t="shared" si="7"/>
        <v>45.450046670094707</v>
      </c>
      <c r="AC17" s="742"/>
      <c r="AQ17" s="171" t="s">
        <v>1810</v>
      </c>
      <c r="AR17" s="171" t="s">
        <v>1780</v>
      </c>
      <c r="AS17" s="171" t="s">
        <v>1770</v>
      </c>
    </row>
    <row r="18" spans="1:45">
      <c r="A18" s="171" t="s">
        <v>848</v>
      </c>
      <c r="B18" s="171" t="s">
        <v>1902</v>
      </c>
      <c r="C18" s="1018" t="s">
        <v>1807</v>
      </c>
      <c r="D18" s="1025" t="s">
        <v>1920</v>
      </c>
      <c r="E18" s="1025" t="s">
        <v>714</v>
      </c>
      <c r="F18" s="719" t="str">
        <f t="shared" si="2"/>
        <v>Rolstoelbus</v>
      </c>
      <c r="G18" s="719" t="s">
        <v>1226</v>
      </c>
      <c r="T18" s="1110">
        <v>92</v>
      </c>
      <c r="X18" s="719">
        <v>300</v>
      </c>
      <c r="AA18" s="742">
        <f t="shared" si="6"/>
        <v>30.666666666666664</v>
      </c>
      <c r="AB18" s="742">
        <f t="shared" si="7"/>
        <v>38.716706422673269</v>
      </c>
      <c r="AC18" s="742"/>
      <c r="AQ18" s="171" t="s">
        <v>1810</v>
      </c>
      <c r="AR18" s="171" t="s">
        <v>1780</v>
      </c>
      <c r="AS18" s="171" t="s">
        <v>1770</v>
      </c>
    </row>
    <row r="19" spans="1:45" ht="34">
      <c r="A19" s="171" t="s">
        <v>848</v>
      </c>
      <c r="B19" s="171" t="s">
        <v>1934</v>
      </c>
      <c r="C19" s="719" t="s">
        <v>1933</v>
      </c>
      <c r="D19" s="1025" t="s">
        <v>1959</v>
      </c>
      <c r="E19" s="816" t="s">
        <v>1209</v>
      </c>
      <c r="F19" s="719" t="str">
        <f t="shared" si="2"/>
        <v>Taxibus Middel</v>
      </c>
      <c r="G19" s="171">
        <v>7</v>
      </c>
      <c r="I19" s="171">
        <v>3500</v>
      </c>
      <c r="L19" s="171">
        <v>150</v>
      </c>
      <c r="M19" s="171">
        <v>204</v>
      </c>
      <c r="T19" s="171">
        <v>100</v>
      </c>
      <c r="U19" s="171">
        <v>90</v>
      </c>
      <c r="W19" s="171" t="s">
        <v>1218</v>
      </c>
      <c r="X19" s="171">
        <v>405</v>
      </c>
      <c r="Z19" s="171">
        <v>300</v>
      </c>
      <c r="AA19" s="742">
        <f t="shared" si="6"/>
        <v>24.691358024691358</v>
      </c>
      <c r="AB19" s="742">
        <f t="shared" si="7"/>
        <v>31.17287151583999</v>
      </c>
      <c r="AC19" s="742">
        <f>T19/Z19*100</f>
        <v>33.333333333333329</v>
      </c>
      <c r="AE19" s="171">
        <v>11</v>
      </c>
      <c r="AF19" s="171" t="s">
        <v>953</v>
      </c>
      <c r="AG19" s="171">
        <v>150</v>
      </c>
      <c r="AH19" s="171" t="s">
        <v>944</v>
      </c>
      <c r="AJ19" s="1022">
        <f>(($T19*80%)/$AG19)*60</f>
        <v>32</v>
      </c>
      <c r="AP19" s="1124" t="s">
        <v>1928</v>
      </c>
    </row>
    <row r="20" spans="1:45">
      <c r="B20" s="1006"/>
      <c r="K20" s="822"/>
      <c r="M20" s="1001"/>
      <c r="N20" s="1007"/>
      <c r="O20" s="1008"/>
      <c r="P20" s="1001"/>
      <c r="Q20" s="1009"/>
    </row>
    <row r="21" spans="1:45" ht="86" thickBot="1">
      <c r="B21" s="987" t="s">
        <v>1250</v>
      </c>
      <c r="C21" s="987"/>
      <c r="D21" s="987"/>
      <c r="E21" s="987"/>
      <c r="F21" s="988" t="s">
        <v>112</v>
      </c>
      <c r="G21" s="988" t="s">
        <v>923</v>
      </c>
      <c r="H21" s="987" t="s">
        <v>924</v>
      </c>
      <c r="I21" s="987"/>
      <c r="J21" s="987" t="s">
        <v>925</v>
      </c>
      <c r="K21" s="987" t="s">
        <v>926</v>
      </c>
      <c r="L21" s="987" t="s">
        <v>927</v>
      </c>
      <c r="M21" s="987" t="s">
        <v>928</v>
      </c>
      <c r="N21" s="987" t="s">
        <v>929</v>
      </c>
      <c r="O21" s="987" t="s">
        <v>930</v>
      </c>
      <c r="P21" s="987" t="s">
        <v>931</v>
      </c>
      <c r="Q21" s="989" t="s">
        <v>932</v>
      </c>
      <c r="R21" s="989" t="s">
        <v>933</v>
      </c>
      <c r="S21" s="989" t="s">
        <v>934</v>
      </c>
      <c r="T21" s="989" t="s">
        <v>935</v>
      </c>
      <c r="U21" s="989" t="s">
        <v>936</v>
      </c>
      <c r="V21" s="989" t="s">
        <v>1062</v>
      </c>
      <c r="W21" s="989" t="s">
        <v>1063</v>
      </c>
      <c r="X21" s="987" t="s">
        <v>937</v>
      </c>
      <c r="Y21" s="987" t="s">
        <v>938</v>
      </c>
      <c r="Z21" s="987" t="s">
        <v>939</v>
      </c>
      <c r="AA21" s="990" t="s">
        <v>1064</v>
      </c>
      <c r="AB21" s="990" t="s">
        <v>1065</v>
      </c>
      <c r="AC21" s="990" t="s">
        <v>519</v>
      </c>
      <c r="AD21" s="989" t="s">
        <v>940</v>
      </c>
      <c r="AE21" s="991" t="s">
        <v>941</v>
      </c>
      <c r="AF21" s="992" t="s">
        <v>942</v>
      </c>
      <c r="AG21" s="992" t="s">
        <v>943</v>
      </c>
      <c r="AH21" s="992" t="s">
        <v>944</v>
      </c>
      <c r="AI21" s="993" t="s">
        <v>945</v>
      </c>
      <c r="AJ21" s="994" t="s">
        <v>946</v>
      </c>
      <c r="AK21" s="994" t="s">
        <v>947</v>
      </c>
      <c r="AL21" s="995" t="s">
        <v>1066</v>
      </c>
      <c r="AM21" s="996" t="s">
        <v>121</v>
      </c>
      <c r="AN21" s="994" t="s">
        <v>464</v>
      </c>
      <c r="AO21" s="997" t="s">
        <v>948</v>
      </c>
    </row>
    <row r="22" spans="1:45" ht="17" thickTop="1">
      <c r="B22" s="171" t="s">
        <v>1213</v>
      </c>
      <c r="F22" s="171" t="s">
        <v>1208</v>
      </c>
      <c r="G22" s="171">
        <f>AVERAGEIF($F$2:$F$10,"Taxibus Klein",G2:G10)</f>
        <v>6</v>
      </c>
      <c r="H22" s="171">
        <f>AVERAGEIF($F$2:$F$10,"Taxibus Klein",H2:H10)</f>
        <v>1609.5</v>
      </c>
      <c r="J22" s="171">
        <f t="shared" ref="J22:AA22" si="8">AVERAGEIF($F$2:$F$10,"Taxibus Klein",J2:J10)</f>
        <v>1650</v>
      </c>
      <c r="K22" s="171">
        <f t="shared" si="8"/>
        <v>3200</v>
      </c>
      <c r="L22" s="171">
        <f t="shared" si="8"/>
        <v>62</v>
      </c>
      <c r="M22" s="171">
        <f t="shared" si="8"/>
        <v>84.5</v>
      </c>
      <c r="N22" s="171">
        <f t="shared" si="8"/>
        <v>239.5</v>
      </c>
      <c r="O22" s="171">
        <f t="shared" si="8"/>
        <v>126.5</v>
      </c>
      <c r="P22" s="171" t="e">
        <f t="shared" si="8"/>
        <v>#DIV/0!</v>
      </c>
      <c r="Q22" s="171" t="e">
        <f t="shared" si="8"/>
        <v>#DIV/0!</v>
      </c>
      <c r="R22" s="171" t="e">
        <f t="shared" si="8"/>
        <v>#DIV/0!</v>
      </c>
      <c r="S22" s="171" t="e">
        <f t="shared" si="8"/>
        <v>#DIV/0!</v>
      </c>
      <c r="T22" s="171">
        <f t="shared" si="8"/>
        <v>36.5</v>
      </c>
      <c r="U22" s="171">
        <f t="shared" si="8"/>
        <v>34.5</v>
      </c>
      <c r="V22" s="171" t="e">
        <f t="shared" si="8"/>
        <v>#DIV/0!</v>
      </c>
      <c r="W22" s="171" t="e">
        <f t="shared" si="8"/>
        <v>#DIV/0!</v>
      </c>
      <c r="X22" s="171">
        <f t="shared" si="8"/>
        <v>275</v>
      </c>
      <c r="Y22" s="171">
        <f t="shared" si="8"/>
        <v>196.42857142857144</v>
      </c>
      <c r="Z22" s="171">
        <f t="shared" si="8"/>
        <v>177.5</v>
      </c>
      <c r="AA22" s="813">
        <f t="shared" si="8"/>
        <v>12.526455026455025</v>
      </c>
      <c r="AB22" s="813">
        <f>AVERAGEIF($F$2:$F$16,"Taxibus Klein",AB2:AB19)</f>
        <v>17.537037037037038</v>
      </c>
      <c r="AC22" s="813">
        <f t="shared" ref="AC22:AN22" si="9">AVERAGEIF($F$2:$F$10,"Taxibus Klein",AC2:AC10)</f>
        <v>19.393939393939391</v>
      </c>
      <c r="AD22" s="171">
        <f t="shared" si="9"/>
        <v>2.1500000000000004</v>
      </c>
      <c r="AE22" s="171">
        <f t="shared" si="9"/>
        <v>7</v>
      </c>
      <c r="AF22" s="171" t="e">
        <f t="shared" si="9"/>
        <v>#DIV/0!</v>
      </c>
      <c r="AG22" s="171">
        <f t="shared" si="9"/>
        <v>50</v>
      </c>
      <c r="AH22" s="171" t="e">
        <f t="shared" si="9"/>
        <v>#DIV/0!</v>
      </c>
      <c r="AI22" s="171" t="e">
        <f t="shared" si="9"/>
        <v>#DIV/0!</v>
      </c>
      <c r="AJ22" s="171" t="e">
        <f t="shared" si="9"/>
        <v>#DIV/0!</v>
      </c>
      <c r="AK22" s="171" t="e">
        <f t="shared" si="9"/>
        <v>#DIV/0!</v>
      </c>
      <c r="AL22" s="720">
        <f t="shared" si="9"/>
        <v>41292</v>
      </c>
      <c r="AM22" s="171">
        <f t="shared" si="9"/>
        <v>0</v>
      </c>
      <c r="AN22" s="720">
        <f t="shared" si="9"/>
        <v>7166.3801652892562</v>
      </c>
      <c r="AO22" s="720">
        <f>AVERAGEIF($F$2:$F$18,"Taxibus Klein",AO2:AO18)</f>
        <v>34125.619834710742</v>
      </c>
    </row>
    <row r="23" spans="1:45">
      <c r="B23" s="171" t="s">
        <v>1214</v>
      </c>
      <c r="F23" s="171" t="s">
        <v>1209</v>
      </c>
      <c r="G23" s="171">
        <f>AVERAGEIF($F$2:$F$10,"Taxibus Middel",G2:G10)</f>
        <v>7</v>
      </c>
      <c r="H23" s="171">
        <f>AVERAGEIF($F$2:$F$10,"Taxibus Middel",H2:H10)</f>
        <v>2500</v>
      </c>
      <c r="J23" s="171" t="e">
        <f t="shared" ref="J23:AA23" si="10">AVERAGEIF($F$2:$F$10,"Taxibus Middel",J2:J10)</f>
        <v>#DIV/0!</v>
      </c>
      <c r="K23" s="171" t="e">
        <f t="shared" si="10"/>
        <v>#DIV/0!</v>
      </c>
      <c r="L23" s="171">
        <f t="shared" si="10"/>
        <v>85</v>
      </c>
      <c r="M23" s="171">
        <f t="shared" si="10"/>
        <v>116</v>
      </c>
      <c r="N23" s="171">
        <f t="shared" si="10"/>
        <v>295</v>
      </c>
      <c r="O23" s="171">
        <f t="shared" si="10"/>
        <v>130</v>
      </c>
      <c r="P23" s="171" t="e">
        <f t="shared" si="10"/>
        <v>#DIV/0!</v>
      </c>
      <c r="Q23" s="171" t="e">
        <f t="shared" si="10"/>
        <v>#DIV/0!</v>
      </c>
      <c r="R23" s="171" t="e">
        <f t="shared" si="10"/>
        <v>#DIV/0!</v>
      </c>
      <c r="S23" s="171" t="e">
        <f t="shared" si="10"/>
        <v>#DIV/0!</v>
      </c>
      <c r="T23" s="171">
        <f t="shared" si="10"/>
        <v>41.4</v>
      </c>
      <c r="U23" s="171">
        <f t="shared" si="10"/>
        <v>35</v>
      </c>
      <c r="V23" s="171" t="e">
        <f t="shared" si="10"/>
        <v>#DIV/0!</v>
      </c>
      <c r="W23" s="171" t="e">
        <f t="shared" si="10"/>
        <v>#DIV/0!</v>
      </c>
      <c r="X23" s="171">
        <f t="shared" si="10"/>
        <v>160</v>
      </c>
      <c r="Y23" s="171">
        <f t="shared" si="10"/>
        <v>150</v>
      </c>
      <c r="Z23" s="171">
        <f t="shared" si="10"/>
        <v>140</v>
      </c>
      <c r="AA23" s="813">
        <f t="shared" si="10"/>
        <v>21.875</v>
      </c>
      <c r="AB23" s="813">
        <f>AVERAGEIF($F$2:$F$16,"Taxibus Middel",AB2:AB19)</f>
        <v>23.333333333333332</v>
      </c>
      <c r="AC23" s="813">
        <f t="shared" ref="AC23:AN23" si="11">AVERAGEIF($F$2:$F$10,"Taxibus Middel",AC2:AC10)</f>
        <v>25</v>
      </c>
      <c r="AD23" s="171" t="e">
        <f t="shared" si="11"/>
        <v>#DIV/0!</v>
      </c>
      <c r="AE23" s="171">
        <f t="shared" si="11"/>
        <v>7.4</v>
      </c>
      <c r="AF23" s="171" t="e">
        <f t="shared" si="11"/>
        <v>#DIV/0!</v>
      </c>
      <c r="AG23" s="171" t="e">
        <f t="shared" si="11"/>
        <v>#DIV/0!</v>
      </c>
      <c r="AH23" s="171" t="e">
        <f t="shared" si="11"/>
        <v>#DIV/0!</v>
      </c>
      <c r="AI23" s="171" t="e">
        <f t="shared" si="11"/>
        <v>#DIV/0!</v>
      </c>
      <c r="AJ23" s="171">
        <f t="shared" si="11"/>
        <v>268.54054054054052</v>
      </c>
      <c r="AK23" s="171" t="e">
        <f t="shared" si="11"/>
        <v>#DIV/0!</v>
      </c>
      <c r="AL23" s="720">
        <f t="shared" si="11"/>
        <v>54268.5</v>
      </c>
      <c r="AM23" s="171">
        <f t="shared" si="11"/>
        <v>0</v>
      </c>
      <c r="AN23" s="720">
        <f t="shared" si="11"/>
        <v>9418.5</v>
      </c>
      <c r="AO23" s="720">
        <f>AVERAGEIF($F$2:$F$18,"Taxibus Middel",AO2:AO18)</f>
        <v>44850</v>
      </c>
    </row>
    <row r="24" spans="1:45">
      <c r="B24" s="171" t="s">
        <v>1215</v>
      </c>
      <c r="F24" s="617" t="s">
        <v>729</v>
      </c>
      <c r="G24" s="171" t="e">
        <f>AVERAGEIF($F$2:$F$10,"Taxibus Groot",G2:G10)</f>
        <v>#DIV/0!</v>
      </c>
      <c r="H24" s="171" t="e">
        <f>AVERAGEIF($F$2:$F$10,"Taxibus Groot",H2:H10)</f>
        <v>#DIV/0!</v>
      </c>
      <c r="J24" s="171" t="e">
        <f t="shared" ref="J24:AA24" si="12">AVERAGEIF($F$2:$F$10,"Taxibus Groot",J2:J10)</f>
        <v>#DIV/0!</v>
      </c>
      <c r="K24" s="171" t="e">
        <f t="shared" si="12"/>
        <v>#DIV/0!</v>
      </c>
      <c r="L24" s="171">
        <f t="shared" si="12"/>
        <v>100</v>
      </c>
      <c r="M24" s="171">
        <f t="shared" si="12"/>
        <v>136</v>
      </c>
      <c r="N24" s="171">
        <f t="shared" si="12"/>
        <v>290</v>
      </c>
      <c r="O24" s="171">
        <f t="shared" si="12"/>
        <v>90</v>
      </c>
      <c r="P24" s="171" t="e">
        <f t="shared" si="12"/>
        <v>#DIV/0!</v>
      </c>
      <c r="Q24" s="171" t="e">
        <f t="shared" si="12"/>
        <v>#DIV/0!</v>
      </c>
      <c r="R24" s="171" t="e">
        <f t="shared" si="12"/>
        <v>#DIV/0!</v>
      </c>
      <c r="S24" s="171" t="e">
        <f t="shared" si="12"/>
        <v>#DIV/0!</v>
      </c>
      <c r="T24" s="171">
        <f t="shared" si="12"/>
        <v>41.6</v>
      </c>
      <c r="U24" s="171">
        <f t="shared" si="12"/>
        <v>43.1</v>
      </c>
      <c r="V24" s="171" t="e">
        <f t="shared" si="12"/>
        <v>#DIV/0!</v>
      </c>
      <c r="W24" s="171" t="e">
        <f t="shared" si="12"/>
        <v>#DIV/0!</v>
      </c>
      <c r="X24" s="171" t="e">
        <f t="shared" si="12"/>
        <v>#DIV/0!</v>
      </c>
      <c r="Y24" s="171">
        <f t="shared" si="12"/>
        <v>135</v>
      </c>
      <c r="Z24" s="171">
        <f t="shared" si="12"/>
        <v>115</v>
      </c>
      <c r="AA24" s="171" t="e">
        <f t="shared" si="12"/>
        <v>#DIV/0!</v>
      </c>
      <c r="AB24" s="813">
        <f>AVERAGEIF($F$2:$F$18,"Taxibus Groot",AB2:AB19)</f>
        <v>36.80835493985866</v>
      </c>
      <c r="AC24" s="813">
        <f t="shared" ref="AC24:AN24" si="13">AVERAGEIF($F$2:$F$10,"Taxibus Groot",AC2:AC10)</f>
        <v>37.030769230769231</v>
      </c>
      <c r="AD24" s="171" t="e">
        <f t="shared" si="13"/>
        <v>#DIV/0!</v>
      </c>
      <c r="AE24" s="171">
        <f t="shared" si="13"/>
        <v>7.3000000000000007</v>
      </c>
      <c r="AF24" s="171" t="e">
        <f t="shared" si="13"/>
        <v>#DIV/0!</v>
      </c>
      <c r="AG24" s="171">
        <f t="shared" si="13"/>
        <v>40</v>
      </c>
      <c r="AH24" s="171" t="e">
        <f t="shared" si="13"/>
        <v>#DIV/0!</v>
      </c>
      <c r="AI24" s="171" t="e">
        <f t="shared" si="13"/>
        <v>#DIV/0!</v>
      </c>
      <c r="AJ24" s="171" t="e">
        <f t="shared" si="13"/>
        <v>#DIV/0!</v>
      </c>
      <c r="AK24" s="171" t="e">
        <f t="shared" si="13"/>
        <v>#DIV/0!</v>
      </c>
      <c r="AL24" s="720">
        <f t="shared" si="13"/>
        <v>86111.666666666672</v>
      </c>
      <c r="AM24" s="171">
        <f t="shared" si="13"/>
        <v>0</v>
      </c>
      <c r="AN24" s="720">
        <f t="shared" si="13"/>
        <v>14945</v>
      </c>
      <c r="AO24" s="720">
        <f>AVERAGEIF($F$2:$F$18,"Taxibus Groot",AO2:AO18)</f>
        <v>71166.666666666672</v>
      </c>
    </row>
    <row r="25" spans="1:45">
      <c r="B25" s="617" t="s">
        <v>1216</v>
      </c>
      <c r="F25" s="617" t="s">
        <v>714</v>
      </c>
      <c r="G25" s="171" t="e">
        <f>AVERAGEIF($F$2:$F$10,"Rolstoelbus",G2:G10)</f>
        <v>#DIV/0!</v>
      </c>
      <c r="H25" s="171" t="e">
        <f>AVERAGEIF($F$2:$F$10,"Rolstoelbus",H2:H10)</f>
        <v>#DIV/0!</v>
      </c>
      <c r="J25" s="171" t="e">
        <f t="shared" ref="J25:AA25" si="14">AVERAGEIF($F$2:$F$10,"Rolstoelbus",J2:J10)</f>
        <v>#DIV/0!</v>
      </c>
      <c r="K25" s="171" t="e">
        <f t="shared" si="14"/>
        <v>#DIV/0!</v>
      </c>
      <c r="L25" s="171" t="e">
        <f t="shared" si="14"/>
        <v>#DIV/0!</v>
      </c>
      <c r="M25" s="171" t="e">
        <f t="shared" si="14"/>
        <v>#DIV/0!</v>
      </c>
      <c r="N25" s="171" t="e">
        <f t="shared" si="14"/>
        <v>#DIV/0!</v>
      </c>
      <c r="O25" s="171" t="e">
        <f t="shared" si="14"/>
        <v>#DIV/0!</v>
      </c>
      <c r="P25" s="171" t="e">
        <f t="shared" si="14"/>
        <v>#DIV/0!</v>
      </c>
      <c r="Q25" s="171" t="e">
        <f t="shared" si="14"/>
        <v>#DIV/0!</v>
      </c>
      <c r="R25" s="171" t="e">
        <f t="shared" si="14"/>
        <v>#DIV/0!</v>
      </c>
      <c r="S25" s="171" t="e">
        <f t="shared" si="14"/>
        <v>#DIV/0!</v>
      </c>
      <c r="T25" s="171">
        <f t="shared" si="14"/>
        <v>41.6</v>
      </c>
      <c r="U25" s="171">
        <f t="shared" si="14"/>
        <v>43.1</v>
      </c>
      <c r="V25" s="171" t="e">
        <f t="shared" si="14"/>
        <v>#DIV/0!</v>
      </c>
      <c r="W25" s="171" t="e">
        <f t="shared" si="14"/>
        <v>#DIV/0!</v>
      </c>
      <c r="X25" s="171" t="e">
        <f t="shared" si="14"/>
        <v>#DIV/0!</v>
      </c>
      <c r="Y25" s="171">
        <f t="shared" si="14"/>
        <v>115</v>
      </c>
      <c r="Z25" s="171">
        <f t="shared" si="14"/>
        <v>95</v>
      </c>
      <c r="AA25" s="171" t="e">
        <f t="shared" si="14"/>
        <v>#DIV/0!</v>
      </c>
      <c r="AB25" s="813">
        <f>AVERAGEIF($F$2:$F$16,"Rolstoelbus",AB2:AB19)</f>
        <v>37.030769230769231</v>
      </c>
      <c r="AC25" s="813">
        <f t="shared" ref="AC25:AN25" si="15">AVERAGEIF($F$2:$F$10,"Rolstoelbus",AC2:AC10)</f>
        <v>44.909090909090914</v>
      </c>
      <c r="AD25" s="171" t="e">
        <f t="shared" si="15"/>
        <v>#DIV/0!</v>
      </c>
      <c r="AE25" s="616">
        <f t="shared" si="15"/>
        <v>7.3000000000000007</v>
      </c>
      <c r="AF25" s="171" t="e">
        <f t="shared" si="15"/>
        <v>#DIV/0!</v>
      </c>
      <c r="AG25" s="171">
        <f t="shared" si="15"/>
        <v>40</v>
      </c>
      <c r="AH25" s="171" t="e">
        <f t="shared" si="15"/>
        <v>#DIV/0!</v>
      </c>
      <c r="AI25" s="171" t="e">
        <f t="shared" si="15"/>
        <v>#DIV/0!</v>
      </c>
      <c r="AJ25" s="171" t="e">
        <f t="shared" si="15"/>
        <v>#DIV/0!</v>
      </c>
      <c r="AK25" s="171" t="e">
        <f t="shared" si="15"/>
        <v>#DIV/0!</v>
      </c>
      <c r="AL25" s="720">
        <f t="shared" si="15"/>
        <v>99421.666666666672</v>
      </c>
      <c r="AM25" s="171">
        <f t="shared" si="15"/>
        <v>0</v>
      </c>
      <c r="AN25" s="720">
        <f t="shared" si="15"/>
        <v>17255</v>
      </c>
      <c r="AO25" s="720">
        <f>AVERAGEIF($F$2:$F$18,"Rolstoelbus",AO2:AO18)</f>
        <v>82166.666666666672</v>
      </c>
    </row>
    <row r="27" spans="1:45">
      <c r="B27" s="546"/>
      <c r="C27" s="546"/>
      <c r="D27" s="546"/>
      <c r="E27" s="546"/>
      <c r="F27" s="546"/>
      <c r="G27" s="546"/>
      <c r="H27" s="686"/>
      <c r="I27" s="686"/>
      <c r="J27" s="686"/>
      <c r="K27" s="985"/>
      <c r="L27" s="985"/>
      <c r="M27" s="986"/>
      <c r="N27" s="986"/>
      <c r="O27" s="986"/>
      <c r="P27" s="986"/>
      <c r="Q27" s="986"/>
    </row>
    <row r="28" spans="1:45">
      <c r="B28" s="546"/>
      <c r="C28" s="546"/>
      <c r="D28" s="546"/>
      <c r="E28" s="546"/>
      <c r="F28" s="546"/>
      <c r="G28" s="546"/>
      <c r="H28" s="546"/>
      <c r="I28" s="546"/>
      <c r="J28" s="686"/>
      <c r="K28" s="824"/>
      <c r="L28" s="824"/>
      <c r="M28" s="824"/>
      <c r="N28" s="824"/>
      <c r="O28" s="824"/>
      <c r="P28" s="824"/>
      <c r="Q28" s="824"/>
    </row>
    <row r="29" spans="1:45">
      <c r="Z29" s="171">
        <v>7.2</v>
      </c>
      <c r="AA29" s="171" t="s">
        <v>1962</v>
      </c>
    </row>
    <row r="30" spans="1:45">
      <c r="S30" s="171">
        <f>50/0.25</f>
        <v>200</v>
      </c>
      <c r="Z30" s="616">
        <v>0.42</v>
      </c>
      <c r="AA30" s="171" t="s">
        <v>1963</v>
      </c>
    </row>
    <row r="33" spans="5:5">
      <c r="E33" s="171">
        <f>7.4/0.25*80%</f>
        <v>23.680000000000003</v>
      </c>
    </row>
  </sheetData>
  <sheetProtection algorithmName="SHA-512" hashValue="YXHEh6YJJVpIAyAue82DWK7k5MVT2OKWhfcYAumRyjsxRylto4MOTu4LTlfzrA4T8e+jFEigGg4BmfLce7wx5Q==" saltValue="ThFUqIl07R1N7YcWuwejyQ==" spinCount="100000" sheet="1" objects="1" scenarios="1"/>
  <autoFilter ref="A1:AS19" xr:uid="{CFC60109-2802-BC46-9AFA-A654D58EE848}"/>
  <hyperlinks>
    <hyperlink ref="AP5" r:id="rId1" xr:uid="{D4DA8BA7-EB04-B641-A1CF-8C6162B2155E}"/>
    <hyperlink ref="AP10" r:id="rId2" xr:uid="{E81942D9-DCA2-C947-B886-FF69FE2BB417}"/>
    <hyperlink ref="AP19" r:id="rId3" display="https://autobahn.eu/artikel/19438/mercedes-benz-eqv-het-eerste-elektrische-premium-busje" xr:uid="{65638ADE-63E5-F545-9372-93BC0867300D}"/>
  </hyperlinks>
  <pageMargins left="0.7" right="0.7" top="0.75" bottom="0.75" header="0.3" footer="0.3"/>
  <pageSetup paperSize="9" orientation="portrait" horizontalDpi="0" verticalDpi="0"/>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194BC-6EC6-A14B-8A5D-8A863F93EF5B}">
  <sheetPr codeName="Sheet18">
    <tabColor theme="4"/>
  </sheetPr>
  <dimension ref="A1:O33"/>
  <sheetViews>
    <sheetView workbookViewId="0">
      <selection sqref="A1:XFD1048576"/>
    </sheetView>
  </sheetViews>
  <sheetFormatPr baseColWidth="10" defaultRowHeight="16"/>
  <cols>
    <col min="1" max="1" width="12.6640625" style="171" bestFit="1" customWidth="1"/>
    <col min="2" max="2" width="33.83203125" style="171" bestFit="1" customWidth="1"/>
    <col min="3" max="3" width="9" style="171" bestFit="1" customWidth="1"/>
    <col min="4" max="4" width="10.5" style="171" bestFit="1" customWidth="1"/>
    <col min="5" max="6" width="10.83203125" style="171"/>
    <col min="7" max="7" width="26.83203125" style="171" bestFit="1" customWidth="1"/>
    <col min="8" max="8" width="20" style="171" bestFit="1" customWidth="1"/>
    <col min="9" max="9" width="16.33203125" style="171" bestFit="1" customWidth="1"/>
    <col min="10" max="10" width="10.83203125" style="171"/>
    <col min="11" max="11" width="25" style="171" bestFit="1" customWidth="1"/>
    <col min="12" max="12" width="26" style="171" bestFit="1" customWidth="1"/>
    <col min="13" max="13" width="10.33203125" style="171" bestFit="1" customWidth="1"/>
    <col min="14" max="14" width="10.83203125" style="171"/>
    <col min="15" max="15" width="83.1640625" style="171" bestFit="1" customWidth="1"/>
    <col min="16" max="16384" width="10.83203125" style="171"/>
  </cols>
  <sheetData>
    <row r="1" spans="1:15" s="652" customFormat="1">
      <c r="A1" s="652" t="s">
        <v>1898</v>
      </c>
      <c r="B1" s="652" t="s">
        <v>1885</v>
      </c>
      <c r="C1" s="652" t="s">
        <v>1886</v>
      </c>
      <c r="D1" s="652" t="s">
        <v>1899</v>
      </c>
      <c r="E1" s="652" t="s">
        <v>1887</v>
      </c>
      <c r="F1" s="652" t="s">
        <v>1888</v>
      </c>
      <c r="G1" s="652" t="s">
        <v>1889</v>
      </c>
      <c r="H1" s="652" t="s">
        <v>1890</v>
      </c>
      <c r="I1" s="652" t="s">
        <v>1891</v>
      </c>
      <c r="J1" s="652" t="s">
        <v>1892</v>
      </c>
      <c r="K1" s="652" t="s">
        <v>1893</v>
      </c>
      <c r="L1" s="652" t="s">
        <v>1894</v>
      </c>
      <c r="M1" s="652" t="s">
        <v>1895</v>
      </c>
      <c r="N1" s="652" t="s">
        <v>1896</v>
      </c>
      <c r="O1" s="652" t="s">
        <v>1897</v>
      </c>
    </row>
    <row r="2" spans="1:15" s="1125" customFormat="1">
      <c r="A2" s="1125" t="s">
        <v>849</v>
      </c>
      <c r="B2" s="1125" t="s">
        <v>1748</v>
      </c>
      <c r="C2" s="1125" t="s">
        <v>1749</v>
      </c>
      <c r="D2" s="1125" t="s">
        <v>1750</v>
      </c>
      <c r="E2" s="1125" t="s">
        <v>1751</v>
      </c>
      <c r="F2" s="1125" t="s">
        <v>1752</v>
      </c>
      <c r="G2" s="1125" t="s">
        <v>1753</v>
      </c>
      <c r="H2" s="1125" t="s">
        <v>1754</v>
      </c>
      <c r="I2" s="1125" t="s">
        <v>1755</v>
      </c>
      <c r="J2" s="1125" t="s">
        <v>433</v>
      </c>
      <c r="K2" s="1125" t="s">
        <v>422</v>
      </c>
      <c r="L2" s="1125" t="s">
        <v>1756</v>
      </c>
      <c r="M2" s="1125" t="s">
        <v>1757</v>
      </c>
      <c r="N2" s="1125" t="s">
        <v>1758</v>
      </c>
      <c r="O2" s="1125" t="s">
        <v>1759</v>
      </c>
    </row>
    <row r="3" spans="1:15" s="1125" customFormat="1">
      <c r="A3" s="1125" t="s">
        <v>849</v>
      </c>
      <c r="B3" s="1125" t="s">
        <v>1760</v>
      </c>
      <c r="C3" s="1125" t="s">
        <v>1749</v>
      </c>
      <c r="D3" s="1125" t="s">
        <v>1750</v>
      </c>
      <c r="E3" s="1125" t="s">
        <v>1761</v>
      </c>
      <c r="F3" s="1125" t="s">
        <v>1762</v>
      </c>
      <c r="G3" s="1125" t="s">
        <v>1753</v>
      </c>
      <c r="H3" s="1125" t="s">
        <v>1754</v>
      </c>
      <c r="I3" s="1125" t="s">
        <v>1763</v>
      </c>
      <c r="J3" s="1125" t="s">
        <v>1764</v>
      </c>
      <c r="K3" s="1125" t="s">
        <v>422</v>
      </c>
      <c r="L3" s="1125" t="s">
        <v>1765</v>
      </c>
      <c r="M3" s="1125" t="s">
        <v>1750</v>
      </c>
      <c r="N3" s="1125" t="s">
        <v>1758</v>
      </c>
      <c r="O3" s="1125" t="s">
        <v>1766</v>
      </c>
    </row>
    <row r="4" spans="1:15">
      <c r="A4" s="171" t="s">
        <v>848</v>
      </c>
      <c r="B4" s="171" t="s">
        <v>1767</v>
      </c>
      <c r="C4" s="171" t="s">
        <v>1749</v>
      </c>
      <c r="D4" s="171" t="s">
        <v>1750</v>
      </c>
      <c r="E4" s="171" t="s">
        <v>1761</v>
      </c>
      <c r="F4" s="171" t="s">
        <v>1768</v>
      </c>
      <c r="G4" s="171" t="s">
        <v>1753</v>
      </c>
      <c r="H4" s="171" t="s">
        <v>1754</v>
      </c>
      <c r="I4" s="171" t="s">
        <v>1769</v>
      </c>
      <c r="J4" s="171" t="s">
        <v>428</v>
      </c>
      <c r="K4" s="171" t="s">
        <v>1770</v>
      </c>
      <c r="L4" s="171" t="s">
        <v>1771</v>
      </c>
      <c r="M4" s="171" t="s">
        <v>1750</v>
      </c>
      <c r="N4" s="171" t="s">
        <v>1772</v>
      </c>
      <c r="O4" s="171" t="s">
        <v>1773</v>
      </c>
    </row>
    <row r="5" spans="1:15" s="1126" customFormat="1">
      <c r="A5" s="1126" t="s">
        <v>849</v>
      </c>
      <c r="B5" s="1126" t="s">
        <v>1774</v>
      </c>
      <c r="C5" s="1126" t="s">
        <v>1749</v>
      </c>
      <c r="D5" s="1126" t="s">
        <v>1775</v>
      </c>
      <c r="E5" s="1126" t="s">
        <v>1775</v>
      </c>
      <c r="F5" s="1126" t="s">
        <v>1776</v>
      </c>
      <c r="G5" s="1126" t="s">
        <v>1777</v>
      </c>
      <c r="H5" s="1126" t="s">
        <v>1778</v>
      </c>
      <c r="I5" s="1126" t="s">
        <v>1779</v>
      </c>
      <c r="J5" s="1126" t="s">
        <v>1780</v>
      </c>
      <c r="K5" s="1126" t="s">
        <v>431</v>
      </c>
      <c r="L5" s="1126" t="s">
        <v>1775</v>
      </c>
      <c r="M5" s="1126" t="s">
        <v>1781</v>
      </c>
      <c r="N5" s="1126" t="s">
        <v>1782</v>
      </c>
      <c r="O5" s="1126" t="s">
        <v>1783</v>
      </c>
    </row>
    <row r="6" spans="1:15">
      <c r="A6" s="171" t="s">
        <v>848</v>
      </c>
      <c r="B6" s="171" t="s">
        <v>1784</v>
      </c>
      <c r="C6" s="171" t="s">
        <v>1749</v>
      </c>
      <c r="D6" s="171" t="s">
        <v>1750</v>
      </c>
      <c r="E6" s="171" t="s">
        <v>1786</v>
      </c>
      <c r="F6" s="171" t="s">
        <v>1776</v>
      </c>
      <c r="G6" s="171" t="s">
        <v>1788</v>
      </c>
      <c r="H6" s="171" t="s">
        <v>1790</v>
      </c>
      <c r="I6" s="171" t="s">
        <v>1763</v>
      </c>
      <c r="J6" s="171" t="s">
        <v>1764</v>
      </c>
      <c r="K6" s="171" t="s">
        <v>422</v>
      </c>
      <c r="L6" s="171" t="s">
        <v>1781</v>
      </c>
      <c r="M6" s="171" t="s">
        <v>1781</v>
      </c>
      <c r="N6" s="171" t="s">
        <v>1758</v>
      </c>
      <c r="O6" s="171" t="s">
        <v>1792</v>
      </c>
    </row>
    <row r="7" spans="1:15" s="1126" customFormat="1">
      <c r="A7" s="1126" t="s">
        <v>849</v>
      </c>
      <c r="B7" s="1126" t="s">
        <v>1785</v>
      </c>
      <c r="F7" s="1126" t="s">
        <v>1787</v>
      </c>
      <c r="G7" s="1126" t="s">
        <v>1789</v>
      </c>
      <c r="H7" s="1126" t="s">
        <v>1791</v>
      </c>
    </row>
    <row r="8" spans="1:15">
      <c r="A8" s="171" t="s">
        <v>848</v>
      </c>
      <c r="B8" s="171" t="s">
        <v>1793</v>
      </c>
      <c r="C8" s="171" t="s">
        <v>1749</v>
      </c>
      <c r="D8" s="171" t="s">
        <v>1750</v>
      </c>
      <c r="E8" s="171" t="s">
        <v>1795</v>
      </c>
      <c r="F8" s="171" t="s">
        <v>1796</v>
      </c>
      <c r="G8" s="171" t="s">
        <v>1797</v>
      </c>
      <c r="H8" s="171" t="s">
        <v>1798</v>
      </c>
      <c r="I8" s="171" t="s">
        <v>1755</v>
      </c>
      <c r="J8" s="171" t="s">
        <v>433</v>
      </c>
      <c r="K8" s="171" t="s">
        <v>422</v>
      </c>
      <c r="L8" s="171" t="s">
        <v>1756</v>
      </c>
      <c r="M8" s="171" t="s">
        <v>1750</v>
      </c>
      <c r="N8" s="171" t="s">
        <v>1758</v>
      </c>
      <c r="O8" s="171" t="s">
        <v>1799</v>
      </c>
    </row>
    <row r="9" spans="1:15" s="1125" customFormat="1">
      <c r="A9" s="1125" t="s">
        <v>849</v>
      </c>
      <c r="B9" s="1125" t="s">
        <v>1794</v>
      </c>
    </row>
    <row r="10" spans="1:15" s="1125" customFormat="1">
      <c r="A10" s="1125" t="s">
        <v>849</v>
      </c>
      <c r="B10" s="1125" t="s">
        <v>1800</v>
      </c>
      <c r="C10" s="1125" t="s">
        <v>1801</v>
      </c>
      <c r="D10" s="1125" t="s">
        <v>1750</v>
      </c>
      <c r="E10" s="1125" t="s">
        <v>1795</v>
      </c>
      <c r="F10" s="1125" t="s">
        <v>1758</v>
      </c>
      <c r="G10" s="1125" t="s">
        <v>1802</v>
      </c>
      <c r="H10" s="1125" t="s">
        <v>1758</v>
      </c>
      <c r="I10" s="1125" t="s">
        <v>1755</v>
      </c>
      <c r="J10" s="1125" t="s">
        <v>433</v>
      </c>
      <c r="K10" s="1125" t="s">
        <v>422</v>
      </c>
      <c r="L10" s="1125" t="s">
        <v>1758</v>
      </c>
      <c r="M10" s="1125" t="s">
        <v>1758</v>
      </c>
      <c r="N10" s="1125" t="s">
        <v>1758</v>
      </c>
      <c r="O10" s="1125" t="s">
        <v>1803</v>
      </c>
    </row>
    <row r="11" spans="1:15" s="1126" customFormat="1">
      <c r="A11" s="1126" t="s">
        <v>849</v>
      </c>
      <c r="B11" s="1126" t="s">
        <v>1804</v>
      </c>
      <c r="C11" s="1126" t="s">
        <v>1801</v>
      </c>
      <c r="D11" s="1126" t="s">
        <v>1757</v>
      </c>
      <c r="E11" s="1126" t="s">
        <v>1795</v>
      </c>
      <c r="F11" s="1126" t="s">
        <v>1758</v>
      </c>
      <c r="G11" s="1126" t="s">
        <v>1802</v>
      </c>
      <c r="H11" s="1126" t="s">
        <v>1758</v>
      </c>
      <c r="I11" s="1126" t="s">
        <v>1763</v>
      </c>
      <c r="J11" s="1126" t="s">
        <v>1764</v>
      </c>
      <c r="K11" s="1126" t="s">
        <v>422</v>
      </c>
      <c r="L11" s="1126" t="s">
        <v>1758</v>
      </c>
      <c r="M11" s="1126" t="s">
        <v>1758</v>
      </c>
      <c r="N11" s="1126" t="s">
        <v>1758</v>
      </c>
      <c r="O11" s="1126" t="s">
        <v>1805</v>
      </c>
    </row>
    <row r="12" spans="1:15">
      <c r="A12" s="171" t="s">
        <v>848</v>
      </c>
      <c r="B12" s="171" t="s">
        <v>1806</v>
      </c>
      <c r="C12" s="171" t="s">
        <v>1749</v>
      </c>
      <c r="D12" s="171" t="s">
        <v>1750</v>
      </c>
      <c r="E12" s="171" t="s">
        <v>1807</v>
      </c>
      <c r="F12" s="171" t="s">
        <v>1808</v>
      </c>
      <c r="G12" s="171" t="s">
        <v>1753</v>
      </c>
      <c r="H12" s="171" t="s">
        <v>1754</v>
      </c>
      <c r="I12" s="171" t="s">
        <v>1810</v>
      </c>
      <c r="J12" s="171" t="s">
        <v>1780</v>
      </c>
      <c r="K12" s="171" t="s">
        <v>1770</v>
      </c>
      <c r="L12" s="171" t="s">
        <v>1781</v>
      </c>
      <c r="M12" s="171" t="s">
        <v>1750</v>
      </c>
      <c r="N12" s="171" t="s">
        <v>1758</v>
      </c>
      <c r="O12" s="171" t="s">
        <v>1811</v>
      </c>
    </row>
    <row r="13" spans="1:15">
      <c r="A13" s="171" t="s">
        <v>848</v>
      </c>
      <c r="B13" s="171" t="s">
        <v>1806</v>
      </c>
      <c r="C13" s="171" t="s">
        <v>1749</v>
      </c>
      <c r="D13" s="171" t="s">
        <v>1750</v>
      </c>
      <c r="E13" s="171" t="s">
        <v>1807</v>
      </c>
      <c r="F13" s="171" t="s">
        <v>1809</v>
      </c>
      <c r="G13" s="171" t="s">
        <v>1789</v>
      </c>
      <c r="H13" s="171" t="s">
        <v>1791</v>
      </c>
      <c r="I13" s="171" t="s">
        <v>1810</v>
      </c>
      <c r="J13" s="171" t="s">
        <v>1780</v>
      </c>
      <c r="K13" s="171" t="s">
        <v>1770</v>
      </c>
      <c r="L13" s="171" t="s">
        <v>1781</v>
      </c>
      <c r="M13" s="171" t="s">
        <v>1750</v>
      </c>
      <c r="N13" s="171" t="s">
        <v>1758</v>
      </c>
      <c r="O13" s="171" t="s">
        <v>1811</v>
      </c>
    </row>
    <row r="14" spans="1:15">
      <c r="A14" s="171" t="s">
        <v>848</v>
      </c>
      <c r="B14" s="171" t="s">
        <v>1812</v>
      </c>
      <c r="C14" s="171" t="s">
        <v>1749</v>
      </c>
      <c r="D14" s="171" t="s">
        <v>1750</v>
      </c>
      <c r="E14" s="171" t="s">
        <v>1807</v>
      </c>
      <c r="F14" s="171" t="s">
        <v>1813</v>
      </c>
      <c r="G14" s="171" t="s">
        <v>1753</v>
      </c>
      <c r="H14" s="171" t="s">
        <v>1754</v>
      </c>
      <c r="I14" s="171" t="s">
        <v>1810</v>
      </c>
      <c r="J14" s="171" t="s">
        <v>1780</v>
      </c>
      <c r="K14" s="171" t="s">
        <v>1770</v>
      </c>
      <c r="L14" s="171" t="s">
        <v>1781</v>
      </c>
      <c r="M14" s="171" t="s">
        <v>1750</v>
      </c>
      <c r="N14" s="171" t="s">
        <v>1758</v>
      </c>
      <c r="O14" s="171" t="s">
        <v>1817</v>
      </c>
    </row>
    <row r="15" spans="1:15">
      <c r="A15" s="171" t="s">
        <v>848</v>
      </c>
      <c r="B15" s="171" t="s">
        <v>1812</v>
      </c>
      <c r="C15" s="171" t="s">
        <v>1749</v>
      </c>
      <c r="D15" s="171" t="s">
        <v>1750</v>
      </c>
      <c r="E15" s="171" t="s">
        <v>1807</v>
      </c>
      <c r="F15" s="171" t="s">
        <v>1814</v>
      </c>
      <c r="G15" s="171" t="s">
        <v>1815</v>
      </c>
      <c r="H15" s="171" t="s">
        <v>1816</v>
      </c>
      <c r="I15" s="171" t="s">
        <v>1810</v>
      </c>
      <c r="J15" s="171" t="s">
        <v>1780</v>
      </c>
      <c r="K15" s="171" t="s">
        <v>1770</v>
      </c>
      <c r="L15" s="171" t="s">
        <v>1781</v>
      </c>
      <c r="M15" s="171" t="s">
        <v>1750</v>
      </c>
      <c r="N15" s="171" t="s">
        <v>1758</v>
      </c>
      <c r="O15" s="171" t="s">
        <v>1817</v>
      </c>
    </row>
    <row r="16" spans="1:15" s="1125" customFormat="1">
      <c r="A16" s="1125" t="s">
        <v>849</v>
      </c>
      <c r="B16" s="1125" t="s">
        <v>1818</v>
      </c>
      <c r="C16" s="1125" t="s">
        <v>1749</v>
      </c>
      <c r="D16" s="1125" t="s">
        <v>1750</v>
      </c>
      <c r="E16" s="1125" t="s">
        <v>1807</v>
      </c>
      <c r="F16" s="1125" t="s">
        <v>1752</v>
      </c>
      <c r="G16" s="1125" t="s">
        <v>1819</v>
      </c>
      <c r="H16" s="1125" t="s">
        <v>1820</v>
      </c>
      <c r="I16" s="1125" t="s">
        <v>1769</v>
      </c>
      <c r="J16" s="1125" t="s">
        <v>428</v>
      </c>
      <c r="K16" s="1125" t="s">
        <v>1770</v>
      </c>
      <c r="L16" s="1125" t="s">
        <v>1821</v>
      </c>
      <c r="M16" s="1125" t="s">
        <v>1757</v>
      </c>
      <c r="N16" s="1125" t="s">
        <v>1822</v>
      </c>
      <c r="O16" s="1125" t="s">
        <v>1823</v>
      </c>
    </row>
    <row r="17" spans="1:15" s="1126" customFormat="1">
      <c r="A17" s="1126" t="s">
        <v>849</v>
      </c>
      <c r="B17" s="1126" t="s">
        <v>1824</v>
      </c>
      <c r="C17" s="1126" t="s">
        <v>1801</v>
      </c>
      <c r="D17" s="1126" t="s">
        <v>1825</v>
      </c>
      <c r="E17" s="1126" t="s">
        <v>1807</v>
      </c>
      <c r="F17" s="1126" t="s">
        <v>1758</v>
      </c>
      <c r="G17" s="1126" t="s">
        <v>1826</v>
      </c>
      <c r="H17" s="1126" t="s">
        <v>1758</v>
      </c>
      <c r="I17" s="1126" t="s">
        <v>1827</v>
      </c>
      <c r="J17" s="1126" t="s">
        <v>1828</v>
      </c>
      <c r="K17" s="1126" t="s">
        <v>1770</v>
      </c>
      <c r="L17" s="1126" t="s">
        <v>1758</v>
      </c>
      <c r="M17" s="1126" t="s">
        <v>1758</v>
      </c>
      <c r="N17" s="1126" t="s">
        <v>1758</v>
      </c>
      <c r="O17" s="1126" t="s">
        <v>1829</v>
      </c>
    </row>
    <row r="18" spans="1:15" s="1126" customFormat="1">
      <c r="A18" s="1126" t="s">
        <v>849</v>
      </c>
      <c r="B18" s="1126" t="s">
        <v>1830</v>
      </c>
      <c r="C18" s="1126" t="s">
        <v>1801</v>
      </c>
      <c r="D18" s="1126" t="s">
        <v>1825</v>
      </c>
      <c r="E18" s="1126" t="s">
        <v>1807</v>
      </c>
      <c r="F18" s="1126" t="s">
        <v>1758</v>
      </c>
      <c r="G18" s="1126" t="s">
        <v>1831</v>
      </c>
      <c r="H18" s="1126" t="s">
        <v>1758</v>
      </c>
      <c r="I18" s="1126" t="s">
        <v>1827</v>
      </c>
      <c r="J18" s="1126" t="s">
        <v>428</v>
      </c>
      <c r="K18" s="1126" t="s">
        <v>1770</v>
      </c>
      <c r="L18" s="1126" t="s">
        <v>1758</v>
      </c>
      <c r="M18" s="1126" t="s">
        <v>1758</v>
      </c>
      <c r="N18" s="1126" t="s">
        <v>1832</v>
      </c>
      <c r="O18" s="1126" t="s">
        <v>1833</v>
      </c>
    </row>
    <row r="19" spans="1:15" s="1125" customFormat="1">
      <c r="A19" s="1125" t="s">
        <v>849</v>
      </c>
      <c r="B19" s="1125" t="s">
        <v>1834</v>
      </c>
      <c r="C19" s="1125" t="s">
        <v>1749</v>
      </c>
      <c r="D19" s="1125" t="s">
        <v>1750</v>
      </c>
      <c r="E19" s="1125" t="s">
        <v>1835</v>
      </c>
      <c r="F19" s="1125" t="s">
        <v>1836</v>
      </c>
      <c r="G19" s="1125" t="s">
        <v>1837</v>
      </c>
      <c r="H19" s="1125" t="s">
        <v>1838</v>
      </c>
      <c r="I19" s="1125" t="s">
        <v>1769</v>
      </c>
      <c r="J19" s="1125" t="s">
        <v>428</v>
      </c>
      <c r="K19" s="1125" t="s">
        <v>1770</v>
      </c>
      <c r="L19" s="1125" t="s">
        <v>1839</v>
      </c>
      <c r="M19" s="1125" t="s">
        <v>1750</v>
      </c>
      <c r="N19" s="1125" t="s">
        <v>1840</v>
      </c>
      <c r="O19" s="1125" t="s">
        <v>1841</v>
      </c>
    </row>
    <row r="20" spans="1:15">
      <c r="A20" s="171" t="s">
        <v>848</v>
      </c>
      <c r="B20" s="171" t="s">
        <v>1842</v>
      </c>
      <c r="C20" s="171" t="s">
        <v>1749</v>
      </c>
      <c r="D20" s="171" t="s">
        <v>1750</v>
      </c>
      <c r="E20" s="171" t="s">
        <v>1835</v>
      </c>
      <c r="F20" s="171" t="s">
        <v>1836</v>
      </c>
      <c r="G20" s="171" t="s">
        <v>1837</v>
      </c>
      <c r="H20" s="171" t="s">
        <v>1838</v>
      </c>
      <c r="I20" s="171" t="s">
        <v>1779</v>
      </c>
      <c r="J20" s="171" t="s">
        <v>1780</v>
      </c>
      <c r="K20" s="171" t="s">
        <v>1770</v>
      </c>
      <c r="L20" s="171" t="s">
        <v>1843</v>
      </c>
      <c r="M20" s="171" t="s">
        <v>1750</v>
      </c>
      <c r="N20" s="171" t="s">
        <v>1844</v>
      </c>
      <c r="O20" s="171" t="s">
        <v>1845</v>
      </c>
    </row>
    <row r="21" spans="1:15">
      <c r="A21" s="171" t="s">
        <v>848</v>
      </c>
      <c r="B21" s="171" t="s">
        <v>1846</v>
      </c>
      <c r="C21" s="171" t="s">
        <v>1749</v>
      </c>
      <c r="D21" s="171" t="s">
        <v>1750</v>
      </c>
      <c r="E21" s="171" t="s">
        <v>1835</v>
      </c>
      <c r="F21" s="171" t="s">
        <v>1847</v>
      </c>
      <c r="G21" s="171" t="s">
        <v>1848</v>
      </c>
      <c r="H21" s="171" t="s">
        <v>1849</v>
      </c>
      <c r="I21" s="171" t="s">
        <v>1763</v>
      </c>
      <c r="J21" s="171" t="s">
        <v>1828</v>
      </c>
      <c r="K21" s="171" t="s">
        <v>422</v>
      </c>
      <c r="L21" s="171" t="s">
        <v>1850</v>
      </c>
      <c r="M21" s="171" t="s">
        <v>1757</v>
      </c>
      <c r="N21" s="171" t="s">
        <v>1758</v>
      </c>
      <c r="O21" s="171" t="s">
        <v>1766</v>
      </c>
    </row>
    <row r="22" spans="1:15" s="1125" customFormat="1">
      <c r="A22" s="1125" t="s">
        <v>849</v>
      </c>
      <c r="B22" s="1125" t="s">
        <v>1851</v>
      </c>
      <c r="C22" s="1125" t="s">
        <v>1749</v>
      </c>
      <c r="D22" s="1125" t="s">
        <v>1750</v>
      </c>
      <c r="E22" s="1125" t="s">
        <v>1835</v>
      </c>
      <c r="F22" s="1125" t="s">
        <v>1836</v>
      </c>
      <c r="G22" s="1125" t="s">
        <v>1837</v>
      </c>
      <c r="H22" s="1125" t="s">
        <v>1838</v>
      </c>
      <c r="I22" s="1125" t="s">
        <v>1769</v>
      </c>
      <c r="J22" s="1125" t="s">
        <v>428</v>
      </c>
      <c r="K22" s="1125" t="s">
        <v>1770</v>
      </c>
      <c r="L22" s="1125" t="s">
        <v>1852</v>
      </c>
      <c r="M22" s="1125" t="s">
        <v>1750</v>
      </c>
      <c r="N22" s="1125" t="s">
        <v>1758</v>
      </c>
      <c r="O22" s="1125" t="s">
        <v>1853</v>
      </c>
    </row>
    <row r="23" spans="1:15" s="1125" customFormat="1">
      <c r="A23" s="1125" t="s">
        <v>849</v>
      </c>
      <c r="B23" s="1125" t="s">
        <v>1854</v>
      </c>
      <c r="C23" s="1125" t="s">
        <v>1749</v>
      </c>
      <c r="D23" s="1125" t="s">
        <v>1750</v>
      </c>
      <c r="E23" s="1125" t="s">
        <v>1835</v>
      </c>
      <c r="F23" s="1125" t="s">
        <v>1768</v>
      </c>
      <c r="G23" s="1125" t="s">
        <v>1753</v>
      </c>
      <c r="H23" s="1125" t="s">
        <v>1754</v>
      </c>
      <c r="I23" s="1125" t="s">
        <v>1769</v>
      </c>
      <c r="J23" s="1125" t="s">
        <v>428</v>
      </c>
      <c r="K23" s="1125" t="s">
        <v>1770</v>
      </c>
      <c r="L23" s="1125" t="s">
        <v>1758</v>
      </c>
      <c r="M23" s="1125" t="s">
        <v>1750</v>
      </c>
      <c r="N23" s="1125" t="s">
        <v>1758</v>
      </c>
      <c r="O23" s="1125" t="s">
        <v>1858</v>
      </c>
    </row>
    <row r="24" spans="1:15" s="1125" customFormat="1">
      <c r="A24" s="1125" t="s">
        <v>849</v>
      </c>
      <c r="F24" s="1125" t="s">
        <v>1855</v>
      </c>
      <c r="G24" s="1125" t="s">
        <v>1856</v>
      </c>
      <c r="H24" s="1125" t="s">
        <v>1857</v>
      </c>
    </row>
    <row r="25" spans="1:15" s="1126" customFormat="1">
      <c r="A25" s="1126" t="s">
        <v>849</v>
      </c>
      <c r="B25" s="1126" t="s">
        <v>1859</v>
      </c>
      <c r="C25" s="1126" t="s">
        <v>1749</v>
      </c>
      <c r="D25" s="1126" t="s">
        <v>1825</v>
      </c>
      <c r="E25" s="1126" t="s">
        <v>1835</v>
      </c>
      <c r="F25" s="1126" t="s">
        <v>1860</v>
      </c>
      <c r="G25" s="1126" t="s">
        <v>1788</v>
      </c>
      <c r="H25" s="1126" t="s">
        <v>1790</v>
      </c>
      <c r="I25" s="1126" t="s">
        <v>1769</v>
      </c>
      <c r="J25" s="1126" t="s">
        <v>428</v>
      </c>
      <c r="K25" s="1126" t="s">
        <v>1770</v>
      </c>
      <c r="L25" s="1126" t="s">
        <v>1758</v>
      </c>
      <c r="M25" s="1126" t="s">
        <v>1757</v>
      </c>
      <c r="N25" s="1126" t="s">
        <v>1861</v>
      </c>
      <c r="O25" s="1126" t="s">
        <v>1862</v>
      </c>
    </row>
    <row r="26" spans="1:15" s="1126" customFormat="1">
      <c r="A26" s="1126" t="s">
        <v>849</v>
      </c>
      <c r="B26" s="1126" t="s">
        <v>1863</v>
      </c>
      <c r="C26" s="1126" t="s">
        <v>1749</v>
      </c>
      <c r="D26" s="1126" t="s">
        <v>1825</v>
      </c>
      <c r="E26" s="1126" t="s">
        <v>1835</v>
      </c>
      <c r="F26" s="1126" t="s">
        <v>1864</v>
      </c>
      <c r="G26" s="1126" t="s">
        <v>1815</v>
      </c>
      <c r="H26" s="1126" t="s">
        <v>1816</v>
      </c>
      <c r="I26" s="1126" t="s">
        <v>1755</v>
      </c>
      <c r="J26" s="1126" t="s">
        <v>433</v>
      </c>
      <c r="K26" s="1126" t="s">
        <v>422</v>
      </c>
      <c r="L26" s="1126" t="s">
        <v>1758</v>
      </c>
      <c r="M26" s="1126" t="s">
        <v>1750</v>
      </c>
      <c r="N26" s="1126" t="s">
        <v>1758</v>
      </c>
      <c r="O26" s="1126" t="s">
        <v>1865</v>
      </c>
    </row>
    <row r="27" spans="1:15" s="1126" customFormat="1">
      <c r="A27" s="1126" t="s">
        <v>849</v>
      </c>
      <c r="B27" s="1126" t="s">
        <v>1866</v>
      </c>
      <c r="C27" s="1126" t="s">
        <v>1749</v>
      </c>
      <c r="D27" s="1126" t="s">
        <v>1825</v>
      </c>
      <c r="E27" s="1126" t="s">
        <v>1835</v>
      </c>
      <c r="F27" s="1126" t="s">
        <v>1867</v>
      </c>
      <c r="G27" s="1126" t="s">
        <v>1753</v>
      </c>
      <c r="H27" s="1126" t="s">
        <v>1754</v>
      </c>
      <c r="I27" s="1126" t="s">
        <v>1763</v>
      </c>
      <c r="J27" s="1126" t="s">
        <v>1828</v>
      </c>
      <c r="K27" s="1126" t="s">
        <v>422</v>
      </c>
      <c r="L27" s="1126" t="s">
        <v>1758</v>
      </c>
      <c r="M27" s="1126" t="s">
        <v>1750</v>
      </c>
      <c r="N27" s="1126" t="s">
        <v>1758</v>
      </c>
      <c r="O27" s="1126" t="s">
        <v>1865</v>
      </c>
    </row>
    <row r="28" spans="1:15" s="1126" customFormat="1">
      <c r="A28" s="1126" t="s">
        <v>849</v>
      </c>
      <c r="F28" s="1126" t="s">
        <v>1868</v>
      </c>
      <c r="G28" s="1126" t="s">
        <v>1802</v>
      </c>
      <c r="H28" s="1126" t="s">
        <v>1869</v>
      </c>
    </row>
    <row r="29" spans="1:15" s="1126" customFormat="1">
      <c r="A29" s="1126" t="s">
        <v>849</v>
      </c>
      <c r="B29" s="1126" t="s">
        <v>1870</v>
      </c>
      <c r="C29" s="1126" t="s">
        <v>1749</v>
      </c>
      <c r="D29" s="1126" t="s">
        <v>1825</v>
      </c>
      <c r="E29" s="1126" t="s">
        <v>1871</v>
      </c>
      <c r="F29" s="1126" t="s">
        <v>1758</v>
      </c>
      <c r="G29" s="1126" t="s">
        <v>1815</v>
      </c>
      <c r="H29" s="1126" t="s">
        <v>1816</v>
      </c>
      <c r="I29" s="1126" t="s">
        <v>1769</v>
      </c>
      <c r="J29" s="1126" t="s">
        <v>428</v>
      </c>
      <c r="K29" s="1126" t="s">
        <v>1770</v>
      </c>
      <c r="L29" s="1126" t="s">
        <v>1758</v>
      </c>
      <c r="M29" s="1126" t="s">
        <v>1758</v>
      </c>
      <c r="N29" s="1126" t="s">
        <v>1758</v>
      </c>
      <c r="O29" s="1126" t="s">
        <v>1872</v>
      </c>
    </row>
    <row r="30" spans="1:15" s="1126" customFormat="1">
      <c r="A30" s="1126" t="s">
        <v>849</v>
      </c>
      <c r="B30" s="1126" t="s">
        <v>1873</v>
      </c>
      <c r="C30" s="1126" t="s">
        <v>1749</v>
      </c>
      <c r="D30" s="1126" t="s">
        <v>1825</v>
      </c>
      <c r="E30" s="1126" t="s">
        <v>1871</v>
      </c>
      <c r="F30" s="1126" t="s">
        <v>1758</v>
      </c>
      <c r="G30" s="1126" t="s">
        <v>1815</v>
      </c>
      <c r="H30" s="1126" t="s">
        <v>1816</v>
      </c>
      <c r="I30" s="1126" t="s">
        <v>1769</v>
      </c>
      <c r="J30" s="1126" t="s">
        <v>428</v>
      </c>
      <c r="K30" s="1126" t="s">
        <v>1770</v>
      </c>
      <c r="L30" s="1126" t="s">
        <v>1758</v>
      </c>
      <c r="M30" s="1126" t="s">
        <v>1758</v>
      </c>
      <c r="N30" s="1126" t="s">
        <v>1758</v>
      </c>
      <c r="O30" s="1126" t="s">
        <v>1876</v>
      </c>
    </row>
    <row r="31" spans="1:15" s="1126" customFormat="1">
      <c r="A31" s="1126" t="s">
        <v>849</v>
      </c>
      <c r="F31" s="1126" t="s">
        <v>1758</v>
      </c>
      <c r="G31" s="1126" t="s">
        <v>1874</v>
      </c>
      <c r="H31" s="1126" t="s">
        <v>1875</v>
      </c>
    </row>
    <row r="32" spans="1:15" s="1126" customFormat="1">
      <c r="A32" s="1126" t="s">
        <v>849</v>
      </c>
      <c r="B32" s="1126" t="s">
        <v>1877</v>
      </c>
      <c r="C32" s="1126" t="s">
        <v>1749</v>
      </c>
      <c r="D32" s="1126" t="s">
        <v>1825</v>
      </c>
      <c r="E32" s="1126" t="s">
        <v>1878</v>
      </c>
      <c r="F32" s="1126" t="s">
        <v>1781</v>
      </c>
      <c r="G32" s="1126" t="s">
        <v>1781</v>
      </c>
      <c r="H32" s="1126" t="s">
        <v>1781</v>
      </c>
      <c r="I32" s="1126" t="s">
        <v>1763</v>
      </c>
      <c r="J32" s="1126" t="s">
        <v>1879</v>
      </c>
      <c r="K32" s="1126" t="s">
        <v>422</v>
      </c>
      <c r="L32" s="1126" t="s">
        <v>1758</v>
      </c>
      <c r="M32" s="1126" t="s">
        <v>1750</v>
      </c>
      <c r="N32" s="1126" t="s">
        <v>1758</v>
      </c>
      <c r="O32" s="1126" t="s">
        <v>1880</v>
      </c>
    </row>
    <row r="33" spans="1:15" s="1126" customFormat="1">
      <c r="A33" s="1126" t="s">
        <v>849</v>
      </c>
      <c r="B33" s="1126" t="s">
        <v>1881</v>
      </c>
      <c r="C33" s="1126" t="s">
        <v>1749</v>
      </c>
      <c r="D33" s="1126" t="s">
        <v>1825</v>
      </c>
      <c r="E33" s="1126" t="s">
        <v>1878</v>
      </c>
      <c r="F33" s="1126" t="s">
        <v>1882</v>
      </c>
      <c r="G33" s="1126" t="s">
        <v>1802</v>
      </c>
      <c r="H33" s="1126" t="s">
        <v>1869</v>
      </c>
      <c r="I33" s="1126" t="s">
        <v>1763</v>
      </c>
      <c r="J33" s="1126" t="s">
        <v>1780</v>
      </c>
      <c r="K33" s="1126" t="s">
        <v>422</v>
      </c>
      <c r="L33" s="1126" t="s">
        <v>1883</v>
      </c>
      <c r="M33" s="1126" t="s">
        <v>1750</v>
      </c>
      <c r="N33" s="1126" t="s">
        <v>1758</v>
      </c>
      <c r="O33" s="1126" t="s">
        <v>1884</v>
      </c>
    </row>
  </sheetData>
  <sheetProtection algorithmName="SHA-512" hashValue="wNQVkejzEbD8fy/vVNrOdz2yaTH0O6Fgn3JsH8sFvky5Etbo6fvBpsyAiOiei3JQ9LoA/RpbUymxD+VEzv8scg==" saltValue="u1tmnl41lqtndp9BOhcNtw=="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A1269-18BC-B347-BF88-9BBD39293775}">
  <sheetPr codeName="Sheet10">
    <tabColor theme="8"/>
  </sheetPr>
  <dimension ref="A1:M212"/>
  <sheetViews>
    <sheetView topLeftCell="B163" zoomScaleNormal="100" workbookViewId="0">
      <selection activeCell="B163" sqref="A1:XFD1048576"/>
    </sheetView>
  </sheetViews>
  <sheetFormatPr baseColWidth="10" defaultColWidth="11" defaultRowHeight="16"/>
  <cols>
    <col min="1" max="1" width="18.5" style="171" bestFit="1" customWidth="1"/>
    <col min="2" max="2" width="32.33203125" style="171" bestFit="1" customWidth="1"/>
    <col min="3" max="3" width="66.6640625" style="171" customWidth="1"/>
    <col min="4" max="4" width="12.33203125" style="171" bestFit="1" customWidth="1"/>
    <col min="5" max="5" width="17.6640625" style="171" bestFit="1" customWidth="1"/>
    <col min="6" max="6" width="20.6640625" style="171" bestFit="1" customWidth="1"/>
    <col min="7" max="8" width="20.6640625" style="171" customWidth="1"/>
    <col min="9" max="9" width="27.6640625" style="171" bestFit="1" customWidth="1"/>
    <col min="10" max="10" width="34.1640625" style="171" customWidth="1"/>
    <col min="11" max="11" width="22.5" style="171" customWidth="1"/>
    <col min="12" max="12" width="32" style="171" customWidth="1"/>
    <col min="13" max="13" width="16" style="171" bestFit="1" customWidth="1"/>
    <col min="14" max="16384" width="11" style="171"/>
  </cols>
  <sheetData>
    <row r="1" spans="1:11">
      <c r="A1" s="652" t="s">
        <v>305</v>
      </c>
      <c r="B1" s="652" t="s">
        <v>306</v>
      </c>
      <c r="C1" s="652" t="s">
        <v>307</v>
      </c>
      <c r="D1" s="652" t="s">
        <v>308</v>
      </c>
      <c r="K1" s="652"/>
    </row>
    <row r="2" spans="1:11">
      <c r="A2" s="652"/>
      <c r="B2" s="652"/>
      <c r="C2" s="652"/>
      <c r="D2" s="652"/>
      <c r="K2" s="652"/>
    </row>
    <row r="3" spans="1:11">
      <c r="A3" s="171" t="s">
        <v>7</v>
      </c>
      <c r="B3" s="171" t="s">
        <v>8</v>
      </c>
      <c r="C3" s="171" t="s">
        <v>309</v>
      </c>
      <c r="D3" s="171" t="s">
        <v>11</v>
      </c>
    </row>
    <row r="4" spans="1:11">
      <c r="A4" s="171" t="s">
        <v>12</v>
      </c>
      <c r="B4" s="171" t="s">
        <v>13</v>
      </c>
      <c r="C4" s="171" t="s">
        <v>14</v>
      </c>
      <c r="D4" s="171" t="s">
        <v>310</v>
      </c>
    </row>
    <row r="5" spans="1:11">
      <c r="A5" s="171" t="s">
        <v>15</v>
      </c>
      <c r="B5" s="171" t="s">
        <v>16</v>
      </c>
      <c r="C5" s="171" t="s">
        <v>17</v>
      </c>
      <c r="D5" s="171" t="s">
        <v>311</v>
      </c>
    </row>
    <row r="6" spans="1:11">
      <c r="A6" s="171" t="s">
        <v>18</v>
      </c>
      <c r="B6" s="171" t="s">
        <v>19</v>
      </c>
      <c r="C6" s="171" t="s">
        <v>20</v>
      </c>
    </row>
    <row r="7" spans="1:11">
      <c r="A7" s="171" t="s">
        <v>21</v>
      </c>
      <c r="B7" s="171" t="s">
        <v>22</v>
      </c>
      <c r="C7" s="171" t="s">
        <v>23</v>
      </c>
      <c r="D7" s="171" t="s">
        <v>24</v>
      </c>
    </row>
    <row r="8" spans="1:11">
      <c r="A8" s="171" t="s">
        <v>25</v>
      </c>
      <c r="B8" s="171" t="s">
        <v>26</v>
      </c>
      <c r="C8" s="171" t="s">
        <v>27</v>
      </c>
      <c r="D8" s="171" t="s">
        <v>24</v>
      </c>
    </row>
    <row r="9" spans="1:11">
      <c r="A9" s="171" t="s">
        <v>159</v>
      </c>
      <c r="B9" s="171" t="s">
        <v>312</v>
      </c>
      <c r="C9" s="171" t="s">
        <v>313</v>
      </c>
    </row>
    <row r="10" spans="1:11">
      <c r="A10" s="171" t="s">
        <v>28</v>
      </c>
      <c r="B10" s="171" t="s">
        <v>29</v>
      </c>
      <c r="C10" s="171" t="s">
        <v>30</v>
      </c>
      <c r="D10" s="171" t="s">
        <v>31</v>
      </c>
    </row>
    <row r="11" spans="1:11">
      <c r="A11" s="171" t="s">
        <v>32</v>
      </c>
      <c r="B11" s="171" t="s">
        <v>33</v>
      </c>
      <c r="C11" s="171" t="s">
        <v>34</v>
      </c>
      <c r="D11" s="171" t="s">
        <v>35</v>
      </c>
    </row>
    <row r="17" spans="1:13" s="964" customFormat="1">
      <c r="A17" s="1127" t="s">
        <v>314</v>
      </c>
      <c r="E17" s="1661" t="s">
        <v>1327</v>
      </c>
      <c r="F17" s="1661"/>
      <c r="G17" s="1661" t="s">
        <v>518</v>
      </c>
      <c r="H17" s="1661"/>
    </row>
    <row r="18" spans="1:13" ht="16" customHeight="1">
      <c r="A18" s="1660"/>
      <c r="B18" s="1660"/>
      <c r="C18" s="1587" t="s">
        <v>315</v>
      </c>
      <c r="D18" s="1586" t="s">
        <v>316</v>
      </c>
      <c r="E18" s="1586" t="s">
        <v>871</v>
      </c>
      <c r="F18" s="1586" t="s">
        <v>872</v>
      </c>
      <c r="G18" s="1586" t="s">
        <v>871</v>
      </c>
      <c r="H18" s="1586" t="s">
        <v>872</v>
      </c>
      <c r="I18" s="1586" t="s">
        <v>873</v>
      </c>
      <c r="J18" s="1584" t="s">
        <v>874</v>
      </c>
      <c r="K18" s="1584" t="s">
        <v>877</v>
      </c>
      <c r="L18" s="1587" t="s">
        <v>878</v>
      </c>
      <c r="M18" s="1004"/>
    </row>
    <row r="19" spans="1:13" ht="16" customHeight="1">
      <c r="A19" s="1660"/>
      <c r="B19" s="1660"/>
      <c r="C19" s="1587"/>
      <c r="D19" s="1586"/>
      <c r="E19" s="1586"/>
      <c r="F19" s="1586"/>
      <c r="G19" s="1586"/>
      <c r="H19" s="1586"/>
      <c r="I19" s="1586"/>
      <c r="J19" s="1585"/>
      <c r="K19" s="1585"/>
      <c r="L19" s="1587"/>
      <c r="M19" s="1004"/>
    </row>
    <row r="20" spans="1:13">
      <c r="B20" s="171">
        <v>1</v>
      </c>
      <c r="C20" s="171" t="s">
        <v>318</v>
      </c>
      <c r="D20" s="171" t="s">
        <v>163</v>
      </c>
      <c r="E20" s="171">
        <v>128</v>
      </c>
      <c r="F20" s="171">
        <v>5.7</v>
      </c>
      <c r="G20" s="171">
        <v>96</v>
      </c>
      <c r="H20" s="171">
        <v>4.0999999999999996</v>
      </c>
      <c r="I20" s="822">
        <v>834</v>
      </c>
      <c r="J20" s="1128">
        <v>8419</v>
      </c>
      <c r="K20" s="1128"/>
      <c r="L20" s="171" t="s">
        <v>15</v>
      </c>
    </row>
    <row r="21" spans="1:13">
      <c r="B21" s="171">
        <v>2</v>
      </c>
      <c r="C21" s="171" t="s">
        <v>1339</v>
      </c>
      <c r="D21" s="171" t="s">
        <v>163</v>
      </c>
      <c r="E21" s="742">
        <f>AVERAGE(140,158)</f>
        <v>149</v>
      </c>
      <c r="F21" s="171">
        <f>AVERAGE(6.4,7)</f>
        <v>6.7</v>
      </c>
      <c r="G21" s="171">
        <v>88</v>
      </c>
      <c r="H21" s="171">
        <v>3.8</v>
      </c>
      <c r="I21" s="171">
        <v>815</v>
      </c>
      <c r="J21" s="1128">
        <v>6783</v>
      </c>
      <c r="K21" s="1128"/>
      <c r="L21" s="171" t="s">
        <v>12</v>
      </c>
    </row>
    <row r="22" spans="1:13" ht="17" customHeight="1">
      <c r="B22" s="171">
        <v>3</v>
      </c>
      <c r="C22" s="171" t="s">
        <v>319</v>
      </c>
      <c r="D22" s="171" t="s">
        <v>163</v>
      </c>
      <c r="E22" s="171">
        <v>131</v>
      </c>
      <c r="F22" s="171">
        <v>5.8</v>
      </c>
      <c r="G22" s="171">
        <v>95</v>
      </c>
      <c r="H22" s="171">
        <v>4.2</v>
      </c>
      <c r="I22" s="822">
        <v>840</v>
      </c>
      <c r="J22" s="1128">
        <v>7555</v>
      </c>
      <c r="K22" s="1128"/>
      <c r="L22" s="171" t="s">
        <v>15</v>
      </c>
    </row>
    <row r="23" spans="1:13" ht="17" customHeight="1">
      <c r="B23" s="171">
        <v>4</v>
      </c>
      <c r="C23" s="171" t="s">
        <v>320</v>
      </c>
      <c r="D23" s="171" t="s">
        <v>321</v>
      </c>
      <c r="E23" s="171">
        <v>137</v>
      </c>
      <c r="F23" s="171">
        <v>6.1</v>
      </c>
      <c r="G23" s="171">
        <v>94</v>
      </c>
      <c r="H23" s="171">
        <v>4.0999999999999996</v>
      </c>
      <c r="I23" s="171">
        <v>839</v>
      </c>
      <c r="J23" s="1128">
        <v>7499</v>
      </c>
      <c r="K23" s="1128"/>
      <c r="L23" s="171" t="s">
        <v>12</v>
      </c>
    </row>
    <row r="24" spans="1:13" ht="17" customHeight="1" thickBot="1"/>
    <row r="25" spans="1:13" ht="17" customHeight="1" thickBot="1">
      <c r="C25" s="699" t="s">
        <v>322</v>
      </c>
      <c r="D25" s="725" t="s">
        <v>163</v>
      </c>
      <c r="E25" s="968">
        <f>AVERAGE(E20:E23)</f>
        <v>136.25</v>
      </c>
      <c r="F25" s="1129">
        <f t="shared" ref="F25:J25" si="0">AVERAGE(F20:F23)</f>
        <v>6.0749999999999993</v>
      </c>
      <c r="G25" s="968">
        <f t="shared" si="0"/>
        <v>93.25</v>
      </c>
      <c r="H25" s="1129">
        <f t="shared" si="0"/>
        <v>4.05</v>
      </c>
      <c r="I25" s="968">
        <f t="shared" si="0"/>
        <v>832</v>
      </c>
      <c r="J25" s="969">
        <f t="shared" si="0"/>
        <v>7564</v>
      </c>
      <c r="K25" s="969">
        <f>65/3</f>
        <v>21.666666666666668</v>
      </c>
      <c r="L25" s="970"/>
    </row>
    <row r="26" spans="1:13">
      <c r="C26" s="971" t="s">
        <v>1369</v>
      </c>
      <c r="E26" s="616">
        <f>E25/G25</f>
        <v>1.4611260053619304</v>
      </c>
      <c r="F26" s="616">
        <f>F25/H25</f>
        <v>1.5</v>
      </c>
    </row>
    <row r="27" spans="1:13" ht="16" customHeight="1">
      <c r="B27" s="1557" t="s">
        <v>323</v>
      </c>
      <c r="C27" s="1587" t="s">
        <v>315</v>
      </c>
      <c r="D27" s="1587" t="s">
        <v>316</v>
      </c>
      <c r="E27" s="1587" t="s">
        <v>324</v>
      </c>
      <c r="F27" s="1587" t="s">
        <v>325</v>
      </c>
      <c r="G27" s="1587" t="s">
        <v>324</v>
      </c>
      <c r="H27" s="1587" t="s">
        <v>325</v>
      </c>
      <c r="I27" s="1587" t="s">
        <v>326</v>
      </c>
      <c r="J27" s="1659" t="s">
        <v>327</v>
      </c>
      <c r="K27" s="1659" t="s">
        <v>328</v>
      </c>
      <c r="L27" s="1587" t="s">
        <v>329</v>
      </c>
    </row>
    <row r="28" spans="1:13" ht="30" customHeight="1">
      <c r="B28" s="1557"/>
      <c r="C28" s="1587"/>
      <c r="D28" s="1587"/>
      <c r="E28" s="1587"/>
      <c r="F28" s="1587"/>
      <c r="G28" s="1587"/>
      <c r="H28" s="1587"/>
      <c r="I28" s="1587"/>
      <c r="J28" s="1557"/>
      <c r="K28" s="1557"/>
      <c r="L28" s="1587"/>
    </row>
    <row r="29" spans="1:13">
      <c r="B29" s="171">
        <v>1</v>
      </c>
      <c r="C29" s="171" t="s">
        <v>158</v>
      </c>
      <c r="I29" s="822"/>
      <c r="L29" s="171" t="s">
        <v>18</v>
      </c>
    </row>
    <row r="30" spans="1:13">
      <c r="B30" s="171">
        <v>2</v>
      </c>
    </row>
    <row r="31" spans="1:13">
      <c r="B31" s="171">
        <v>3</v>
      </c>
    </row>
    <row r="32" spans="1:13" ht="17" thickBot="1"/>
    <row r="33" spans="1:12" ht="17" customHeight="1" thickBot="1">
      <c r="C33" s="699" t="s">
        <v>330</v>
      </c>
      <c r="D33" s="725" t="s">
        <v>134</v>
      </c>
      <c r="E33" s="968"/>
      <c r="F33" s="1129"/>
      <c r="G33" s="1129"/>
      <c r="H33" s="1129"/>
      <c r="I33" s="725"/>
      <c r="J33" s="725"/>
      <c r="K33" s="725"/>
      <c r="L33" s="970"/>
    </row>
    <row r="35" spans="1:12" s="964" customFormat="1">
      <c r="A35" s="1127" t="s">
        <v>331</v>
      </c>
      <c r="E35" s="1661" t="s">
        <v>1327</v>
      </c>
      <c r="F35" s="1661"/>
      <c r="G35" s="1661" t="s">
        <v>518</v>
      </c>
      <c r="H35" s="1661"/>
    </row>
    <row r="36" spans="1:12">
      <c r="A36" s="1004"/>
    </row>
    <row r="37" spans="1:12" ht="16" customHeight="1">
      <c r="A37" s="1004"/>
      <c r="B37" s="1660"/>
      <c r="C37" s="1587" t="s">
        <v>315</v>
      </c>
      <c r="D37" s="1587" t="s">
        <v>316</v>
      </c>
      <c r="E37" s="1587" t="s">
        <v>324</v>
      </c>
      <c r="F37" s="1587" t="s">
        <v>325</v>
      </c>
      <c r="G37" s="1587" t="s">
        <v>324</v>
      </c>
      <c r="H37" s="1587" t="s">
        <v>325</v>
      </c>
      <c r="I37" s="1587" t="s">
        <v>326</v>
      </c>
      <c r="J37" s="1659" t="s">
        <v>327</v>
      </c>
      <c r="K37" s="1659" t="s">
        <v>328</v>
      </c>
      <c r="L37" s="1587" t="s">
        <v>329</v>
      </c>
    </row>
    <row r="38" spans="1:12">
      <c r="A38" s="1004"/>
      <c r="B38" s="1660"/>
      <c r="C38" s="1587"/>
      <c r="D38" s="1587"/>
      <c r="E38" s="1587"/>
      <c r="F38" s="1587"/>
      <c r="G38" s="1587"/>
      <c r="H38" s="1587"/>
      <c r="I38" s="1587"/>
      <c r="J38" s="1557"/>
      <c r="K38" s="1557"/>
      <c r="L38" s="1587"/>
    </row>
    <row r="39" spans="1:12">
      <c r="A39" s="1004"/>
      <c r="B39" s="171">
        <v>1</v>
      </c>
      <c r="C39" s="171" t="s">
        <v>332</v>
      </c>
      <c r="D39" s="171" t="s">
        <v>321</v>
      </c>
      <c r="E39" s="742">
        <f>AVERAGE(128,151)</f>
        <v>139.5</v>
      </c>
      <c r="F39" s="171">
        <v>6.1</v>
      </c>
      <c r="G39" s="171">
        <v>108</v>
      </c>
      <c r="H39" s="171">
        <v>4.7</v>
      </c>
      <c r="I39" s="728">
        <v>1150</v>
      </c>
      <c r="J39" s="822">
        <v>9808</v>
      </c>
      <c r="K39" s="1128"/>
      <c r="L39" s="171" t="s">
        <v>15</v>
      </c>
    </row>
    <row r="40" spans="1:12">
      <c r="A40" s="1004"/>
      <c r="B40" s="171">
        <v>2</v>
      </c>
      <c r="C40" s="171" t="s">
        <v>333</v>
      </c>
      <c r="D40" s="171" t="s">
        <v>321</v>
      </c>
      <c r="E40" s="742">
        <f>AVERAGE(130,143)</f>
        <v>136.5</v>
      </c>
      <c r="F40" s="171">
        <v>6.1</v>
      </c>
      <c r="G40" s="171">
        <v>94</v>
      </c>
      <c r="H40" s="171">
        <v>4.2</v>
      </c>
      <c r="I40" s="728">
        <v>1057</v>
      </c>
      <c r="J40" s="822">
        <v>10806</v>
      </c>
      <c r="K40" s="1128"/>
      <c r="L40" s="171" t="s">
        <v>12</v>
      </c>
    </row>
    <row r="41" spans="1:12">
      <c r="A41" s="1004"/>
      <c r="B41" s="171">
        <v>3</v>
      </c>
      <c r="C41" s="171" t="s">
        <v>1346</v>
      </c>
      <c r="D41" s="171" t="s">
        <v>321</v>
      </c>
      <c r="E41" s="171">
        <f>AVERAGE(128,144)</f>
        <v>136</v>
      </c>
      <c r="F41" s="813">
        <f>AVERAGE(5.7,6.4)</f>
        <v>6.0500000000000007</v>
      </c>
      <c r="G41" s="171">
        <v>105</v>
      </c>
      <c r="H41" s="171">
        <v>4.5999999999999996</v>
      </c>
      <c r="I41" s="728">
        <v>1163</v>
      </c>
      <c r="J41" s="822">
        <v>11974</v>
      </c>
      <c r="K41" s="1128"/>
      <c r="L41" s="171" t="s">
        <v>15</v>
      </c>
    </row>
    <row r="42" spans="1:12" ht="17" customHeight="1">
      <c r="B42" s="171">
        <v>4</v>
      </c>
      <c r="C42" s="171" t="s">
        <v>334</v>
      </c>
      <c r="D42" s="171" t="s">
        <v>321</v>
      </c>
      <c r="E42" s="742">
        <f>AVERAGE(123,158)</f>
        <v>140.5</v>
      </c>
      <c r="F42" s="171">
        <f>AVERAGE(5.6,7)</f>
        <v>6.3</v>
      </c>
      <c r="G42" s="171">
        <v>99</v>
      </c>
      <c r="H42" s="171">
        <v>4.3</v>
      </c>
      <c r="I42" s="728">
        <v>1163</v>
      </c>
      <c r="J42" s="822">
        <v>14381</v>
      </c>
      <c r="K42" s="1128"/>
      <c r="L42" s="171" t="s">
        <v>12</v>
      </c>
    </row>
    <row r="43" spans="1:12" ht="17" customHeight="1" thickBot="1"/>
    <row r="44" spans="1:12" ht="17" customHeight="1" thickBot="1">
      <c r="C44" s="699" t="s">
        <v>335</v>
      </c>
      <c r="D44" s="725" t="s">
        <v>163</v>
      </c>
      <c r="E44" s="968">
        <f>AVERAGE(E39:E42)</f>
        <v>138.125</v>
      </c>
      <c r="F44" s="1129">
        <f t="shared" ref="F44:J44" si="1">AVERAGE(F39:F42)</f>
        <v>6.1375000000000002</v>
      </c>
      <c r="G44" s="1129">
        <f t="shared" si="1"/>
        <v>101.5</v>
      </c>
      <c r="H44" s="1129">
        <f t="shared" si="1"/>
        <v>4.45</v>
      </c>
      <c r="I44" s="968">
        <f t="shared" si="1"/>
        <v>1133.25</v>
      </c>
      <c r="J44" s="969">
        <f t="shared" si="1"/>
        <v>11742.25</v>
      </c>
      <c r="K44" s="969">
        <f>AVERAGE(120,128,118)/3</f>
        <v>40.666666666666664</v>
      </c>
      <c r="L44" s="970"/>
    </row>
    <row r="45" spans="1:12" ht="17" customHeight="1">
      <c r="C45" s="652"/>
      <c r="D45" s="652"/>
      <c r="E45" s="616">
        <f>E44/G44</f>
        <v>1.3608374384236452</v>
      </c>
      <c r="F45" s="616">
        <f>F44/H44</f>
        <v>1.3792134831460674</v>
      </c>
      <c r="G45" s="1130"/>
      <c r="H45" s="1130"/>
      <c r="I45" s="652"/>
      <c r="J45" s="652"/>
      <c r="K45" s="652"/>
      <c r="L45" s="652"/>
    </row>
    <row r="46" spans="1:12" ht="25" customHeight="1">
      <c r="B46" s="1660"/>
      <c r="C46" s="1587" t="s">
        <v>315</v>
      </c>
      <c r="D46" s="1587" t="s">
        <v>316</v>
      </c>
      <c r="E46" s="1587" t="s">
        <v>324</v>
      </c>
      <c r="F46" s="1587" t="s">
        <v>325</v>
      </c>
      <c r="G46" s="1587" t="s">
        <v>324</v>
      </c>
      <c r="H46" s="1587" t="s">
        <v>325</v>
      </c>
      <c r="I46" s="1587" t="s">
        <v>326</v>
      </c>
      <c r="J46" s="1659" t="s">
        <v>327</v>
      </c>
      <c r="K46" s="1659" t="s">
        <v>328</v>
      </c>
      <c r="L46" s="1587" t="s">
        <v>329</v>
      </c>
    </row>
    <row r="47" spans="1:12">
      <c r="B47" s="1660"/>
      <c r="C47" s="1587"/>
      <c r="D47" s="1587"/>
      <c r="E47" s="1587"/>
      <c r="F47" s="1587"/>
      <c r="G47" s="1587"/>
      <c r="H47" s="1587"/>
      <c r="I47" s="1587"/>
      <c r="J47" s="1557"/>
      <c r="K47" s="1557"/>
      <c r="L47" s="1587"/>
    </row>
    <row r="48" spans="1:12">
      <c r="B48" s="171">
        <v>1</v>
      </c>
      <c r="C48" s="171" t="s">
        <v>336</v>
      </c>
      <c r="D48" s="171" t="s">
        <v>134</v>
      </c>
      <c r="E48" s="171">
        <v>130</v>
      </c>
      <c r="F48" s="171">
        <v>5</v>
      </c>
      <c r="G48" s="171">
        <v>82</v>
      </c>
      <c r="H48" s="171">
        <v>3.2</v>
      </c>
      <c r="I48" s="822">
        <v>1257</v>
      </c>
      <c r="J48" s="1128">
        <v>13127</v>
      </c>
      <c r="K48" s="1128"/>
      <c r="L48" s="171" t="s">
        <v>15</v>
      </c>
    </row>
    <row r="49" spans="1:12">
      <c r="B49" s="171">
        <v>2</v>
      </c>
      <c r="C49" s="171" t="s">
        <v>337</v>
      </c>
      <c r="D49" s="171" t="s">
        <v>134</v>
      </c>
      <c r="E49" s="171">
        <v>152</v>
      </c>
      <c r="F49" s="171">
        <v>5.8</v>
      </c>
      <c r="G49" s="171">
        <v>90</v>
      </c>
      <c r="H49" s="171">
        <v>3.4</v>
      </c>
      <c r="I49" s="822">
        <v>1163</v>
      </c>
      <c r="J49" s="1128">
        <v>13542</v>
      </c>
      <c r="K49" s="1128"/>
      <c r="L49" s="171" t="s">
        <v>15</v>
      </c>
    </row>
    <row r="50" spans="1:12">
      <c r="B50" s="171">
        <v>3</v>
      </c>
      <c r="C50" s="171" t="s">
        <v>1340</v>
      </c>
      <c r="D50" s="171" t="s">
        <v>134</v>
      </c>
      <c r="E50" s="171">
        <f>AVERAGE(133,151)</f>
        <v>142</v>
      </c>
      <c r="F50" s="813">
        <f>AVERAGE(4.8,5.5)</f>
        <v>5.15</v>
      </c>
      <c r="G50" s="171">
        <v>95</v>
      </c>
      <c r="H50" s="171">
        <v>3.7</v>
      </c>
      <c r="I50" s="822">
        <v>1259</v>
      </c>
      <c r="J50" s="1128">
        <v>14056</v>
      </c>
      <c r="K50" s="1128"/>
      <c r="L50" s="171" t="s">
        <v>18</v>
      </c>
    </row>
    <row r="51" spans="1:12">
      <c r="B51" s="171">
        <v>4</v>
      </c>
      <c r="C51" s="171" t="s">
        <v>338</v>
      </c>
      <c r="D51" s="171" t="s">
        <v>134</v>
      </c>
      <c r="E51" s="171">
        <v>127</v>
      </c>
      <c r="F51" s="171">
        <v>4.9000000000000004</v>
      </c>
      <c r="G51" s="171">
        <v>89</v>
      </c>
      <c r="H51" s="171">
        <v>3.5</v>
      </c>
      <c r="I51" s="822">
        <v>1054</v>
      </c>
      <c r="J51" s="1128">
        <v>12480</v>
      </c>
      <c r="K51" s="1128"/>
      <c r="L51" s="171" t="s">
        <v>15</v>
      </c>
    </row>
    <row r="52" spans="1:12" ht="17" thickBot="1"/>
    <row r="53" spans="1:12" ht="17" thickBot="1">
      <c r="C53" s="699" t="s">
        <v>339</v>
      </c>
      <c r="D53" s="725"/>
      <c r="E53" s="968">
        <f>AVERAGE(E48:E51)</f>
        <v>137.75</v>
      </c>
      <c r="F53" s="1129">
        <f>AVERAGE(F48:F51)</f>
        <v>5.2125000000000004</v>
      </c>
      <c r="G53" s="1129">
        <f t="shared" ref="G53:H53" si="2">AVERAGE(G48:G51)</f>
        <v>89</v>
      </c>
      <c r="H53" s="1129">
        <f t="shared" si="2"/>
        <v>3.45</v>
      </c>
      <c r="I53" s="700">
        <f>AVERAGE(I48:I51)</f>
        <v>1183.25</v>
      </c>
      <c r="J53" s="969">
        <f t="shared" ref="J53" si="3">AVERAGE(J48:J51)</f>
        <v>13301.25</v>
      </c>
      <c r="K53" s="969">
        <f>AVERAGE(273,260,265)/3</f>
        <v>88.666666666666671</v>
      </c>
      <c r="L53" s="970"/>
    </row>
    <row r="54" spans="1:12" ht="14" customHeight="1">
      <c r="C54" s="971" t="s">
        <v>1369</v>
      </c>
      <c r="D54" s="1131"/>
      <c r="E54" s="616">
        <f>E53/G53</f>
        <v>1.547752808988764</v>
      </c>
      <c r="F54" s="616">
        <f>F53/H53</f>
        <v>1.5108695652173914</v>
      </c>
    </row>
    <row r="55" spans="1:12" s="964" customFormat="1">
      <c r="A55" s="1127" t="s">
        <v>340</v>
      </c>
      <c r="E55" s="1661" t="s">
        <v>1327</v>
      </c>
      <c r="F55" s="1661"/>
      <c r="G55" s="1661" t="s">
        <v>518</v>
      </c>
      <c r="H55" s="1661"/>
    </row>
    <row r="56" spans="1:12">
      <c r="A56" s="1004"/>
    </row>
    <row r="57" spans="1:12">
      <c r="A57" s="1004"/>
      <c r="B57" s="1660"/>
      <c r="C57" s="1587" t="s">
        <v>315</v>
      </c>
      <c r="D57" s="1587" t="s">
        <v>316</v>
      </c>
      <c r="E57" s="1587" t="s">
        <v>324</v>
      </c>
      <c r="F57" s="1587" t="s">
        <v>325</v>
      </c>
      <c r="G57" s="1587" t="s">
        <v>324</v>
      </c>
      <c r="H57" s="1587" t="s">
        <v>325</v>
      </c>
      <c r="I57" s="1587" t="s">
        <v>326</v>
      </c>
      <c r="J57" s="1659" t="s">
        <v>341</v>
      </c>
      <c r="K57" s="1659" t="s">
        <v>328</v>
      </c>
      <c r="L57" s="1587" t="s">
        <v>329</v>
      </c>
    </row>
    <row r="58" spans="1:12">
      <c r="A58" s="1004"/>
      <c r="B58" s="1660"/>
      <c r="C58" s="1587"/>
      <c r="D58" s="1587"/>
      <c r="E58" s="1587"/>
      <c r="F58" s="1587"/>
      <c r="G58" s="1587"/>
      <c r="H58" s="1587"/>
      <c r="I58" s="1587"/>
      <c r="J58" s="1557"/>
      <c r="K58" s="1557"/>
      <c r="L58" s="1587"/>
    </row>
    <row r="59" spans="1:12">
      <c r="A59" s="1004"/>
      <c r="B59" s="171">
        <v>1</v>
      </c>
      <c r="C59" s="171" t="s">
        <v>342</v>
      </c>
      <c r="D59" s="171" t="s">
        <v>321</v>
      </c>
      <c r="E59" s="171">
        <v>150</v>
      </c>
      <c r="F59" s="171">
        <v>6.6</v>
      </c>
      <c r="G59" s="171">
        <v>108</v>
      </c>
      <c r="H59" s="171">
        <v>4.8</v>
      </c>
      <c r="I59" s="822">
        <v>1301</v>
      </c>
      <c r="J59" s="822">
        <v>17664</v>
      </c>
      <c r="K59" s="1128"/>
      <c r="L59" s="171" t="s">
        <v>12</v>
      </c>
    </row>
    <row r="60" spans="1:12">
      <c r="A60" s="1004"/>
      <c r="B60" s="171">
        <v>2</v>
      </c>
      <c r="C60" s="171" t="s">
        <v>343</v>
      </c>
      <c r="D60" s="171" t="s">
        <v>321</v>
      </c>
      <c r="E60" s="171">
        <v>138</v>
      </c>
      <c r="F60" s="171">
        <v>6.1</v>
      </c>
      <c r="G60" s="171">
        <v>104</v>
      </c>
      <c r="H60" s="171">
        <v>4.4000000000000004</v>
      </c>
      <c r="I60" s="822">
        <v>1393</v>
      </c>
      <c r="J60" s="822">
        <v>14414</v>
      </c>
      <c r="K60" s="1128"/>
      <c r="L60" s="171" t="s">
        <v>7</v>
      </c>
    </row>
    <row r="61" spans="1:12">
      <c r="A61" s="1004"/>
      <c r="B61" s="171">
        <v>3</v>
      </c>
      <c r="C61" s="171" t="s">
        <v>344</v>
      </c>
      <c r="D61" s="171" t="s">
        <v>321</v>
      </c>
      <c r="E61" s="171">
        <v>145</v>
      </c>
      <c r="F61" s="171">
        <v>6.4</v>
      </c>
      <c r="G61" s="171">
        <v>120</v>
      </c>
      <c r="H61" s="171">
        <v>5.4</v>
      </c>
      <c r="I61" s="822">
        <v>1280</v>
      </c>
      <c r="J61" s="822">
        <v>12897</v>
      </c>
      <c r="K61" s="1128"/>
      <c r="L61" s="171" t="s">
        <v>15</v>
      </c>
    </row>
    <row r="62" spans="1:12">
      <c r="A62" s="1004"/>
      <c r="B62" s="171">
        <v>4</v>
      </c>
      <c r="C62" s="171" t="s">
        <v>345</v>
      </c>
      <c r="D62" s="171" t="s">
        <v>321</v>
      </c>
      <c r="E62" s="171">
        <v>133</v>
      </c>
      <c r="F62" s="171">
        <v>6</v>
      </c>
      <c r="G62" s="171">
        <v>105</v>
      </c>
      <c r="H62" s="171">
        <v>4.5999999999999996</v>
      </c>
      <c r="I62" s="822">
        <v>1176</v>
      </c>
      <c r="J62" s="822">
        <v>16146</v>
      </c>
      <c r="K62" s="1128"/>
      <c r="L62" s="171" t="s">
        <v>12</v>
      </c>
    </row>
    <row r="63" spans="1:12" ht="17" thickBot="1">
      <c r="A63" s="1004"/>
      <c r="C63" s="1132"/>
    </row>
    <row r="64" spans="1:12" ht="17" thickBot="1">
      <c r="A64" s="1004"/>
      <c r="C64" s="699" t="s">
        <v>346</v>
      </c>
      <c r="D64" s="725" t="s">
        <v>163</v>
      </c>
      <c r="E64" s="968">
        <f>AVERAGE(E59:E62)</f>
        <v>141.5</v>
      </c>
      <c r="F64" s="1129">
        <f t="shared" ref="F64:I64" si="4">AVERAGE(F59:F62)</f>
        <v>6.2750000000000004</v>
      </c>
      <c r="G64" s="1129">
        <f t="shared" si="4"/>
        <v>109.25</v>
      </c>
      <c r="H64" s="1129">
        <f t="shared" si="4"/>
        <v>4.8</v>
      </c>
      <c r="I64" s="968">
        <f t="shared" si="4"/>
        <v>1287.5</v>
      </c>
      <c r="J64" s="969">
        <f>AVERAGE(J59:J62)</f>
        <v>15280.25</v>
      </c>
      <c r="K64" s="969">
        <v>54</v>
      </c>
      <c r="L64" s="970"/>
    </row>
    <row r="65" spans="1:12" ht="17" customHeight="1">
      <c r="A65" s="1004"/>
      <c r="E65" s="616">
        <f>E64/G64</f>
        <v>1.2951945080091534</v>
      </c>
      <c r="F65" s="616">
        <f>F64/H64</f>
        <v>1.3072916666666667</v>
      </c>
    </row>
    <row r="66" spans="1:12" ht="16" customHeight="1">
      <c r="B66" s="1660"/>
      <c r="C66" s="1587" t="s">
        <v>315</v>
      </c>
      <c r="D66" s="1587" t="s">
        <v>316</v>
      </c>
      <c r="E66" s="1587" t="s">
        <v>324</v>
      </c>
      <c r="F66" s="1587" t="s">
        <v>325</v>
      </c>
      <c r="G66" s="1587" t="s">
        <v>324</v>
      </c>
      <c r="H66" s="1587" t="s">
        <v>325</v>
      </c>
      <c r="I66" s="1587" t="s">
        <v>326</v>
      </c>
      <c r="J66" s="1659" t="s">
        <v>327</v>
      </c>
      <c r="K66" s="1005"/>
      <c r="L66" s="1587" t="s">
        <v>329</v>
      </c>
    </row>
    <row r="67" spans="1:12">
      <c r="B67" s="1660"/>
      <c r="C67" s="1587"/>
      <c r="D67" s="1587"/>
      <c r="E67" s="1587"/>
      <c r="F67" s="1587"/>
      <c r="G67" s="1587"/>
      <c r="H67" s="1587"/>
      <c r="I67" s="1587"/>
      <c r="J67" s="1557"/>
      <c r="K67" s="704"/>
      <c r="L67" s="1587"/>
    </row>
    <row r="68" spans="1:12">
      <c r="B68" s="171">
        <v>1</v>
      </c>
      <c r="C68" s="171" t="s">
        <v>347</v>
      </c>
      <c r="D68" s="171" t="s">
        <v>134</v>
      </c>
      <c r="E68" s="171">
        <v>155</v>
      </c>
      <c r="F68" s="813">
        <v>6</v>
      </c>
      <c r="G68" s="171">
        <v>106</v>
      </c>
      <c r="H68" s="171">
        <v>4.0999999999999996</v>
      </c>
      <c r="I68" s="822">
        <v>1301</v>
      </c>
      <c r="J68" s="706">
        <v>16985</v>
      </c>
      <c r="K68" s="706"/>
      <c r="L68" s="171" t="s">
        <v>18</v>
      </c>
    </row>
    <row r="69" spans="1:12">
      <c r="B69" s="171">
        <v>2</v>
      </c>
      <c r="C69" s="171" t="s">
        <v>348</v>
      </c>
      <c r="D69" s="171" t="s">
        <v>134</v>
      </c>
      <c r="E69" s="171">
        <v>135</v>
      </c>
      <c r="F69" s="171">
        <v>5.2</v>
      </c>
      <c r="G69" s="171">
        <v>88</v>
      </c>
      <c r="H69" s="171">
        <v>3.3</v>
      </c>
      <c r="I69" s="822">
        <v>1393</v>
      </c>
      <c r="J69" s="706">
        <v>18149</v>
      </c>
      <c r="K69" s="706"/>
      <c r="L69" s="171" t="s">
        <v>12</v>
      </c>
    </row>
    <row r="70" spans="1:12">
      <c r="B70" s="171">
        <v>3</v>
      </c>
      <c r="C70" s="171" t="s">
        <v>349</v>
      </c>
      <c r="D70" s="171" t="s">
        <v>134</v>
      </c>
      <c r="E70" s="171">
        <v>123</v>
      </c>
      <c r="F70" s="171">
        <v>4.7</v>
      </c>
      <c r="G70" s="171">
        <v>95</v>
      </c>
      <c r="H70" s="171">
        <v>3.7</v>
      </c>
      <c r="I70" s="822">
        <v>1286</v>
      </c>
      <c r="J70" s="706">
        <v>17998</v>
      </c>
      <c r="K70" s="706"/>
      <c r="L70" s="171" t="s">
        <v>15</v>
      </c>
    </row>
    <row r="71" spans="1:12">
      <c r="B71" s="171">
        <v>4</v>
      </c>
      <c r="C71" s="171" t="s">
        <v>350</v>
      </c>
      <c r="D71" s="171" t="s">
        <v>134</v>
      </c>
      <c r="E71" s="742">
        <f>AVERAGE(123,168)</f>
        <v>145.5</v>
      </c>
      <c r="F71" s="171">
        <v>5.8</v>
      </c>
      <c r="G71" s="171">
        <v>98</v>
      </c>
      <c r="H71" s="171">
        <v>3.8</v>
      </c>
      <c r="I71" s="822">
        <v>1268</v>
      </c>
      <c r="J71" s="706">
        <v>18805</v>
      </c>
      <c r="K71" s="706"/>
      <c r="L71" s="171" t="s">
        <v>18</v>
      </c>
    </row>
    <row r="72" spans="1:12" ht="17" thickBot="1"/>
    <row r="73" spans="1:12" ht="17" thickBot="1">
      <c r="C73" s="699" t="s">
        <v>351</v>
      </c>
      <c r="D73" s="725" t="s">
        <v>134</v>
      </c>
      <c r="E73" s="968">
        <f>AVERAGE(E68:E71)</f>
        <v>139.625</v>
      </c>
      <c r="F73" s="1129">
        <f>AVERAGE(F68:F71)</f>
        <v>5.4249999999999998</v>
      </c>
      <c r="G73" s="1129">
        <f t="shared" ref="G73:H73" si="5">AVERAGE(G68:G71)</f>
        <v>96.75</v>
      </c>
      <c r="H73" s="1129">
        <f t="shared" si="5"/>
        <v>3.7249999999999996</v>
      </c>
      <c r="I73" s="968">
        <f t="shared" ref="I73:J73" si="6">AVERAGE(I68:I71)</f>
        <v>1312</v>
      </c>
      <c r="J73" s="969">
        <f t="shared" si="6"/>
        <v>17984.25</v>
      </c>
      <c r="K73" s="969">
        <f>332/3</f>
        <v>110.66666666666667</v>
      </c>
      <c r="L73" s="970"/>
    </row>
    <row r="74" spans="1:12" ht="16" customHeight="1">
      <c r="D74" s="1131"/>
      <c r="E74" s="616">
        <f>E73/G73</f>
        <v>1.4431524547803618</v>
      </c>
      <c r="F74" s="616">
        <f>F73/H73</f>
        <v>1.4563758389261745</v>
      </c>
    </row>
    <row r="75" spans="1:12" s="964" customFormat="1">
      <c r="A75" s="1127" t="s">
        <v>352</v>
      </c>
      <c r="E75" s="1661" t="s">
        <v>1327</v>
      </c>
      <c r="F75" s="1661"/>
      <c r="G75" s="1661" t="s">
        <v>518</v>
      </c>
      <c r="H75" s="1661"/>
    </row>
    <row r="76" spans="1:12">
      <c r="A76" s="1004"/>
    </row>
    <row r="77" spans="1:12" ht="16" customHeight="1">
      <c r="A77" s="1004"/>
      <c r="B77" s="1660"/>
      <c r="C77" s="1587" t="s">
        <v>315</v>
      </c>
      <c r="D77" s="1587" t="s">
        <v>316</v>
      </c>
      <c r="E77" s="1587" t="s">
        <v>324</v>
      </c>
      <c r="F77" s="1587" t="s">
        <v>325</v>
      </c>
      <c r="G77" s="1587" t="s">
        <v>324</v>
      </c>
      <c r="H77" s="1587" t="s">
        <v>325</v>
      </c>
      <c r="I77" s="1587" t="s">
        <v>326</v>
      </c>
      <c r="J77" s="1659" t="s">
        <v>327</v>
      </c>
      <c r="K77" s="1659" t="s">
        <v>328</v>
      </c>
      <c r="L77" s="1587" t="s">
        <v>329</v>
      </c>
    </row>
    <row r="78" spans="1:12">
      <c r="A78" s="1004"/>
      <c r="B78" s="1660"/>
      <c r="C78" s="1587"/>
      <c r="D78" s="1587"/>
      <c r="E78" s="1587"/>
      <c r="F78" s="1587"/>
      <c r="G78" s="1587"/>
      <c r="H78" s="1587"/>
      <c r="I78" s="1587"/>
      <c r="J78" s="1557"/>
      <c r="K78" s="1557"/>
      <c r="L78" s="1587"/>
    </row>
    <row r="79" spans="1:12">
      <c r="A79" s="1004"/>
      <c r="B79" s="171">
        <v>1</v>
      </c>
      <c r="C79" s="171" t="s">
        <v>1341</v>
      </c>
      <c r="D79" s="171" t="s">
        <v>321</v>
      </c>
      <c r="E79" s="171">
        <f>AVERAGE(141,165)</f>
        <v>153</v>
      </c>
      <c r="F79" s="813">
        <f>AVERAGE(5.4,6.3)</f>
        <v>5.85</v>
      </c>
      <c r="G79" s="171">
        <v>114</v>
      </c>
      <c r="H79" s="813">
        <v>5</v>
      </c>
      <c r="I79" s="171">
        <v>1367</v>
      </c>
      <c r="J79" s="706">
        <v>27053</v>
      </c>
      <c r="K79" s="706"/>
      <c r="L79" s="171" t="s">
        <v>7</v>
      </c>
    </row>
    <row r="80" spans="1:12">
      <c r="A80" s="1004"/>
      <c r="B80" s="171">
        <v>2</v>
      </c>
      <c r="C80" s="171" t="s">
        <v>353</v>
      </c>
      <c r="D80" s="171" t="s">
        <v>321</v>
      </c>
      <c r="E80" s="171">
        <v>160</v>
      </c>
      <c r="F80" s="171">
        <v>7.1</v>
      </c>
      <c r="G80" s="171">
        <v>129</v>
      </c>
      <c r="H80" s="171">
        <v>5.6</v>
      </c>
      <c r="I80" s="171">
        <v>1395</v>
      </c>
      <c r="J80" s="706">
        <v>29461</v>
      </c>
      <c r="K80" s="706"/>
      <c r="L80" s="171" t="s">
        <v>12</v>
      </c>
    </row>
    <row r="81" spans="1:12">
      <c r="A81" s="1004"/>
      <c r="B81" s="171">
        <v>3</v>
      </c>
      <c r="C81" s="171" t="s">
        <v>1344</v>
      </c>
      <c r="D81" s="171" t="s">
        <v>321</v>
      </c>
      <c r="E81" s="171">
        <v>182</v>
      </c>
      <c r="F81" s="171">
        <v>8.1</v>
      </c>
      <c r="G81" s="171">
        <v>119</v>
      </c>
      <c r="H81" s="171">
        <v>5.0999999999999996</v>
      </c>
      <c r="I81" s="171">
        <v>1575</v>
      </c>
      <c r="J81" s="706">
        <v>28102</v>
      </c>
      <c r="K81" s="706"/>
      <c r="L81" s="171" t="s">
        <v>12</v>
      </c>
    </row>
    <row r="82" spans="1:12">
      <c r="A82" s="1004"/>
      <c r="B82" s="171">
        <v>4</v>
      </c>
      <c r="C82" s="171" t="s">
        <v>1342</v>
      </c>
      <c r="D82" s="171" t="s">
        <v>321</v>
      </c>
      <c r="E82" s="171">
        <f>AVERAGE(140,170)</f>
        <v>155</v>
      </c>
      <c r="F82" s="813">
        <f>AVERAGE(6.2,7.5)</f>
        <v>6.85</v>
      </c>
      <c r="G82" s="171">
        <v>117</v>
      </c>
      <c r="H82" s="171">
        <v>5.0999999999999996</v>
      </c>
      <c r="I82" s="171">
        <v>1650</v>
      </c>
      <c r="J82" s="706">
        <v>27638</v>
      </c>
      <c r="K82" s="706"/>
      <c r="L82" s="171" t="s">
        <v>12</v>
      </c>
    </row>
    <row r="83" spans="1:12" ht="17" thickBot="1">
      <c r="A83" s="1004"/>
    </row>
    <row r="84" spans="1:12" ht="17" thickBot="1">
      <c r="A84" s="1004"/>
      <c r="C84" s="699" t="s">
        <v>354</v>
      </c>
      <c r="D84" s="725" t="s">
        <v>163</v>
      </c>
      <c r="E84" s="968">
        <f>AVERAGE(E79:E82)</f>
        <v>162.5</v>
      </c>
      <c r="F84" s="1129">
        <f t="shared" ref="F84:J84" si="7">AVERAGE(F79:F82)</f>
        <v>6.9749999999999996</v>
      </c>
      <c r="G84" s="1129">
        <f t="shared" si="7"/>
        <v>119.75</v>
      </c>
      <c r="H84" s="1129">
        <f t="shared" si="7"/>
        <v>5.1999999999999993</v>
      </c>
      <c r="I84" s="700">
        <f t="shared" si="7"/>
        <v>1496.75</v>
      </c>
      <c r="J84" s="969">
        <f t="shared" si="7"/>
        <v>28063.5</v>
      </c>
      <c r="K84" s="969">
        <f>206/3</f>
        <v>68.666666666666671</v>
      </c>
      <c r="L84" s="970"/>
    </row>
    <row r="85" spans="1:12">
      <c r="A85" s="1004"/>
      <c r="C85" s="971" t="s">
        <v>1369</v>
      </c>
      <c r="E85" s="616">
        <f>E84/G84</f>
        <v>1.3569937369519833</v>
      </c>
      <c r="F85" s="616">
        <f>F84/H84</f>
        <v>1.341346153846154</v>
      </c>
    </row>
    <row r="86" spans="1:12" ht="16" customHeight="1">
      <c r="B86" s="1660"/>
      <c r="C86" s="1587" t="s">
        <v>315</v>
      </c>
      <c r="D86" s="1587" t="s">
        <v>316</v>
      </c>
      <c r="E86" s="1587" t="s">
        <v>324</v>
      </c>
      <c r="F86" s="1587" t="s">
        <v>325</v>
      </c>
      <c r="G86" s="1587" t="s">
        <v>324</v>
      </c>
      <c r="H86" s="1587" t="s">
        <v>325</v>
      </c>
      <c r="I86" s="1587" t="s">
        <v>326</v>
      </c>
      <c r="J86" s="1659" t="s">
        <v>327</v>
      </c>
      <c r="K86" s="1659" t="s">
        <v>328</v>
      </c>
      <c r="L86" s="1587" t="s">
        <v>329</v>
      </c>
    </row>
    <row r="87" spans="1:12">
      <c r="B87" s="1660"/>
      <c r="C87" s="1587"/>
      <c r="D87" s="1587"/>
      <c r="E87" s="1587"/>
      <c r="F87" s="1587"/>
      <c r="G87" s="1587"/>
      <c r="H87" s="1587"/>
      <c r="I87" s="1587"/>
      <c r="J87" s="1557"/>
      <c r="K87" s="1557"/>
      <c r="L87" s="1587"/>
    </row>
    <row r="88" spans="1:12">
      <c r="B88" s="171">
        <v>1</v>
      </c>
      <c r="C88" s="171" t="s">
        <v>355</v>
      </c>
      <c r="D88" s="171" t="s">
        <v>134</v>
      </c>
      <c r="E88" s="171">
        <v>141</v>
      </c>
      <c r="F88" s="171">
        <v>5.4</v>
      </c>
      <c r="G88" s="171">
        <v>114</v>
      </c>
      <c r="H88" s="171">
        <v>4.3</v>
      </c>
      <c r="I88" s="171">
        <v>1367</v>
      </c>
      <c r="J88" s="706">
        <v>28997</v>
      </c>
      <c r="K88" s="706"/>
      <c r="L88" s="171" t="s">
        <v>18</v>
      </c>
    </row>
    <row r="89" spans="1:12">
      <c r="B89" s="171">
        <v>2</v>
      </c>
      <c r="C89" s="171" t="s">
        <v>356</v>
      </c>
      <c r="D89" s="171" t="s">
        <v>134</v>
      </c>
      <c r="E89" s="171">
        <v>130</v>
      </c>
      <c r="F89" s="813">
        <v>5</v>
      </c>
      <c r="G89" s="171">
        <v>99</v>
      </c>
      <c r="H89" s="171">
        <v>3.8</v>
      </c>
      <c r="I89" s="171">
        <v>1395</v>
      </c>
      <c r="J89" s="706">
        <v>26664</v>
      </c>
      <c r="K89" s="706"/>
      <c r="L89" s="171" t="s">
        <v>12</v>
      </c>
    </row>
    <row r="90" spans="1:12">
      <c r="B90" s="171">
        <v>3</v>
      </c>
      <c r="C90" s="171" t="s">
        <v>1345</v>
      </c>
      <c r="D90" s="171" t="s">
        <v>134</v>
      </c>
      <c r="E90" s="171">
        <v>152</v>
      </c>
      <c r="F90" s="171">
        <v>5.9</v>
      </c>
      <c r="G90" s="171">
        <v>103</v>
      </c>
      <c r="H90" s="171">
        <v>3.9</v>
      </c>
      <c r="I90" s="171">
        <v>1575</v>
      </c>
      <c r="J90" s="706">
        <v>30590</v>
      </c>
      <c r="K90" s="706"/>
      <c r="L90" s="171" t="s">
        <v>18</v>
      </c>
    </row>
    <row r="91" spans="1:12">
      <c r="B91" s="171">
        <v>4</v>
      </c>
      <c r="C91" s="171" t="s">
        <v>1343</v>
      </c>
      <c r="D91" s="171" t="s">
        <v>134</v>
      </c>
      <c r="E91" s="742">
        <f>AVERAGE(141,162)</f>
        <v>151.5</v>
      </c>
      <c r="F91" s="813">
        <f>AVERAGE(5.4,6.2)</f>
        <v>5.8000000000000007</v>
      </c>
      <c r="G91" s="171">
        <v>103</v>
      </c>
      <c r="H91" s="813">
        <v>4</v>
      </c>
      <c r="I91" s="171">
        <v>1650</v>
      </c>
      <c r="J91" s="706">
        <v>30372</v>
      </c>
      <c r="K91" s="706"/>
      <c r="L91" s="171" t="s">
        <v>15</v>
      </c>
    </row>
    <row r="92" spans="1:12" ht="17" thickBot="1"/>
    <row r="93" spans="1:12" ht="17" thickBot="1">
      <c r="C93" s="699" t="s">
        <v>357</v>
      </c>
      <c r="D93" s="725" t="s">
        <v>134</v>
      </c>
      <c r="E93" s="968">
        <f>AVERAGE(E88:E91)</f>
        <v>143.625</v>
      </c>
      <c r="F93" s="1129">
        <f t="shared" ref="F93:I93" si="8">AVERAGE(F88:F91)</f>
        <v>5.5250000000000004</v>
      </c>
      <c r="G93" s="1129">
        <f t="shared" si="8"/>
        <v>104.75</v>
      </c>
      <c r="H93" s="1129">
        <f t="shared" si="8"/>
        <v>4</v>
      </c>
      <c r="I93" s="700">
        <f t="shared" si="8"/>
        <v>1496.75</v>
      </c>
      <c r="J93" s="969">
        <f>AVERAGE(J88:J91)</f>
        <v>29155.75</v>
      </c>
      <c r="K93" s="969">
        <f>402/3</f>
        <v>134</v>
      </c>
      <c r="L93" s="970"/>
    </row>
    <row r="94" spans="1:12">
      <c r="C94" s="652"/>
      <c r="D94" s="652"/>
      <c r="E94" s="616">
        <f>E93/G93</f>
        <v>1.3711217183770883</v>
      </c>
      <c r="F94" s="616">
        <f>F93/H93</f>
        <v>1.3812500000000001</v>
      </c>
      <c r="G94" s="1130"/>
      <c r="H94" s="1130"/>
      <c r="I94" s="652"/>
      <c r="J94" s="652"/>
      <c r="K94" s="652"/>
      <c r="L94" s="652"/>
    </row>
    <row r="95" spans="1:12" s="964" customFormat="1">
      <c r="A95" s="1127" t="s">
        <v>358</v>
      </c>
      <c r="E95" s="1661" t="s">
        <v>1327</v>
      </c>
      <c r="F95" s="1661"/>
      <c r="G95" s="1661" t="s">
        <v>518</v>
      </c>
      <c r="H95" s="1661"/>
    </row>
    <row r="96" spans="1:12">
      <c r="A96" s="1004"/>
    </row>
    <row r="97" spans="1:12" ht="16" customHeight="1">
      <c r="A97" s="1004"/>
      <c r="B97" s="1660"/>
      <c r="C97" s="1587" t="s">
        <v>315</v>
      </c>
      <c r="D97" s="1587" t="s">
        <v>316</v>
      </c>
      <c r="E97" s="1587" t="s">
        <v>324</v>
      </c>
      <c r="F97" s="1587" t="s">
        <v>325</v>
      </c>
      <c r="G97" s="1587" t="s">
        <v>324</v>
      </c>
      <c r="H97" s="1587" t="s">
        <v>325</v>
      </c>
      <c r="I97" s="1587" t="s">
        <v>326</v>
      </c>
      <c r="J97" s="1659" t="s">
        <v>327</v>
      </c>
      <c r="K97" s="1659" t="s">
        <v>328</v>
      </c>
      <c r="L97" s="1587" t="s">
        <v>329</v>
      </c>
    </row>
    <row r="98" spans="1:12">
      <c r="A98" s="1004"/>
      <c r="B98" s="1660"/>
      <c r="C98" s="1587"/>
      <c r="D98" s="1587"/>
      <c r="E98" s="1587"/>
      <c r="F98" s="1587"/>
      <c r="G98" s="1587"/>
      <c r="H98" s="1587"/>
      <c r="I98" s="1587"/>
      <c r="J98" s="1557"/>
      <c r="K98" s="1557"/>
      <c r="L98" s="1587"/>
    </row>
    <row r="99" spans="1:12">
      <c r="A99" s="1004"/>
      <c r="B99" s="171">
        <v>1</v>
      </c>
      <c r="C99" s="171" t="s">
        <v>359</v>
      </c>
      <c r="D99" s="171" t="s">
        <v>321</v>
      </c>
      <c r="E99" s="171">
        <v>274</v>
      </c>
      <c r="F99" s="813">
        <v>12.2</v>
      </c>
      <c r="G99" s="171">
        <v>142</v>
      </c>
      <c r="H99" s="813">
        <v>6.3</v>
      </c>
      <c r="I99" s="171">
        <v>1515</v>
      </c>
      <c r="J99" s="706">
        <v>37955</v>
      </c>
      <c r="L99" s="171" t="s">
        <v>15</v>
      </c>
    </row>
    <row r="100" spans="1:12">
      <c r="A100" s="1004"/>
      <c r="B100" s="171">
        <v>2</v>
      </c>
      <c r="C100" s="171" t="s">
        <v>360</v>
      </c>
      <c r="D100" s="171" t="s">
        <v>321</v>
      </c>
      <c r="E100" s="171">
        <v>172</v>
      </c>
      <c r="F100" s="171">
        <v>7.6</v>
      </c>
      <c r="G100" s="171">
        <v>126</v>
      </c>
      <c r="H100" s="171">
        <v>5.5</v>
      </c>
      <c r="I100" s="171">
        <v>1615</v>
      </c>
      <c r="J100" s="706">
        <v>47390</v>
      </c>
      <c r="L100" s="171" t="s">
        <v>12</v>
      </c>
    </row>
    <row r="101" spans="1:12">
      <c r="A101" s="1004"/>
      <c r="B101" s="171">
        <v>3</v>
      </c>
      <c r="C101" s="171" t="s">
        <v>361</v>
      </c>
      <c r="D101" s="171" t="s">
        <v>321</v>
      </c>
      <c r="E101" s="171">
        <v>182</v>
      </c>
      <c r="F101" s="171">
        <v>8</v>
      </c>
      <c r="G101" s="171">
        <v>149</v>
      </c>
      <c r="H101" s="171">
        <v>6.5</v>
      </c>
      <c r="I101" s="171">
        <v>1612</v>
      </c>
      <c r="J101" s="706">
        <v>37107</v>
      </c>
      <c r="L101" s="171" t="s">
        <v>15</v>
      </c>
    </row>
    <row r="102" spans="1:12">
      <c r="A102" s="1004"/>
      <c r="B102" s="171">
        <v>4</v>
      </c>
      <c r="C102" s="171" t="s">
        <v>1347</v>
      </c>
      <c r="D102" s="171" t="s">
        <v>321</v>
      </c>
      <c r="E102" s="171">
        <f>AVERAGE(166,206)</f>
        <v>186</v>
      </c>
      <c r="F102" s="171">
        <f>AVERAGE(7.3,9.1)</f>
        <v>8.1999999999999993</v>
      </c>
      <c r="G102" s="171">
        <v>185</v>
      </c>
      <c r="H102" s="171">
        <v>8</v>
      </c>
      <c r="I102" s="171">
        <v>1735</v>
      </c>
      <c r="J102" s="706">
        <v>43449</v>
      </c>
      <c r="L102" s="171" t="s">
        <v>21</v>
      </c>
    </row>
    <row r="103" spans="1:12" ht="17" thickBot="1">
      <c r="A103" s="1004"/>
    </row>
    <row r="104" spans="1:12" ht="16" customHeight="1" thickBot="1">
      <c r="A104" s="1004"/>
      <c r="C104" s="699" t="s">
        <v>362</v>
      </c>
      <c r="D104" s="725" t="s">
        <v>163</v>
      </c>
      <c r="E104" s="968">
        <f>AVERAGE(E99:E102)</f>
        <v>203.5</v>
      </c>
      <c r="F104" s="1129">
        <f>AVERAGE(F99:F102)</f>
        <v>9</v>
      </c>
      <c r="G104" s="1129">
        <f>AVERAGE(G99:G102)</f>
        <v>150.5</v>
      </c>
      <c r="H104" s="1129">
        <f>AVERAGE(H99:H102)</f>
        <v>6.5750000000000002</v>
      </c>
      <c r="I104" s="700">
        <f t="shared" ref="I104" si="9">AVERAGE(I99:I102)</f>
        <v>1619.25</v>
      </c>
      <c r="J104" s="969">
        <f>AVERAGE(J99:J102)</f>
        <v>41475.25</v>
      </c>
      <c r="K104" s="969">
        <f>235/3</f>
        <v>78.333333333333329</v>
      </c>
      <c r="L104" s="970"/>
    </row>
    <row r="105" spans="1:12" ht="16" customHeight="1">
      <c r="A105" s="1004"/>
      <c r="E105" s="616">
        <f>E104/G104</f>
        <v>1.3521594684385383</v>
      </c>
      <c r="F105" s="616">
        <f>F104/H104</f>
        <v>1.3688212927756653</v>
      </c>
    </row>
    <row r="106" spans="1:12" ht="16" customHeight="1">
      <c r="B106" s="1660"/>
      <c r="C106" s="1587" t="s">
        <v>315</v>
      </c>
      <c r="D106" s="1587" t="s">
        <v>316</v>
      </c>
      <c r="E106" s="1587" t="s">
        <v>324</v>
      </c>
      <c r="F106" s="1587" t="s">
        <v>325</v>
      </c>
      <c r="G106" s="1587" t="s">
        <v>324</v>
      </c>
      <c r="H106" s="1587" t="s">
        <v>325</v>
      </c>
      <c r="I106" s="1587" t="s">
        <v>326</v>
      </c>
      <c r="J106" s="1659" t="s">
        <v>327</v>
      </c>
      <c r="K106" s="1659" t="s">
        <v>328</v>
      </c>
      <c r="L106" s="1587" t="s">
        <v>329</v>
      </c>
    </row>
    <row r="107" spans="1:12">
      <c r="B107" s="1660"/>
      <c r="C107" s="1587"/>
      <c r="D107" s="1587"/>
      <c r="E107" s="1587"/>
      <c r="F107" s="1587"/>
      <c r="G107" s="1587"/>
      <c r="H107" s="1587"/>
      <c r="I107" s="1587"/>
      <c r="J107" s="1557"/>
      <c r="K107" s="1557"/>
      <c r="L107" s="1587"/>
    </row>
    <row r="108" spans="1:12" ht="17" customHeight="1">
      <c r="B108" s="171">
        <v>1</v>
      </c>
      <c r="C108" s="171" t="s">
        <v>363</v>
      </c>
      <c r="D108" s="171" t="s">
        <v>134</v>
      </c>
      <c r="E108" s="171">
        <v>189</v>
      </c>
      <c r="F108" s="171">
        <v>7.2</v>
      </c>
      <c r="G108" s="171">
        <v>112</v>
      </c>
      <c r="H108" s="171">
        <v>4.3</v>
      </c>
      <c r="I108" s="171">
        <v>1580</v>
      </c>
      <c r="J108" s="706">
        <v>38057</v>
      </c>
      <c r="L108" s="171" t="s">
        <v>15</v>
      </c>
    </row>
    <row r="109" spans="1:12" ht="17" customHeight="1">
      <c r="B109" s="171">
        <v>2</v>
      </c>
      <c r="C109" s="171" t="s">
        <v>364</v>
      </c>
      <c r="D109" s="171" t="s">
        <v>134</v>
      </c>
      <c r="E109" s="171">
        <v>162</v>
      </c>
      <c r="F109" s="171">
        <v>6.2</v>
      </c>
      <c r="G109" s="171">
        <v>109</v>
      </c>
      <c r="H109" s="171">
        <v>4.0999999999999996</v>
      </c>
      <c r="I109" s="171">
        <v>1615</v>
      </c>
      <c r="J109" s="706">
        <v>41809</v>
      </c>
      <c r="L109" s="171" t="s">
        <v>12</v>
      </c>
    </row>
    <row r="110" spans="1:12" ht="17" customHeight="1">
      <c r="B110" s="171">
        <v>3</v>
      </c>
      <c r="C110" s="171" t="s">
        <v>365</v>
      </c>
      <c r="D110" s="171" t="s">
        <v>134</v>
      </c>
      <c r="E110" s="171">
        <v>159</v>
      </c>
      <c r="F110" s="171">
        <v>6.1</v>
      </c>
      <c r="G110" s="171">
        <v>116</v>
      </c>
      <c r="H110" s="171">
        <v>4.4000000000000004</v>
      </c>
      <c r="I110" s="171">
        <v>1600</v>
      </c>
      <c r="J110" s="706">
        <v>35654</v>
      </c>
      <c r="L110" s="171" t="s">
        <v>15</v>
      </c>
    </row>
    <row r="111" spans="1:12" ht="17" customHeight="1">
      <c r="B111" s="171">
        <v>4</v>
      </c>
      <c r="C111" s="171" t="s">
        <v>1348</v>
      </c>
      <c r="D111" s="171" t="s">
        <v>134</v>
      </c>
      <c r="E111" s="742">
        <f>AVERAGE(133,160)</f>
        <v>146.5</v>
      </c>
      <c r="F111" s="813">
        <f>AVERAGE(5.1,6.1)</f>
        <v>5.6</v>
      </c>
      <c r="G111" s="171">
        <v>149</v>
      </c>
      <c r="H111" s="813">
        <v>5.7</v>
      </c>
      <c r="I111" s="171">
        <v>1800</v>
      </c>
      <c r="J111" s="706">
        <v>49900</v>
      </c>
      <c r="L111" s="171" t="s">
        <v>21</v>
      </c>
    </row>
    <row r="112" spans="1:12" ht="17" customHeight="1" thickBot="1"/>
    <row r="113" spans="1:12" ht="17" thickBot="1">
      <c r="C113" s="699" t="s">
        <v>366</v>
      </c>
      <c r="D113" s="725" t="s">
        <v>134</v>
      </c>
      <c r="E113" s="968">
        <f>AVERAGE(E108:E111)</f>
        <v>164.125</v>
      </c>
      <c r="F113" s="1129">
        <f>AVERAGE(F108:F111)</f>
        <v>6.2750000000000004</v>
      </c>
      <c r="G113" s="1129">
        <f t="shared" ref="G113:H113" si="10">AVERAGE(G108:G111)</f>
        <v>121.5</v>
      </c>
      <c r="H113" s="1129">
        <f t="shared" si="10"/>
        <v>4.625</v>
      </c>
      <c r="I113" s="700">
        <f t="shared" ref="I113" si="11">AVERAGE(I108:I111)</f>
        <v>1648.75</v>
      </c>
      <c r="J113" s="969">
        <f>AVERAGE(J108:J111)</f>
        <v>41355</v>
      </c>
      <c r="K113" s="725">
        <f>444/3</f>
        <v>148</v>
      </c>
      <c r="L113" s="970"/>
    </row>
    <row r="114" spans="1:12" ht="17" customHeight="1">
      <c r="C114" s="971" t="s">
        <v>1369</v>
      </c>
      <c r="D114" s="652"/>
      <c r="E114" s="616">
        <f>E113/G113</f>
        <v>1.3508230452674896</v>
      </c>
      <c r="F114" s="616">
        <f>F113/H113</f>
        <v>1.3567567567567569</v>
      </c>
      <c r="G114" s="1130"/>
      <c r="H114" s="1130"/>
      <c r="I114" s="652"/>
      <c r="J114" s="652"/>
      <c r="K114" s="652"/>
      <c r="L114" s="652"/>
    </row>
    <row r="115" spans="1:12" s="964" customFormat="1" ht="17" customHeight="1">
      <c r="A115" s="1127" t="s">
        <v>367</v>
      </c>
      <c r="E115" s="1661" t="s">
        <v>1327</v>
      </c>
      <c r="F115" s="1661"/>
      <c r="G115" s="1661" t="s">
        <v>518</v>
      </c>
      <c r="H115" s="1661"/>
    </row>
    <row r="116" spans="1:12" ht="17" customHeight="1">
      <c r="A116" s="1004"/>
    </row>
    <row r="117" spans="1:12" ht="17" customHeight="1">
      <c r="A117" s="1004"/>
      <c r="B117" s="1660"/>
      <c r="C117" s="1587" t="s">
        <v>315</v>
      </c>
      <c r="D117" s="1587" t="s">
        <v>316</v>
      </c>
      <c r="E117" s="1587" t="s">
        <v>324</v>
      </c>
      <c r="F117" s="1587" t="s">
        <v>325</v>
      </c>
      <c r="G117" s="1587" t="s">
        <v>324</v>
      </c>
      <c r="H117" s="1587" t="s">
        <v>325</v>
      </c>
      <c r="I117" s="1587" t="s">
        <v>326</v>
      </c>
      <c r="J117" s="1659" t="s">
        <v>327</v>
      </c>
      <c r="K117" s="1659" t="s">
        <v>328</v>
      </c>
      <c r="L117" s="1587" t="s">
        <v>329</v>
      </c>
    </row>
    <row r="118" spans="1:12" ht="17" customHeight="1">
      <c r="A118" s="1004"/>
      <c r="B118" s="1660"/>
      <c r="C118" s="1587"/>
      <c r="D118" s="1587"/>
      <c r="E118" s="1587"/>
      <c r="F118" s="1587"/>
      <c r="G118" s="1587"/>
      <c r="H118" s="1587"/>
      <c r="I118" s="1587"/>
      <c r="J118" s="1557"/>
      <c r="K118" s="1557"/>
      <c r="L118" s="1587"/>
    </row>
    <row r="119" spans="1:12" ht="17" customHeight="1">
      <c r="A119" s="1004"/>
      <c r="B119" s="171">
        <v>1</v>
      </c>
      <c r="C119" s="171" t="s">
        <v>368</v>
      </c>
      <c r="D119" s="171" t="s">
        <v>321</v>
      </c>
      <c r="E119" s="171">
        <v>305</v>
      </c>
      <c r="F119" s="813">
        <v>13.5</v>
      </c>
      <c r="G119" s="171">
        <v>187</v>
      </c>
      <c r="H119" s="813">
        <v>8.1999999999999993</v>
      </c>
      <c r="I119" s="171">
        <v>1895</v>
      </c>
      <c r="J119" s="706">
        <v>71766</v>
      </c>
      <c r="L119" s="171" t="s">
        <v>18</v>
      </c>
    </row>
    <row r="120" spans="1:12" ht="17" customHeight="1">
      <c r="A120" s="1004"/>
      <c r="B120" s="171">
        <v>2</v>
      </c>
      <c r="C120" s="171" t="s">
        <v>369</v>
      </c>
      <c r="D120" s="171" t="s">
        <v>321</v>
      </c>
      <c r="E120" s="171">
        <v>171</v>
      </c>
      <c r="F120" s="171">
        <v>6.6</v>
      </c>
      <c r="G120" s="171">
        <v>154</v>
      </c>
      <c r="H120" s="171">
        <v>6.6</v>
      </c>
      <c r="I120" s="171">
        <v>1800</v>
      </c>
      <c r="J120" s="706">
        <v>79070</v>
      </c>
      <c r="L120" s="171" t="s">
        <v>15</v>
      </c>
    </row>
    <row r="121" spans="1:12" ht="17" customHeight="1">
      <c r="A121" s="1004"/>
      <c r="B121" s="171">
        <v>3</v>
      </c>
      <c r="C121" s="171" t="s">
        <v>1349</v>
      </c>
      <c r="D121" s="171" t="s">
        <v>321</v>
      </c>
      <c r="E121" s="171">
        <v>197</v>
      </c>
      <c r="F121" s="171">
        <v>8.6999999999999993</v>
      </c>
      <c r="G121" s="171">
        <v>175</v>
      </c>
      <c r="H121" s="171">
        <v>7.7</v>
      </c>
      <c r="I121" s="171">
        <v>1850</v>
      </c>
      <c r="J121" s="706">
        <v>80424</v>
      </c>
      <c r="L121" s="171" t="s">
        <v>18</v>
      </c>
    </row>
    <row r="122" spans="1:12" ht="17" customHeight="1">
      <c r="A122" s="1004"/>
      <c r="B122" s="171">
        <v>4</v>
      </c>
      <c r="C122" s="171" t="s">
        <v>1351</v>
      </c>
      <c r="D122" s="171" t="s">
        <v>321</v>
      </c>
      <c r="E122" s="171">
        <v>190</v>
      </c>
      <c r="F122" s="171">
        <v>8.4</v>
      </c>
      <c r="G122" s="171">
        <v>173</v>
      </c>
      <c r="H122" s="171">
        <v>7.6</v>
      </c>
      <c r="I122" s="171">
        <v>1995</v>
      </c>
      <c r="J122" s="706">
        <v>73032</v>
      </c>
      <c r="L122" s="171" t="s">
        <v>15</v>
      </c>
    </row>
    <row r="123" spans="1:12" ht="17" customHeight="1" thickBot="1">
      <c r="A123" s="1004"/>
    </row>
    <row r="124" spans="1:12" ht="17" customHeight="1" thickBot="1">
      <c r="A124" s="1004"/>
      <c r="C124" s="699" t="s">
        <v>370</v>
      </c>
      <c r="D124" s="725" t="s">
        <v>163</v>
      </c>
      <c r="E124" s="968">
        <f>AVERAGE(E119:E122)</f>
        <v>215.75</v>
      </c>
      <c r="F124" s="1129">
        <f>AVERAGE(F119:F122)</f>
        <v>9.3000000000000007</v>
      </c>
      <c r="G124" s="1129">
        <f t="shared" ref="G124:H124" si="12">AVERAGE(G119:G122)</f>
        <v>172.25</v>
      </c>
      <c r="H124" s="1129">
        <f t="shared" si="12"/>
        <v>7.5250000000000004</v>
      </c>
      <c r="I124" s="700">
        <f t="shared" ref="I124" si="13">AVERAGE(I119:I122)</f>
        <v>1885</v>
      </c>
      <c r="J124" s="969">
        <f>AVERAGE(J119:J122)</f>
        <v>76073</v>
      </c>
      <c r="K124" s="969">
        <f>303/3</f>
        <v>101</v>
      </c>
      <c r="L124" s="970"/>
    </row>
    <row r="125" spans="1:12">
      <c r="A125" s="1004"/>
      <c r="E125" s="616">
        <f>E124/G124</f>
        <v>1.2525399129172714</v>
      </c>
      <c r="F125" s="616">
        <f>F124/H124</f>
        <v>1.2358803986710964</v>
      </c>
    </row>
    <row r="126" spans="1:12">
      <c r="B126" s="1660"/>
      <c r="C126" s="1587" t="s">
        <v>315</v>
      </c>
      <c r="D126" s="1587" t="s">
        <v>316</v>
      </c>
      <c r="E126" s="1587" t="s">
        <v>324</v>
      </c>
      <c r="F126" s="1587" t="s">
        <v>325</v>
      </c>
      <c r="G126" s="1587" t="s">
        <v>324</v>
      </c>
      <c r="H126" s="1587" t="s">
        <v>325</v>
      </c>
      <c r="I126" s="1587" t="s">
        <v>326</v>
      </c>
      <c r="J126" s="1659" t="s">
        <v>327</v>
      </c>
      <c r="K126" s="1659" t="s">
        <v>328</v>
      </c>
      <c r="L126" s="1587" t="s">
        <v>329</v>
      </c>
    </row>
    <row r="127" spans="1:12">
      <c r="B127" s="1660"/>
      <c r="C127" s="1587"/>
      <c r="D127" s="1587"/>
      <c r="E127" s="1587"/>
      <c r="F127" s="1587"/>
      <c r="G127" s="1587"/>
      <c r="H127" s="1587"/>
      <c r="I127" s="1587"/>
      <c r="J127" s="1557"/>
      <c r="K127" s="1557"/>
      <c r="L127" s="1587"/>
    </row>
    <row r="128" spans="1:12">
      <c r="B128" s="171">
        <v>1</v>
      </c>
      <c r="C128" s="171" t="s">
        <v>371</v>
      </c>
      <c r="D128" s="171" t="s">
        <v>134</v>
      </c>
      <c r="E128" s="171">
        <v>182</v>
      </c>
      <c r="F128" s="813">
        <v>7</v>
      </c>
      <c r="G128" s="171">
        <v>146</v>
      </c>
      <c r="H128" s="171">
        <v>5.5</v>
      </c>
      <c r="I128" s="171">
        <v>1870</v>
      </c>
      <c r="J128" s="706">
        <v>75240</v>
      </c>
      <c r="L128" s="171" t="s">
        <v>18</v>
      </c>
    </row>
    <row r="129" spans="1:12">
      <c r="B129" s="171">
        <v>2</v>
      </c>
      <c r="C129" s="171" t="s">
        <v>372</v>
      </c>
      <c r="D129" s="171" t="s">
        <v>134</v>
      </c>
      <c r="E129" s="171">
        <v>199</v>
      </c>
      <c r="F129" s="171">
        <v>8.1999999999999993</v>
      </c>
      <c r="G129" s="171">
        <v>119</v>
      </c>
      <c r="H129" s="171">
        <v>4.5</v>
      </c>
      <c r="I129" s="171">
        <v>1830</v>
      </c>
      <c r="J129" s="706">
        <v>76714</v>
      </c>
      <c r="L129" s="171" t="s">
        <v>12</v>
      </c>
    </row>
    <row r="130" spans="1:12">
      <c r="B130" s="171">
        <v>3</v>
      </c>
      <c r="C130" s="171" t="s">
        <v>1350</v>
      </c>
      <c r="D130" s="171" t="s">
        <v>134</v>
      </c>
      <c r="E130" s="171">
        <v>154</v>
      </c>
      <c r="F130" s="171">
        <v>5.9</v>
      </c>
      <c r="G130" s="171">
        <v>176</v>
      </c>
      <c r="H130" s="171">
        <v>6.7</v>
      </c>
      <c r="I130" s="171">
        <v>2050</v>
      </c>
      <c r="J130" s="706">
        <v>99218</v>
      </c>
      <c r="L130" s="171" t="s">
        <v>25</v>
      </c>
    </row>
    <row r="131" spans="1:12">
      <c r="B131" s="171">
        <v>4</v>
      </c>
      <c r="C131" s="171" t="s">
        <v>1352</v>
      </c>
      <c r="D131" s="171" t="s">
        <v>134</v>
      </c>
      <c r="E131" s="171">
        <v>203</v>
      </c>
      <c r="F131" s="813">
        <v>7.7</v>
      </c>
      <c r="G131" s="171">
        <v>151</v>
      </c>
      <c r="H131" s="813">
        <v>5.8</v>
      </c>
      <c r="I131" s="171">
        <v>2050</v>
      </c>
      <c r="J131" s="706">
        <v>71155</v>
      </c>
      <c r="L131" s="171" t="s">
        <v>18</v>
      </c>
    </row>
    <row r="132" spans="1:12" ht="17" thickBot="1"/>
    <row r="133" spans="1:12" ht="17" thickBot="1">
      <c r="C133" s="699" t="s">
        <v>373</v>
      </c>
      <c r="D133" s="725" t="s">
        <v>134</v>
      </c>
      <c r="E133" s="968">
        <f>AVERAGE(E128:E131)</f>
        <v>184.5</v>
      </c>
      <c r="F133" s="1129">
        <f>AVERAGE(F128:F131)</f>
        <v>7.2</v>
      </c>
      <c r="G133" s="1129">
        <f t="shared" ref="G133:H133" si="14">AVERAGE(G128:G131)</f>
        <v>148</v>
      </c>
      <c r="H133" s="1129">
        <f t="shared" si="14"/>
        <v>5.625</v>
      </c>
      <c r="I133" s="700">
        <f t="shared" ref="I133" si="15">AVERAGE(I128:I131)</f>
        <v>1950</v>
      </c>
      <c r="J133" s="969">
        <f>AVERAGE(J128:J131)</f>
        <v>80581.75</v>
      </c>
      <c r="K133" s="969">
        <f>550/3</f>
        <v>183.33333333333334</v>
      </c>
      <c r="L133" s="970"/>
    </row>
    <row r="134" spans="1:12">
      <c r="C134" s="971" t="s">
        <v>1369</v>
      </c>
      <c r="E134" s="616">
        <f>E133/G133</f>
        <v>1.2466216216216217</v>
      </c>
      <c r="F134" s="616">
        <f>F133/H133</f>
        <v>1.28</v>
      </c>
    </row>
    <row r="135" spans="1:12" s="964" customFormat="1">
      <c r="A135" s="1127" t="s">
        <v>374</v>
      </c>
      <c r="E135" s="1661" t="s">
        <v>1327</v>
      </c>
      <c r="F135" s="1661"/>
      <c r="G135" s="1661" t="s">
        <v>518</v>
      </c>
      <c r="H135" s="1661"/>
    </row>
    <row r="136" spans="1:12">
      <c r="A136" s="1004"/>
    </row>
    <row r="137" spans="1:12" ht="16" customHeight="1">
      <c r="A137" s="1004"/>
      <c r="B137" s="1660"/>
      <c r="C137" s="1587" t="s">
        <v>315</v>
      </c>
      <c r="D137" s="1587" t="s">
        <v>316</v>
      </c>
      <c r="E137" s="1587" t="s">
        <v>324</v>
      </c>
      <c r="F137" s="1587" t="s">
        <v>325</v>
      </c>
      <c r="G137" s="1587" t="s">
        <v>324</v>
      </c>
      <c r="H137" s="1587" t="s">
        <v>325</v>
      </c>
      <c r="I137" s="1587" t="s">
        <v>326</v>
      </c>
      <c r="J137" s="1659" t="s">
        <v>327</v>
      </c>
      <c r="K137" s="1659" t="s">
        <v>328</v>
      </c>
      <c r="L137" s="1587" t="s">
        <v>329</v>
      </c>
    </row>
    <row r="138" spans="1:12">
      <c r="A138" s="1004"/>
      <c r="B138" s="1660"/>
      <c r="C138" s="1587"/>
      <c r="D138" s="1587"/>
      <c r="E138" s="1587"/>
      <c r="F138" s="1587"/>
      <c r="G138" s="1587"/>
      <c r="H138" s="1587"/>
      <c r="I138" s="1587"/>
      <c r="J138" s="1557"/>
      <c r="K138" s="1557"/>
      <c r="L138" s="1587"/>
    </row>
    <row r="139" spans="1:12">
      <c r="A139" s="1004"/>
      <c r="B139" s="171">
        <v>1</v>
      </c>
      <c r="C139" s="171" t="s">
        <v>1353</v>
      </c>
      <c r="D139" s="171" t="s">
        <v>321</v>
      </c>
      <c r="E139" s="171">
        <v>142</v>
      </c>
      <c r="F139" s="813">
        <v>6.3</v>
      </c>
      <c r="G139" s="171">
        <v>113</v>
      </c>
      <c r="H139" s="813">
        <v>5.0999999999999996</v>
      </c>
      <c r="I139" s="171">
        <v>1076</v>
      </c>
      <c r="J139" s="706">
        <v>11990</v>
      </c>
      <c r="L139" s="171" t="s">
        <v>15</v>
      </c>
    </row>
    <row r="140" spans="1:12">
      <c r="A140" s="1004"/>
      <c r="B140" s="171">
        <v>2</v>
      </c>
      <c r="C140" s="171" t="s">
        <v>375</v>
      </c>
      <c r="D140" s="171" t="s">
        <v>321</v>
      </c>
      <c r="E140" s="171">
        <v>141</v>
      </c>
      <c r="F140" s="171">
        <v>6.3</v>
      </c>
      <c r="G140" s="171">
        <v>114</v>
      </c>
      <c r="H140" s="171">
        <v>4.9000000000000004</v>
      </c>
      <c r="I140" s="171">
        <v>1030</v>
      </c>
      <c r="J140" s="706">
        <v>13586</v>
      </c>
      <c r="L140" s="171" t="s">
        <v>15</v>
      </c>
    </row>
    <row r="141" spans="1:12">
      <c r="A141" s="1004"/>
      <c r="B141" s="171">
        <v>3</v>
      </c>
      <c r="C141" s="171" t="s">
        <v>376</v>
      </c>
      <c r="D141" s="171" t="s">
        <v>321</v>
      </c>
      <c r="E141" s="171">
        <v>169</v>
      </c>
      <c r="F141" s="171">
        <v>7.5</v>
      </c>
      <c r="G141" s="171">
        <v>153</v>
      </c>
      <c r="H141" s="171">
        <v>6.6</v>
      </c>
      <c r="I141" s="171">
        <v>1255</v>
      </c>
      <c r="J141" s="706">
        <v>10779</v>
      </c>
      <c r="L141" s="171" t="s">
        <v>25</v>
      </c>
    </row>
    <row r="142" spans="1:12">
      <c r="A142" s="1004"/>
      <c r="B142" s="171">
        <v>4</v>
      </c>
      <c r="C142" s="171" t="s">
        <v>1354</v>
      </c>
      <c r="D142" s="171" t="s">
        <v>321</v>
      </c>
      <c r="E142" s="171">
        <v>142</v>
      </c>
      <c r="F142" s="171">
        <v>6.3</v>
      </c>
      <c r="G142" s="171">
        <v>138</v>
      </c>
      <c r="H142" s="171">
        <v>6.1</v>
      </c>
      <c r="I142" s="171">
        <v>1175</v>
      </c>
      <c r="J142" s="706">
        <v>8969</v>
      </c>
      <c r="L142" s="171" t="s">
        <v>18</v>
      </c>
    </row>
    <row r="143" spans="1:12" ht="17" thickBot="1">
      <c r="A143" s="1004"/>
    </row>
    <row r="144" spans="1:12" ht="17" thickBot="1">
      <c r="A144" s="1004"/>
      <c r="C144" s="699" t="s">
        <v>377</v>
      </c>
      <c r="D144" s="725" t="s">
        <v>163</v>
      </c>
      <c r="E144" s="968">
        <f>AVERAGE(E139:E142)</f>
        <v>148.5</v>
      </c>
      <c r="F144" s="1129">
        <f>AVERAGE(F139:F142)</f>
        <v>6.6000000000000005</v>
      </c>
      <c r="G144" s="1129">
        <f t="shared" ref="G144:H144" si="16">AVERAGE(G139:G142)</f>
        <v>129.5</v>
      </c>
      <c r="H144" s="1129">
        <f t="shared" si="16"/>
        <v>5.6750000000000007</v>
      </c>
      <c r="I144" s="700">
        <f t="shared" ref="I144" si="17">AVERAGE(I139:I142)</f>
        <v>1134</v>
      </c>
      <c r="J144" s="969">
        <f>AVERAGE(J139:J142)</f>
        <v>11331</v>
      </c>
      <c r="K144" s="969">
        <f>122/3</f>
        <v>40.666666666666664</v>
      </c>
      <c r="L144" s="970"/>
    </row>
    <row r="145" spans="1:12">
      <c r="A145" s="1004"/>
      <c r="E145" s="616">
        <f>gCO2_km_benz_A/G144</f>
        <v>1.0521235521235521</v>
      </c>
      <c r="F145" s="616">
        <f>verbr_benz_A/H144</f>
        <v>1.070484581497797</v>
      </c>
    </row>
    <row r="146" spans="1:12" ht="16" customHeight="1">
      <c r="B146" s="1660"/>
      <c r="C146" s="1587" t="s">
        <v>315</v>
      </c>
      <c r="D146" s="1587" t="s">
        <v>316</v>
      </c>
      <c r="E146" s="1587" t="s">
        <v>324</v>
      </c>
      <c r="F146" s="1587" t="s">
        <v>325</v>
      </c>
      <c r="G146" s="1587" t="s">
        <v>324</v>
      </c>
      <c r="H146" s="1587" t="s">
        <v>325</v>
      </c>
      <c r="I146" s="1587" t="s">
        <v>326</v>
      </c>
      <c r="J146" s="1659" t="s">
        <v>327</v>
      </c>
      <c r="K146" s="1659" t="s">
        <v>328</v>
      </c>
      <c r="L146" s="1587" t="s">
        <v>329</v>
      </c>
    </row>
    <row r="147" spans="1:12" ht="16" customHeight="1">
      <c r="B147" s="1660"/>
      <c r="C147" s="1587"/>
      <c r="D147" s="1587"/>
      <c r="E147" s="1587"/>
      <c r="F147" s="1587"/>
      <c r="G147" s="1587"/>
      <c r="H147" s="1587"/>
      <c r="I147" s="1587"/>
      <c r="J147" s="1557"/>
      <c r="K147" s="1557"/>
      <c r="L147" s="1587"/>
    </row>
    <row r="148" spans="1:12">
      <c r="B148" s="171">
        <v>1</v>
      </c>
      <c r="C148" s="171" t="s">
        <v>378</v>
      </c>
      <c r="D148" s="171" t="s">
        <v>134</v>
      </c>
      <c r="E148" s="171">
        <v>171</v>
      </c>
      <c r="F148" s="171">
        <v>6.5</v>
      </c>
      <c r="G148" s="171">
        <v>101</v>
      </c>
      <c r="H148" s="171">
        <v>3.9</v>
      </c>
      <c r="I148" s="171">
        <v>1165</v>
      </c>
      <c r="J148" s="706">
        <v>18001</v>
      </c>
      <c r="L148" s="171" t="s">
        <v>21</v>
      </c>
    </row>
    <row r="149" spans="1:12">
      <c r="B149" s="171">
        <v>2</v>
      </c>
      <c r="C149" s="171" t="s">
        <v>379</v>
      </c>
      <c r="D149" s="171" t="s">
        <v>134</v>
      </c>
      <c r="E149" s="171">
        <v>129</v>
      </c>
      <c r="F149" s="171">
        <v>5</v>
      </c>
      <c r="G149" s="171">
        <v>96</v>
      </c>
      <c r="H149" s="171">
        <v>3.7</v>
      </c>
      <c r="I149" s="171">
        <v>1175</v>
      </c>
      <c r="J149" s="706">
        <v>19726</v>
      </c>
      <c r="L149" s="171" t="s">
        <v>18</v>
      </c>
    </row>
    <row r="150" spans="1:12">
      <c r="B150" s="171">
        <v>3</v>
      </c>
      <c r="C150" s="171" t="s">
        <v>380</v>
      </c>
      <c r="D150" s="171" t="s">
        <v>134</v>
      </c>
      <c r="E150" s="171">
        <v>150</v>
      </c>
      <c r="F150" s="171">
        <v>5.8</v>
      </c>
      <c r="G150" s="171">
        <v>103</v>
      </c>
      <c r="H150" s="171">
        <v>3.9</v>
      </c>
      <c r="I150" s="171">
        <v>1349</v>
      </c>
      <c r="J150" s="706">
        <v>19698</v>
      </c>
      <c r="L150" s="171" t="s">
        <v>21</v>
      </c>
    </row>
    <row r="151" spans="1:12">
      <c r="B151" s="171">
        <v>4</v>
      </c>
      <c r="C151" s="171" t="s">
        <v>1355</v>
      </c>
      <c r="D151" s="171" t="s">
        <v>134</v>
      </c>
      <c r="E151" s="171">
        <v>194</v>
      </c>
      <c r="F151" s="813">
        <v>7.4</v>
      </c>
      <c r="G151" s="171">
        <v>115</v>
      </c>
      <c r="H151" s="813">
        <v>4.4000000000000004</v>
      </c>
      <c r="I151" s="171">
        <v>1180</v>
      </c>
      <c r="J151" s="706">
        <v>10283</v>
      </c>
      <c r="L151" s="171" t="s">
        <v>21</v>
      </c>
    </row>
    <row r="152" spans="1:12" ht="17" thickBot="1"/>
    <row r="153" spans="1:12" ht="17" thickBot="1">
      <c r="C153" s="699" t="s">
        <v>381</v>
      </c>
      <c r="D153" s="725" t="s">
        <v>134</v>
      </c>
      <c r="E153" s="968">
        <f>AVERAGE(E148:E151)</f>
        <v>161</v>
      </c>
      <c r="F153" s="1129">
        <f>AVERAGE(F148:F151)</f>
        <v>6.1750000000000007</v>
      </c>
      <c r="G153" s="1129">
        <f t="shared" ref="G153:H153" si="18">AVERAGE(G148:G151)</f>
        <v>103.75</v>
      </c>
      <c r="H153" s="1129">
        <f t="shared" si="18"/>
        <v>3.9750000000000001</v>
      </c>
      <c r="I153" s="700">
        <f t="shared" ref="I153" si="19">AVERAGE(I148:I151)</f>
        <v>1217.25</v>
      </c>
      <c r="J153" s="969">
        <f>AVERAGE(J148:J151)</f>
        <v>16927</v>
      </c>
      <c r="K153" s="969">
        <f>302/3</f>
        <v>100.66666666666667</v>
      </c>
      <c r="L153" s="970"/>
    </row>
    <row r="154" spans="1:12">
      <c r="C154" s="971" t="s">
        <v>1369</v>
      </c>
      <c r="E154" s="616">
        <f>E153/G153</f>
        <v>1.5518072289156626</v>
      </c>
      <c r="F154" s="616">
        <f>F153/H153</f>
        <v>1.5534591194968554</v>
      </c>
    </row>
    <row r="155" spans="1:12" s="964" customFormat="1">
      <c r="A155" s="1127" t="s">
        <v>382</v>
      </c>
      <c r="E155" s="1661" t="s">
        <v>1327</v>
      </c>
      <c r="F155" s="1661"/>
      <c r="G155" s="1661" t="s">
        <v>518</v>
      </c>
      <c r="H155" s="1661"/>
    </row>
    <row r="156" spans="1:12">
      <c r="A156" s="1004"/>
    </row>
    <row r="157" spans="1:12">
      <c r="A157" s="1004"/>
      <c r="B157" s="1660"/>
      <c r="C157" s="1587" t="s">
        <v>315</v>
      </c>
      <c r="D157" s="1587" t="s">
        <v>316</v>
      </c>
      <c r="E157" s="1587" t="s">
        <v>324</v>
      </c>
      <c r="F157" s="1587" t="s">
        <v>325</v>
      </c>
      <c r="G157" s="1587" t="s">
        <v>324</v>
      </c>
      <c r="H157" s="1587" t="s">
        <v>325</v>
      </c>
      <c r="I157" s="1587" t="s">
        <v>326</v>
      </c>
      <c r="J157" s="1659" t="s">
        <v>327</v>
      </c>
      <c r="K157" s="1659" t="s">
        <v>328</v>
      </c>
      <c r="L157" s="1587" t="s">
        <v>329</v>
      </c>
    </row>
    <row r="158" spans="1:12">
      <c r="A158" s="1004"/>
      <c r="B158" s="1660"/>
      <c r="C158" s="1587"/>
      <c r="D158" s="1587"/>
      <c r="E158" s="1587"/>
      <c r="F158" s="1587"/>
      <c r="G158" s="1587"/>
      <c r="H158" s="1587"/>
      <c r="I158" s="1587"/>
      <c r="J158" s="1557"/>
      <c r="K158" s="1557"/>
      <c r="L158" s="1587"/>
    </row>
    <row r="159" spans="1:12">
      <c r="A159" s="1004"/>
      <c r="B159" s="171">
        <v>1</v>
      </c>
      <c r="C159" s="171" t="s">
        <v>383</v>
      </c>
      <c r="D159" s="171" t="s">
        <v>321</v>
      </c>
      <c r="E159" s="171">
        <v>163</v>
      </c>
      <c r="F159" s="813">
        <v>7.2</v>
      </c>
      <c r="G159" s="171">
        <v>129</v>
      </c>
      <c r="H159" s="813">
        <v>5.6</v>
      </c>
      <c r="I159" s="171">
        <v>1250</v>
      </c>
      <c r="J159" s="706">
        <v>16367</v>
      </c>
      <c r="L159" s="171" t="s">
        <v>18</v>
      </c>
    </row>
    <row r="160" spans="1:12">
      <c r="A160" s="1004"/>
      <c r="B160" s="171">
        <v>2</v>
      </c>
      <c r="C160" s="171" t="s">
        <v>1357</v>
      </c>
      <c r="D160" s="171" t="s">
        <v>321</v>
      </c>
      <c r="E160" s="171">
        <v>138</v>
      </c>
      <c r="F160" s="171">
        <v>6.1</v>
      </c>
      <c r="G160" s="171">
        <v>137</v>
      </c>
      <c r="H160" s="171">
        <v>6</v>
      </c>
      <c r="I160" s="171">
        <v>1390</v>
      </c>
      <c r="J160" s="706">
        <v>18667</v>
      </c>
      <c r="L160" s="171" t="s">
        <v>18</v>
      </c>
    </row>
    <row r="161" spans="1:12">
      <c r="A161" s="1004"/>
      <c r="B161" s="171">
        <v>3</v>
      </c>
      <c r="C161" s="171" t="s">
        <v>384</v>
      </c>
      <c r="D161" s="171" t="s">
        <v>321</v>
      </c>
      <c r="E161" s="171">
        <v>154</v>
      </c>
      <c r="F161" s="171">
        <v>6.9</v>
      </c>
      <c r="G161" s="171">
        <v>124</v>
      </c>
      <c r="H161" s="171">
        <v>5.4</v>
      </c>
      <c r="I161" s="171">
        <v>1229</v>
      </c>
      <c r="J161" s="706">
        <v>20313</v>
      </c>
      <c r="L161" s="171" t="s">
        <v>15</v>
      </c>
    </row>
    <row r="162" spans="1:12">
      <c r="A162" s="1004"/>
      <c r="B162" s="171">
        <v>4</v>
      </c>
      <c r="C162" s="171" t="s">
        <v>1358</v>
      </c>
      <c r="D162" s="171" t="s">
        <v>321</v>
      </c>
      <c r="E162" s="171">
        <v>169</v>
      </c>
      <c r="F162" s="171">
        <v>7.5</v>
      </c>
      <c r="G162" s="171">
        <v>147</v>
      </c>
      <c r="H162" s="171">
        <v>6.3</v>
      </c>
      <c r="I162" s="171">
        <v>1354</v>
      </c>
      <c r="J162" s="706">
        <v>15577</v>
      </c>
      <c r="L162" s="171" t="s">
        <v>18</v>
      </c>
    </row>
    <row r="163" spans="1:12" ht="17" thickBot="1">
      <c r="A163" s="1004"/>
    </row>
    <row r="164" spans="1:12" ht="17" thickBot="1">
      <c r="A164" s="1004"/>
      <c r="C164" s="699" t="s">
        <v>385</v>
      </c>
      <c r="D164" s="725" t="s">
        <v>163</v>
      </c>
      <c r="E164" s="968">
        <f>AVERAGE(E159:E162)</f>
        <v>156</v>
      </c>
      <c r="F164" s="1129">
        <f>AVERAGE(F159:F162)</f>
        <v>6.9250000000000007</v>
      </c>
      <c r="G164" s="1129">
        <f t="shared" ref="G164:H164" si="20">AVERAGE(G159:G162)</f>
        <v>134.25</v>
      </c>
      <c r="H164" s="1129">
        <f t="shared" si="20"/>
        <v>5.8250000000000002</v>
      </c>
      <c r="I164" s="700">
        <f t="shared" ref="I164" si="21">AVERAGE(I159:I162)</f>
        <v>1305.75</v>
      </c>
      <c r="J164" s="969">
        <f>AVERAGE(J159:J162)</f>
        <v>17731</v>
      </c>
      <c r="K164" s="969">
        <f>167/3</f>
        <v>55.666666666666664</v>
      </c>
      <c r="L164" s="970"/>
    </row>
    <row r="165" spans="1:12">
      <c r="A165" s="1004"/>
      <c r="C165" s="971" t="s">
        <v>1369</v>
      </c>
      <c r="E165" s="616">
        <f>E164/G164</f>
        <v>1.1620111731843576</v>
      </c>
      <c r="F165" s="616">
        <f>F164/H164</f>
        <v>1.1888412017167382</v>
      </c>
    </row>
    <row r="166" spans="1:12">
      <c r="B166" s="1660"/>
      <c r="C166" s="1587" t="s">
        <v>315</v>
      </c>
      <c r="D166" s="1587" t="s">
        <v>316</v>
      </c>
      <c r="E166" s="1587" t="s">
        <v>324</v>
      </c>
      <c r="F166" s="1587" t="s">
        <v>325</v>
      </c>
      <c r="G166" s="1133"/>
      <c r="H166" s="1133"/>
      <c r="I166" s="1587" t="s">
        <v>326</v>
      </c>
      <c r="J166" s="1659" t="s">
        <v>327</v>
      </c>
      <c r="K166" s="1659" t="s">
        <v>328</v>
      </c>
      <c r="L166" s="1587" t="s">
        <v>329</v>
      </c>
    </row>
    <row r="167" spans="1:12">
      <c r="B167" s="1660"/>
      <c r="C167" s="1587"/>
      <c r="D167" s="1587"/>
      <c r="E167" s="1587"/>
      <c r="F167" s="1587"/>
      <c r="G167" s="1133"/>
      <c r="H167" s="1133"/>
      <c r="I167" s="1587"/>
      <c r="J167" s="1557"/>
      <c r="K167" s="1557"/>
      <c r="L167" s="1587"/>
    </row>
    <row r="168" spans="1:12">
      <c r="B168" s="171">
        <v>1</v>
      </c>
      <c r="C168" s="171" t="s">
        <v>1356</v>
      </c>
      <c r="D168" s="171" t="s">
        <v>134</v>
      </c>
      <c r="E168" s="171">
        <v>172</v>
      </c>
      <c r="F168" s="171">
        <v>6.6</v>
      </c>
      <c r="G168" s="171">
        <v>99</v>
      </c>
      <c r="H168" s="171">
        <v>3.8</v>
      </c>
      <c r="I168" s="171">
        <v>1285</v>
      </c>
      <c r="J168" s="706">
        <v>19879</v>
      </c>
      <c r="L168" s="171" t="s">
        <v>18</v>
      </c>
    </row>
    <row r="169" spans="1:12">
      <c r="B169" s="171">
        <v>2</v>
      </c>
      <c r="C169" s="171" t="s">
        <v>386</v>
      </c>
      <c r="D169" s="171" t="s">
        <v>134</v>
      </c>
      <c r="E169" s="171">
        <v>172</v>
      </c>
      <c r="F169" s="171">
        <v>6.5</v>
      </c>
      <c r="G169" s="171">
        <v>123</v>
      </c>
      <c r="H169" s="171">
        <v>4.7</v>
      </c>
      <c r="I169" s="171">
        <v>1474</v>
      </c>
      <c r="J169" s="706">
        <v>20638</v>
      </c>
      <c r="L169" s="171" t="s">
        <v>387</v>
      </c>
    </row>
    <row r="170" spans="1:12">
      <c r="B170" s="171">
        <v>3</v>
      </c>
      <c r="C170" s="171" t="s">
        <v>388</v>
      </c>
      <c r="D170" s="171" t="s">
        <v>134</v>
      </c>
      <c r="E170" s="171">
        <v>140</v>
      </c>
      <c r="F170" s="171">
        <v>5.4</v>
      </c>
      <c r="G170" s="171">
        <v>100</v>
      </c>
      <c r="H170" s="171">
        <v>3.8</v>
      </c>
      <c r="I170" s="171">
        <v>1279</v>
      </c>
      <c r="J170" s="706">
        <v>25618</v>
      </c>
      <c r="L170" s="171" t="s">
        <v>15</v>
      </c>
    </row>
    <row r="171" spans="1:12">
      <c r="B171" s="171">
        <v>4</v>
      </c>
      <c r="C171" s="171" t="s">
        <v>1359</v>
      </c>
      <c r="D171" s="171" t="s">
        <v>134</v>
      </c>
      <c r="E171" s="171">
        <v>141</v>
      </c>
      <c r="F171" s="813">
        <v>5.0999999999999996</v>
      </c>
      <c r="G171" s="171">
        <v>111</v>
      </c>
      <c r="H171" s="813">
        <v>4.2</v>
      </c>
      <c r="I171" s="171">
        <v>1400</v>
      </c>
      <c r="J171" s="706">
        <v>18976</v>
      </c>
      <c r="L171" s="171" t="s">
        <v>18</v>
      </c>
    </row>
    <row r="172" spans="1:12" ht="17" thickBot="1"/>
    <row r="173" spans="1:12" ht="17" thickBot="1">
      <c r="C173" s="699" t="s">
        <v>389</v>
      </c>
      <c r="D173" s="725" t="s">
        <v>134</v>
      </c>
      <c r="E173" s="968">
        <f>AVERAGE(E168:E171)</f>
        <v>156.25</v>
      </c>
      <c r="F173" s="1129">
        <f>AVERAGE(F168:F171)</f>
        <v>5.9</v>
      </c>
      <c r="G173" s="1129">
        <f t="shared" ref="G173:H173" si="22">AVERAGE(G168:G171)</f>
        <v>108.25</v>
      </c>
      <c r="H173" s="1129">
        <f t="shared" si="22"/>
        <v>4.125</v>
      </c>
      <c r="I173" s="700">
        <f t="shared" ref="I173" si="23">AVERAGE(I168:I171)</f>
        <v>1359.5</v>
      </c>
      <c r="J173" s="969">
        <f>AVERAGE(J168:J171)</f>
        <v>21277.75</v>
      </c>
      <c r="K173" s="969">
        <f>373/3</f>
        <v>124.33333333333333</v>
      </c>
      <c r="L173" s="970"/>
    </row>
    <row r="174" spans="1:12">
      <c r="C174" s="971" t="s">
        <v>1369</v>
      </c>
      <c r="E174" s="616">
        <f>E173/G173</f>
        <v>1.4434180138568129</v>
      </c>
      <c r="F174" s="616">
        <f>F173/H173</f>
        <v>1.4303030303030304</v>
      </c>
    </row>
    <row r="175" spans="1:12" s="964" customFormat="1">
      <c r="A175" s="1127" t="s">
        <v>390</v>
      </c>
      <c r="E175" s="1661" t="s">
        <v>1327</v>
      </c>
      <c r="F175" s="1661"/>
      <c r="G175" s="1661" t="s">
        <v>518</v>
      </c>
      <c r="H175" s="1661"/>
    </row>
    <row r="176" spans="1:12">
      <c r="A176" s="1004"/>
    </row>
    <row r="177" spans="1:12">
      <c r="A177" s="1004"/>
      <c r="B177" s="1660"/>
      <c r="C177" s="1587" t="s">
        <v>315</v>
      </c>
      <c r="D177" s="1587" t="s">
        <v>316</v>
      </c>
      <c r="E177" s="1587" t="s">
        <v>324</v>
      </c>
      <c r="F177" s="1587" t="s">
        <v>325</v>
      </c>
      <c r="G177" s="1587" t="s">
        <v>324</v>
      </c>
      <c r="H177" s="1587" t="s">
        <v>325</v>
      </c>
      <c r="I177" s="1587" t="s">
        <v>326</v>
      </c>
      <c r="J177" s="1659" t="s">
        <v>327</v>
      </c>
      <c r="K177" s="1659" t="s">
        <v>328</v>
      </c>
      <c r="L177" s="1587" t="s">
        <v>329</v>
      </c>
    </row>
    <row r="178" spans="1:12">
      <c r="A178" s="1004"/>
      <c r="B178" s="1660"/>
      <c r="C178" s="1587"/>
      <c r="D178" s="1587"/>
      <c r="E178" s="1587"/>
      <c r="F178" s="1587"/>
      <c r="G178" s="1587"/>
      <c r="H178" s="1587"/>
      <c r="I178" s="1587"/>
      <c r="J178" s="1557"/>
      <c r="K178" s="1557"/>
      <c r="L178" s="1587"/>
    </row>
    <row r="179" spans="1:12">
      <c r="A179" s="1004"/>
      <c r="B179" s="171">
        <v>1</v>
      </c>
      <c r="C179" s="171" t="s">
        <v>391</v>
      </c>
      <c r="D179" s="171" t="s">
        <v>321</v>
      </c>
      <c r="E179" s="171">
        <v>246</v>
      </c>
      <c r="F179" s="813">
        <v>10.8</v>
      </c>
      <c r="G179" s="171">
        <v>197</v>
      </c>
      <c r="H179" s="813">
        <v>8.5</v>
      </c>
      <c r="I179" s="171">
        <v>2105</v>
      </c>
      <c r="J179" s="706">
        <v>55097</v>
      </c>
      <c r="L179" s="171" t="s">
        <v>21</v>
      </c>
    </row>
    <row r="180" spans="1:12">
      <c r="A180" s="1004"/>
      <c r="B180" s="171">
        <v>2</v>
      </c>
      <c r="C180" s="171" t="s">
        <v>392</v>
      </c>
      <c r="D180" s="171" t="s">
        <v>321</v>
      </c>
      <c r="E180" s="171">
        <v>225</v>
      </c>
      <c r="F180" s="171">
        <v>9.9</v>
      </c>
      <c r="G180" s="171">
        <v>176</v>
      </c>
      <c r="H180" s="171">
        <v>7.7</v>
      </c>
      <c r="I180" s="171">
        <v>1898</v>
      </c>
      <c r="J180" s="706">
        <v>49430</v>
      </c>
      <c r="L180" s="171" t="s">
        <v>18</v>
      </c>
    </row>
    <row r="181" spans="1:12">
      <c r="A181" s="1004"/>
      <c r="B181" s="171">
        <v>3</v>
      </c>
      <c r="C181" s="171" t="s">
        <v>393</v>
      </c>
      <c r="D181" s="171" t="s">
        <v>321</v>
      </c>
      <c r="E181" s="171">
        <v>358</v>
      </c>
      <c r="F181" s="171">
        <v>15.8</v>
      </c>
      <c r="G181" s="171">
        <v>197</v>
      </c>
      <c r="H181" s="171">
        <v>8.5</v>
      </c>
      <c r="I181" s="171">
        <v>2030</v>
      </c>
      <c r="J181" s="706">
        <v>53900</v>
      </c>
      <c r="L181" s="171" t="s">
        <v>25</v>
      </c>
    </row>
    <row r="182" spans="1:12">
      <c r="A182" s="1004"/>
      <c r="B182" s="171">
        <v>4</v>
      </c>
      <c r="C182" s="171" t="s">
        <v>394</v>
      </c>
      <c r="D182" s="171" t="s">
        <v>321</v>
      </c>
      <c r="E182" s="171">
        <v>256</v>
      </c>
      <c r="F182" s="171">
        <v>11.3</v>
      </c>
      <c r="G182" s="171">
        <v>243</v>
      </c>
      <c r="H182" s="171">
        <v>10.5</v>
      </c>
      <c r="I182" s="171">
        <v>2309</v>
      </c>
      <c r="J182" s="706">
        <v>67148</v>
      </c>
      <c r="L182" s="171" t="s">
        <v>387</v>
      </c>
    </row>
    <row r="183" spans="1:12" ht="17" thickBot="1">
      <c r="A183" s="1004"/>
    </row>
    <row r="184" spans="1:12" ht="17" thickBot="1">
      <c r="A184" s="1004"/>
      <c r="C184" s="699" t="s">
        <v>362</v>
      </c>
      <c r="D184" s="725" t="s">
        <v>163</v>
      </c>
      <c r="E184" s="968">
        <f>AVERAGE(E179:E182)</f>
        <v>271.25</v>
      </c>
      <c r="F184" s="1129">
        <f>AVERAGE(F179:F182)</f>
        <v>11.95</v>
      </c>
      <c r="G184" s="1129">
        <f t="shared" ref="G184:H184" si="24">AVERAGE(G179:G182)</f>
        <v>203.25</v>
      </c>
      <c r="H184" s="1129">
        <f t="shared" si="24"/>
        <v>8.8000000000000007</v>
      </c>
      <c r="I184" s="700">
        <f t="shared" ref="I184" si="25">AVERAGE(I179:I182)</f>
        <v>2085.5</v>
      </c>
      <c r="J184" s="969">
        <f>AVERAGE(J179:J182)</f>
        <v>56393.75</v>
      </c>
      <c r="K184" s="969">
        <f>348/3</f>
        <v>116</v>
      </c>
      <c r="L184" s="970"/>
    </row>
    <row r="185" spans="1:12">
      <c r="A185" s="1004"/>
      <c r="C185" s="971" t="s">
        <v>1369</v>
      </c>
      <c r="E185" s="616">
        <f>E184/G184</f>
        <v>1.3345633456334562</v>
      </c>
      <c r="F185" s="616">
        <f>F184/H184</f>
        <v>1.3579545454545452</v>
      </c>
    </row>
    <row r="186" spans="1:12">
      <c r="B186" s="1660"/>
      <c r="C186" s="1587" t="s">
        <v>315</v>
      </c>
      <c r="D186" s="1587" t="s">
        <v>316</v>
      </c>
      <c r="E186" s="1587" t="s">
        <v>324</v>
      </c>
      <c r="F186" s="1587" t="s">
        <v>325</v>
      </c>
      <c r="G186" s="1587" t="s">
        <v>324</v>
      </c>
      <c r="H186" s="1587" t="s">
        <v>325</v>
      </c>
      <c r="I186" s="1587" t="s">
        <v>326</v>
      </c>
      <c r="J186" s="1659" t="s">
        <v>327</v>
      </c>
      <c r="K186" s="1659" t="s">
        <v>328</v>
      </c>
      <c r="L186" s="1587" t="s">
        <v>329</v>
      </c>
    </row>
    <row r="187" spans="1:12">
      <c r="B187" s="1660"/>
      <c r="C187" s="1587"/>
      <c r="D187" s="1587"/>
      <c r="E187" s="1587"/>
      <c r="F187" s="1587"/>
      <c r="G187" s="1587"/>
      <c r="H187" s="1587"/>
      <c r="I187" s="1587"/>
      <c r="J187" s="1557"/>
      <c r="K187" s="1557"/>
      <c r="L187" s="1587"/>
    </row>
    <row r="188" spans="1:12">
      <c r="B188" s="171">
        <v>1</v>
      </c>
      <c r="C188" s="171" t="s">
        <v>395</v>
      </c>
      <c r="D188" s="171" t="s">
        <v>134</v>
      </c>
      <c r="E188" s="171">
        <v>216</v>
      </c>
      <c r="F188" s="171">
        <v>8.1999999999999993</v>
      </c>
      <c r="G188" s="171">
        <v>158</v>
      </c>
      <c r="H188" s="171">
        <v>6</v>
      </c>
      <c r="I188" s="171">
        <v>2145</v>
      </c>
      <c r="J188" s="706">
        <v>57658</v>
      </c>
      <c r="L188" s="171" t="s">
        <v>21</v>
      </c>
    </row>
    <row r="189" spans="1:12">
      <c r="B189" s="171">
        <v>2</v>
      </c>
      <c r="C189" s="171" t="s">
        <v>396</v>
      </c>
      <c r="D189" s="171" t="s">
        <v>134</v>
      </c>
      <c r="E189" s="171">
        <v>211</v>
      </c>
      <c r="F189" s="171">
        <v>8.1</v>
      </c>
      <c r="G189" s="171">
        <v>136</v>
      </c>
      <c r="H189" s="171">
        <v>5.2</v>
      </c>
      <c r="I189" s="171">
        <v>1849</v>
      </c>
      <c r="J189" s="706">
        <v>48453</v>
      </c>
      <c r="L189" s="171" t="s">
        <v>18</v>
      </c>
    </row>
    <row r="190" spans="1:12">
      <c r="B190" s="171">
        <v>3</v>
      </c>
      <c r="C190" s="171" t="s">
        <v>397</v>
      </c>
      <c r="D190" s="171" t="s">
        <v>134</v>
      </c>
      <c r="E190" s="171">
        <v>220</v>
      </c>
      <c r="F190" s="171">
        <v>10.1</v>
      </c>
      <c r="G190" s="171">
        <v>140</v>
      </c>
      <c r="H190" s="171">
        <v>5.4</v>
      </c>
      <c r="I190" s="171">
        <v>1975</v>
      </c>
      <c r="J190" s="706">
        <v>48344</v>
      </c>
      <c r="L190" s="171" t="s">
        <v>18</v>
      </c>
    </row>
    <row r="191" spans="1:12">
      <c r="B191" s="171">
        <v>4</v>
      </c>
      <c r="C191" s="171" t="s">
        <v>398</v>
      </c>
      <c r="D191" s="171" t="s">
        <v>134</v>
      </c>
      <c r="E191" s="171">
        <v>235</v>
      </c>
      <c r="F191" s="813">
        <v>9.4</v>
      </c>
      <c r="G191" s="171">
        <v>172</v>
      </c>
      <c r="H191" s="813">
        <v>6.5</v>
      </c>
      <c r="I191" s="171">
        <v>2136</v>
      </c>
      <c r="J191" s="706">
        <v>54713</v>
      </c>
      <c r="L191" s="171" t="s">
        <v>25</v>
      </c>
    </row>
    <row r="192" spans="1:12" ht="17" thickBot="1"/>
    <row r="193" spans="1:12" ht="17" thickBot="1">
      <c r="C193" s="699" t="s">
        <v>366</v>
      </c>
      <c r="D193" s="725" t="s">
        <v>134</v>
      </c>
      <c r="E193" s="968">
        <f>AVERAGE(E188:E191)</f>
        <v>220.5</v>
      </c>
      <c r="F193" s="1129">
        <f>AVERAGE(F188:F191)</f>
        <v>8.9499999999999993</v>
      </c>
      <c r="G193" s="1129">
        <f>AVERAGE(G188:G191)</f>
        <v>151.5</v>
      </c>
      <c r="H193" s="1129">
        <f>AVERAGE(H188:H191)</f>
        <v>5.7750000000000004</v>
      </c>
      <c r="I193" s="700">
        <f t="shared" ref="I193" si="26">AVERAGE(I188:I191)</f>
        <v>2026.25</v>
      </c>
      <c r="J193" s="969">
        <f>AVERAGE(J188:J191)</f>
        <v>52292</v>
      </c>
      <c r="K193" s="969">
        <f>586/3</f>
        <v>195.33333333333334</v>
      </c>
      <c r="L193" s="970"/>
    </row>
    <row r="194" spans="1:12">
      <c r="C194" s="971" t="s">
        <v>1369</v>
      </c>
      <c r="E194" s="616">
        <f>E193/G193</f>
        <v>1.4554455445544554</v>
      </c>
      <c r="F194" s="616">
        <f>F193/H193</f>
        <v>1.5497835497835495</v>
      </c>
    </row>
    <row r="195" spans="1:12" ht="17" thickBot="1"/>
    <row r="196" spans="1:12">
      <c r="C196" s="1134" t="s">
        <v>1365</v>
      </c>
      <c r="D196" s="646" t="s">
        <v>163</v>
      </c>
      <c r="E196" s="1135">
        <f>AVERAGE(E26,E45,E65,E85,E105,E125,E145,E165,E185,)</f>
        <v>1.1627549141043887</v>
      </c>
      <c r="F196" s="1136">
        <f>AVERAGE(F26,F45,F65,F85,F105,F125,F145,F165,F185,)</f>
        <v>1.1749833323774728</v>
      </c>
    </row>
    <row r="197" spans="1:12" ht="17" thickBot="1">
      <c r="C197" s="590"/>
      <c r="D197" s="687" t="s">
        <v>134</v>
      </c>
      <c r="E197" s="1137">
        <f>AVERAGE(E33,E54,E74,E94,E114,E134,E154,E174,E194,)</f>
        <v>1.2677936040402509</v>
      </c>
      <c r="F197" s="1138">
        <f>AVERAGE(F33,F54,F74,F94,F114,F134,F154,F174,F194,)</f>
        <v>1.2798664289426398</v>
      </c>
    </row>
    <row r="200" spans="1:12">
      <c r="A200" s="652" t="s">
        <v>45</v>
      </c>
    </row>
    <row r="201" spans="1:12">
      <c r="A201" s="984" t="s">
        <v>399</v>
      </c>
      <c r="B201" s="171" t="s">
        <v>1368</v>
      </c>
    </row>
    <row r="202" spans="1:12">
      <c r="A202" s="984" t="s">
        <v>400</v>
      </c>
      <c r="B202" s="171" t="s">
        <v>39</v>
      </c>
    </row>
    <row r="203" spans="1:12">
      <c r="A203" s="984" t="s">
        <v>401</v>
      </c>
      <c r="B203" s="171" t="s">
        <v>402</v>
      </c>
      <c r="C203" s="703" t="s">
        <v>403</v>
      </c>
    </row>
    <row r="204" spans="1:12">
      <c r="A204" s="984" t="s">
        <v>404</v>
      </c>
      <c r="B204" s="171" t="s">
        <v>405</v>
      </c>
      <c r="C204" s="703" t="s">
        <v>406</v>
      </c>
    </row>
    <row r="205" spans="1:12">
      <c r="A205" s="984" t="s">
        <v>407</v>
      </c>
      <c r="B205" s="171" t="s">
        <v>408</v>
      </c>
      <c r="G205" s="1139" t="s">
        <v>4356</v>
      </c>
      <c r="H205" s="1139"/>
      <c r="I205" s="1139"/>
      <c r="J205" s="1139"/>
    </row>
    <row r="206" spans="1:12">
      <c r="A206" s="984" t="s">
        <v>409</v>
      </c>
      <c r="B206" s="171" t="s">
        <v>410</v>
      </c>
      <c r="C206" s="703" t="s">
        <v>98</v>
      </c>
    </row>
    <row r="207" spans="1:12">
      <c r="A207" s="984" t="s">
        <v>411</v>
      </c>
      <c r="B207" s="171" t="s">
        <v>412</v>
      </c>
      <c r="C207" s="703" t="s">
        <v>413</v>
      </c>
    </row>
    <row r="208" spans="1:12">
      <c r="A208" s="984" t="s">
        <v>698</v>
      </c>
      <c r="B208" s="171" t="s">
        <v>699</v>
      </c>
      <c r="C208" s="703" t="s">
        <v>98</v>
      </c>
    </row>
    <row r="211" spans="2:2">
      <c r="B211" s="652" t="s">
        <v>414</v>
      </c>
    </row>
    <row r="212" spans="2:2">
      <c r="B212" s="171" t="s">
        <v>415</v>
      </c>
    </row>
  </sheetData>
  <sheetProtection algorithmName="SHA-512" hashValue="phw0/kbhJvpeeQ4NXK1irHgLysMMV+M6MLkoHSEEVLNxziVacas98oSi8/Jtfdh3Zgs3VsXx+L8hDkqPn3FvMA==" saltValue="Pv0gtqYygsUaMNRvR+GFSQ==" spinCount="100000" sheet="1" objects="1" scenarios="1"/>
  <mergeCells count="214">
    <mergeCell ref="E115:F115"/>
    <mergeCell ref="G115:H115"/>
    <mergeCell ref="E135:F135"/>
    <mergeCell ref="G135:H135"/>
    <mergeCell ref="E155:F155"/>
    <mergeCell ref="G155:H155"/>
    <mergeCell ref="E175:F175"/>
    <mergeCell ref="G175:H175"/>
    <mergeCell ref="G18:G19"/>
    <mergeCell ref="H18:H19"/>
    <mergeCell ref="G27:G28"/>
    <mergeCell ref="H27:H28"/>
    <mergeCell ref="G37:G38"/>
    <mergeCell ref="H37:H38"/>
    <mergeCell ref="G57:G58"/>
    <mergeCell ref="H57:H58"/>
    <mergeCell ref="G66:G67"/>
    <mergeCell ref="H66:H67"/>
    <mergeCell ref="G77:G78"/>
    <mergeCell ref="H77:H78"/>
    <mergeCell ref="G86:G87"/>
    <mergeCell ref="H86:H87"/>
    <mergeCell ref="G97:G98"/>
    <mergeCell ref="H97:H98"/>
    <mergeCell ref="K106:K107"/>
    <mergeCell ref="K97:K98"/>
    <mergeCell ref="E17:F17"/>
    <mergeCell ref="G17:H17"/>
    <mergeCell ref="E35:F35"/>
    <mergeCell ref="G35:H35"/>
    <mergeCell ref="E55:F55"/>
    <mergeCell ref="G55:H55"/>
    <mergeCell ref="E75:F75"/>
    <mergeCell ref="G75:H75"/>
    <mergeCell ref="E95:F95"/>
    <mergeCell ref="G95:H95"/>
    <mergeCell ref="G106:G107"/>
    <mergeCell ref="H106:H107"/>
    <mergeCell ref="G46:G47"/>
    <mergeCell ref="H46:H47"/>
    <mergeCell ref="I97:I98"/>
    <mergeCell ref="J97:J98"/>
    <mergeCell ref="K57:K58"/>
    <mergeCell ref="I77:I78"/>
    <mergeCell ref="J77:J78"/>
    <mergeCell ref="K77:K78"/>
    <mergeCell ref="K86:K87"/>
    <mergeCell ref="I57:I58"/>
    <mergeCell ref="B106:B107"/>
    <mergeCell ref="C106:C107"/>
    <mergeCell ref="D106:D107"/>
    <mergeCell ref="E106:E107"/>
    <mergeCell ref="F106:F107"/>
    <mergeCell ref="I106:I107"/>
    <mergeCell ref="J106:J107"/>
    <mergeCell ref="B97:B98"/>
    <mergeCell ref="C97:C98"/>
    <mergeCell ref="D97:D98"/>
    <mergeCell ref="E97:E98"/>
    <mergeCell ref="F97:F98"/>
    <mergeCell ref="B86:B87"/>
    <mergeCell ref="C86:C87"/>
    <mergeCell ref="D86:D87"/>
    <mergeCell ref="E86:E87"/>
    <mergeCell ref="F86:F87"/>
    <mergeCell ref="I86:I87"/>
    <mergeCell ref="J86:J87"/>
    <mergeCell ref="B77:B78"/>
    <mergeCell ref="C77:C78"/>
    <mergeCell ref="D77:D78"/>
    <mergeCell ref="E77:E78"/>
    <mergeCell ref="F77:F78"/>
    <mergeCell ref="J57:J58"/>
    <mergeCell ref="B66:B67"/>
    <mergeCell ref="C66:C67"/>
    <mergeCell ref="D66:D67"/>
    <mergeCell ref="E66:E67"/>
    <mergeCell ref="F66:F67"/>
    <mergeCell ref="I66:I67"/>
    <mergeCell ref="J66:J67"/>
    <mergeCell ref="B57:B58"/>
    <mergeCell ref="C57:C58"/>
    <mergeCell ref="D57:D58"/>
    <mergeCell ref="E57:E58"/>
    <mergeCell ref="F57:F58"/>
    <mergeCell ref="K18:K19"/>
    <mergeCell ref="K27:K28"/>
    <mergeCell ref="J27:J28"/>
    <mergeCell ref="B46:B47"/>
    <mergeCell ref="C46:C47"/>
    <mergeCell ref="D46:D47"/>
    <mergeCell ref="E46:E47"/>
    <mergeCell ref="F46:F47"/>
    <mergeCell ref="I46:I47"/>
    <mergeCell ref="J46:J47"/>
    <mergeCell ref="B37:B38"/>
    <mergeCell ref="C37:C38"/>
    <mergeCell ref="D37:D38"/>
    <mergeCell ref="E37:E38"/>
    <mergeCell ref="F37:F38"/>
    <mergeCell ref="K37:K38"/>
    <mergeCell ref="K46:K47"/>
    <mergeCell ref="A18:A19"/>
    <mergeCell ref="B18:B19"/>
    <mergeCell ref="C18:C19"/>
    <mergeCell ref="D18:D19"/>
    <mergeCell ref="E18:E19"/>
    <mergeCell ref="I37:I38"/>
    <mergeCell ref="J37:J38"/>
    <mergeCell ref="I18:I19"/>
    <mergeCell ref="J18:J19"/>
    <mergeCell ref="B27:B28"/>
    <mergeCell ref="C27:C28"/>
    <mergeCell ref="D27:D28"/>
    <mergeCell ref="E27:E28"/>
    <mergeCell ref="F27:F28"/>
    <mergeCell ref="I27:I28"/>
    <mergeCell ref="F18:F19"/>
    <mergeCell ref="K117:K118"/>
    <mergeCell ref="B126:B127"/>
    <mergeCell ref="C126:C127"/>
    <mergeCell ref="D126:D127"/>
    <mergeCell ref="E126:E127"/>
    <mergeCell ref="F126:F127"/>
    <mergeCell ref="I126:I127"/>
    <mergeCell ref="J126:J127"/>
    <mergeCell ref="K126:K127"/>
    <mergeCell ref="B117:B118"/>
    <mergeCell ref="C117:C118"/>
    <mergeCell ref="D117:D118"/>
    <mergeCell ref="E117:E118"/>
    <mergeCell ref="F117:F118"/>
    <mergeCell ref="I117:I118"/>
    <mergeCell ref="J117:J118"/>
    <mergeCell ref="G117:G118"/>
    <mergeCell ref="H117:H118"/>
    <mergeCell ref="G126:G127"/>
    <mergeCell ref="H126:H127"/>
    <mergeCell ref="K137:K138"/>
    <mergeCell ref="B146:B147"/>
    <mergeCell ref="C146:C147"/>
    <mergeCell ref="D146:D147"/>
    <mergeCell ref="E146:E147"/>
    <mergeCell ref="F146:F147"/>
    <mergeCell ref="I146:I147"/>
    <mergeCell ref="J146:J147"/>
    <mergeCell ref="K146:K147"/>
    <mergeCell ref="B137:B138"/>
    <mergeCell ref="C137:C138"/>
    <mergeCell ref="D137:D138"/>
    <mergeCell ref="E137:E138"/>
    <mergeCell ref="F137:F138"/>
    <mergeCell ref="I137:I138"/>
    <mergeCell ref="J137:J138"/>
    <mergeCell ref="G137:G138"/>
    <mergeCell ref="H137:H138"/>
    <mergeCell ref="G146:G147"/>
    <mergeCell ref="H146:H147"/>
    <mergeCell ref="K157:K158"/>
    <mergeCell ref="B166:B167"/>
    <mergeCell ref="C166:C167"/>
    <mergeCell ref="D166:D167"/>
    <mergeCell ref="E166:E167"/>
    <mergeCell ref="F166:F167"/>
    <mergeCell ref="I166:I167"/>
    <mergeCell ref="J166:J167"/>
    <mergeCell ref="K166:K167"/>
    <mergeCell ref="B157:B158"/>
    <mergeCell ref="C157:C158"/>
    <mergeCell ref="D157:D158"/>
    <mergeCell ref="E157:E158"/>
    <mergeCell ref="F157:F158"/>
    <mergeCell ref="I157:I158"/>
    <mergeCell ref="J157:J158"/>
    <mergeCell ref="G157:G158"/>
    <mergeCell ref="H157:H158"/>
    <mergeCell ref="K177:K178"/>
    <mergeCell ref="B186:B187"/>
    <mergeCell ref="C186:C187"/>
    <mergeCell ref="D186:D187"/>
    <mergeCell ref="E186:E187"/>
    <mergeCell ref="F186:F187"/>
    <mergeCell ref="I186:I187"/>
    <mergeCell ref="J186:J187"/>
    <mergeCell ref="K186:K187"/>
    <mergeCell ref="B177:B178"/>
    <mergeCell ref="C177:C178"/>
    <mergeCell ref="D177:D178"/>
    <mergeCell ref="E177:E178"/>
    <mergeCell ref="F177:F178"/>
    <mergeCell ref="I177:I178"/>
    <mergeCell ref="J177:J178"/>
    <mergeCell ref="G177:G178"/>
    <mergeCell ref="H177:H178"/>
    <mergeCell ref="G186:G187"/>
    <mergeCell ref="H186:H187"/>
    <mergeCell ref="L186:L187"/>
    <mergeCell ref="L177:L178"/>
    <mergeCell ref="L166:L167"/>
    <mergeCell ref="L157:L158"/>
    <mergeCell ref="L146:L147"/>
    <mergeCell ref="L137:L138"/>
    <mergeCell ref="L126:L127"/>
    <mergeCell ref="L117:L118"/>
    <mergeCell ref="L106:L107"/>
    <mergeCell ref="L97:L98"/>
    <mergeCell ref="L86:L87"/>
    <mergeCell ref="L77:L78"/>
    <mergeCell ref="L66:L67"/>
    <mergeCell ref="L57:L58"/>
    <mergeCell ref="L46:L47"/>
    <mergeCell ref="L37:L38"/>
    <mergeCell ref="L27:L28"/>
    <mergeCell ref="L18:L19"/>
  </mergeCells>
  <hyperlinks>
    <hyperlink ref="C207" r:id="rId1" xr:uid="{96FB508F-BAE2-D74C-A994-C4BB8319777A}"/>
    <hyperlink ref="C204" r:id="rId2" xr:uid="{C0019DB2-6DFF-E945-9AF6-3E2F7121C1D7}"/>
    <hyperlink ref="C203" r:id="rId3" xr:uid="{5A48E265-7EB0-1542-B82F-6D287CD09EC0}"/>
  </hyperlinks>
  <pageMargins left="0.7" right="0.7" top="0.75" bottom="0.75" header="0.3" footer="0.3"/>
  <pageSetup paperSize="9" orientation="portrait" horizontalDpi="0" verticalDpi="0"/>
  <drawing r:id="rId4"/>
  <legacy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FFA40-912D-C04E-A463-1C81413DEAF3}">
  <sheetPr codeName="Sheet11">
    <tabColor theme="8"/>
  </sheetPr>
  <dimension ref="A6:R195"/>
  <sheetViews>
    <sheetView topLeftCell="C59" zoomScale="80" zoomScaleNormal="80" workbookViewId="0">
      <selection activeCell="C59" sqref="A1:XFD1048576"/>
    </sheetView>
  </sheetViews>
  <sheetFormatPr baseColWidth="10" defaultColWidth="11" defaultRowHeight="16"/>
  <cols>
    <col min="1" max="1" width="6.1640625" style="171" customWidth="1"/>
    <col min="2" max="2" width="11.83203125" style="171" customWidth="1"/>
    <col min="3" max="3" width="10.83203125" style="171" customWidth="1"/>
    <col min="4" max="4" width="88.83203125" style="171" customWidth="1"/>
    <col min="5" max="5" width="17.6640625" style="171" customWidth="1"/>
    <col min="6" max="6" width="14.33203125" style="171" bestFit="1" customWidth="1"/>
    <col min="7" max="7" width="17.6640625" style="171" bestFit="1" customWidth="1"/>
    <col min="8" max="9" width="17.6640625" style="171" customWidth="1"/>
    <col min="10" max="10" width="24.1640625" style="171" bestFit="1" customWidth="1"/>
    <col min="11" max="11" width="26.1640625" style="171" bestFit="1" customWidth="1"/>
    <col min="12" max="12" width="22.33203125" style="171" bestFit="1" customWidth="1"/>
    <col min="13" max="13" width="20" style="171" customWidth="1"/>
    <col min="14" max="14" width="32.1640625" style="171" bestFit="1" customWidth="1"/>
    <col min="15" max="16" width="35.33203125" style="171" bestFit="1" customWidth="1"/>
    <col min="17" max="16384" width="11" style="171"/>
  </cols>
  <sheetData>
    <row r="6" spans="2:17" s="964" customFormat="1">
      <c r="B6" s="1127" t="s">
        <v>1323</v>
      </c>
    </row>
    <row r="7" spans="2:17">
      <c r="B7" s="652"/>
    </row>
    <row r="8" spans="2:17">
      <c r="B8" s="1004" t="s">
        <v>416</v>
      </c>
    </row>
    <row r="9" spans="2:17" ht="16" customHeight="1">
      <c r="F9" s="1637" t="s">
        <v>1371</v>
      </c>
      <c r="G9" s="1637"/>
      <c r="H9" s="1588" t="s">
        <v>1064</v>
      </c>
      <c r="I9" s="1588"/>
    </row>
    <row r="10" spans="2:17" ht="16" customHeight="1">
      <c r="B10" s="1660"/>
      <c r="C10" s="1660"/>
      <c r="D10" s="1587" t="s">
        <v>315</v>
      </c>
      <c r="E10" s="1587" t="s">
        <v>316</v>
      </c>
      <c r="F10" s="1587" t="s">
        <v>324</v>
      </c>
      <c r="G10" s="1587" t="s">
        <v>325</v>
      </c>
      <c r="H10" s="1587" t="s">
        <v>324</v>
      </c>
      <c r="I10" s="1587" t="s">
        <v>325</v>
      </c>
      <c r="J10" s="1587" t="s">
        <v>417</v>
      </c>
      <c r="K10" s="1587" t="s">
        <v>418</v>
      </c>
      <c r="L10" s="1587" t="s">
        <v>326</v>
      </c>
      <c r="M10" s="1004" t="s">
        <v>419</v>
      </c>
      <c r="N10" s="1587" t="s">
        <v>420</v>
      </c>
      <c r="O10" s="1587" t="s">
        <v>1316</v>
      </c>
      <c r="P10" s="1587" t="s">
        <v>1317</v>
      </c>
      <c r="Q10" s="1587"/>
    </row>
    <row r="11" spans="2:17" ht="16" customHeight="1">
      <c r="B11" s="1660"/>
      <c r="C11" s="1660"/>
      <c r="D11" s="1587"/>
      <c r="E11" s="1587"/>
      <c r="F11" s="1587"/>
      <c r="G11" s="1587"/>
      <c r="H11" s="1587"/>
      <c r="I11" s="1587"/>
      <c r="J11" s="1587"/>
      <c r="K11" s="1587"/>
      <c r="L11" s="1587"/>
      <c r="M11" s="1004" t="s">
        <v>421</v>
      </c>
      <c r="N11" s="1587"/>
      <c r="O11" s="1587"/>
      <c r="P11" s="1587"/>
      <c r="Q11" s="1587"/>
    </row>
    <row r="12" spans="2:17" ht="16" customHeight="1">
      <c r="B12" s="1660"/>
      <c r="C12" s="1681" t="s">
        <v>422</v>
      </c>
      <c r="D12" s="1680" t="s">
        <v>423</v>
      </c>
      <c r="E12" s="1680" t="s">
        <v>134</v>
      </c>
      <c r="F12" s="1684">
        <f>AVERAGE(119,126)</f>
        <v>122.5</v>
      </c>
      <c r="G12" s="1684">
        <f>AVERAGE(5.3,5.8)</f>
        <v>5.55</v>
      </c>
      <c r="H12" s="1680">
        <v>105</v>
      </c>
      <c r="I12" s="1680">
        <v>3.8</v>
      </c>
      <c r="J12" s="1680">
        <v>2.2999999999999998</v>
      </c>
      <c r="K12" s="1679">
        <v>1620</v>
      </c>
      <c r="L12" s="1679">
        <v>1215</v>
      </c>
      <c r="M12" s="1680">
        <v>580</v>
      </c>
      <c r="N12" s="1679">
        <v>12090</v>
      </c>
    </row>
    <row r="13" spans="2:17" ht="17" customHeight="1">
      <c r="B13" s="1660"/>
      <c r="C13" s="1681"/>
      <c r="D13" s="1680"/>
      <c r="E13" s="1680"/>
      <c r="F13" s="1684"/>
      <c r="G13" s="1684"/>
      <c r="H13" s="1680"/>
      <c r="I13" s="1680"/>
      <c r="J13" s="1680"/>
      <c r="K13" s="1680"/>
      <c r="L13" s="1680"/>
      <c r="M13" s="1680"/>
      <c r="N13" s="1680"/>
    </row>
    <row r="14" spans="2:17" ht="16" customHeight="1">
      <c r="B14" s="1660"/>
      <c r="C14" s="1683" t="s">
        <v>424</v>
      </c>
      <c r="D14" s="1680" t="s">
        <v>425</v>
      </c>
      <c r="E14" s="1680" t="s">
        <v>134</v>
      </c>
      <c r="F14" s="1680"/>
      <c r="G14" s="1680"/>
      <c r="H14" s="1680">
        <v>109</v>
      </c>
      <c r="I14" s="1680">
        <v>4.0999999999999996</v>
      </c>
      <c r="J14" s="1680">
        <v>2.5</v>
      </c>
      <c r="K14" s="1679">
        <v>1523</v>
      </c>
      <c r="L14" s="1679">
        <v>1065</v>
      </c>
      <c r="M14" s="1680">
        <v>685</v>
      </c>
      <c r="N14" s="1679">
        <v>12970</v>
      </c>
    </row>
    <row r="15" spans="2:17" ht="17" customHeight="1">
      <c r="B15" s="1660"/>
      <c r="C15" s="1683"/>
      <c r="D15" s="1680"/>
      <c r="E15" s="1680"/>
      <c r="F15" s="1680"/>
      <c r="G15" s="1680"/>
      <c r="H15" s="1680"/>
      <c r="I15" s="1680"/>
      <c r="J15" s="1680"/>
      <c r="K15" s="1680"/>
      <c r="L15" s="1680"/>
      <c r="M15" s="1680"/>
      <c r="N15" s="1680"/>
    </row>
    <row r="16" spans="2:17" ht="17" customHeight="1">
      <c r="B16" s="1660"/>
      <c r="C16" s="1683" t="s">
        <v>424</v>
      </c>
      <c r="D16" s="1680" t="s">
        <v>426</v>
      </c>
      <c r="E16" s="1680" t="s">
        <v>134</v>
      </c>
      <c r="F16" s="1680"/>
      <c r="G16" s="1680"/>
      <c r="H16" s="1680">
        <v>109</v>
      </c>
      <c r="I16" s="1680">
        <v>4.0999999999999996</v>
      </c>
      <c r="J16" s="1680">
        <v>2.5</v>
      </c>
      <c r="K16" s="1679">
        <v>1523</v>
      </c>
      <c r="L16" s="1679">
        <v>1085</v>
      </c>
      <c r="M16" s="1680">
        <v>615</v>
      </c>
      <c r="N16" s="1679">
        <v>13015</v>
      </c>
    </row>
    <row r="17" spans="2:18" ht="17" customHeight="1">
      <c r="B17" s="1660"/>
      <c r="C17" s="1683"/>
      <c r="D17" s="1680"/>
      <c r="E17" s="1680"/>
      <c r="F17" s="1680"/>
      <c r="G17" s="1680"/>
      <c r="H17" s="1680"/>
      <c r="I17" s="1680"/>
      <c r="J17" s="1680"/>
      <c r="K17" s="1680"/>
      <c r="L17" s="1680"/>
      <c r="M17" s="1680"/>
      <c r="N17" s="1680"/>
    </row>
    <row r="18" spans="2:18" ht="17" customHeight="1">
      <c r="B18" s="1660"/>
      <c r="C18" s="1683" t="s">
        <v>424</v>
      </c>
      <c r="D18" s="1680" t="s">
        <v>427</v>
      </c>
      <c r="E18" s="1680" t="s">
        <v>134</v>
      </c>
      <c r="F18" s="1680"/>
      <c r="G18" s="1680"/>
      <c r="H18" s="1680">
        <v>109</v>
      </c>
      <c r="I18" s="1680">
        <v>4.0999999999999996</v>
      </c>
      <c r="J18" s="1680">
        <v>2.5</v>
      </c>
      <c r="K18" s="1679">
        <v>1523</v>
      </c>
      <c r="L18" s="1679">
        <v>1065</v>
      </c>
      <c r="M18" s="1680">
        <v>685</v>
      </c>
      <c r="N18" s="1679">
        <v>13820</v>
      </c>
    </row>
    <row r="19" spans="2:18" ht="17" customHeight="1">
      <c r="B19" s="1660"/>
      <c r="C19" s="1683"/>
      <c r="D19" s="1680"/>
      <c r="E19" s="1680"/>
      <c r="F19" s="1680"/>
      <c r="G19" s="1680"/>
      <c r="H19" s="1680"/>
      <c r="I19" s="1680"/>
      <c r="J19" s="1680"/>
      <c r="K19" s="1680"/>
      <c r="L19" s="1680"/>
      <c r="M19" s="1680"/>
      <c r="N19" s="1680"/>
      <c r="R19" s="1140"/>
    </row>
    <row r="20" spans="2:18" ht="17" customHeight="1">
      <c r="B20" s="1660"/>
      <c r="C20" s="1681" t="s">
        <v>428</v>
      </c>
      <c r="D20" s="1680" t="s">
        <v>429</v>
      </c>
      <c r="E20" s="1680" t="s">
        <v>134</v>
      </c>
      <c r="F20" s="1684">
        <f>AVERAGE(118,125)</f>
        <v>121.5</v>
      </c>
      <c r="G20" s="1682">
        <f>AVERAGE(4.5,4.8)</f>
        <v>4.6500000000000004</v>
      </c>
      <c r="H20" s="1680">
        <v>110</v>
      </c>
      <c r="I20" s="1680">
        <v>4.2</v>
      </c>
      <c r="J20" s="1680">
        <v>3.1</v>
      </c>
      <c r="K20" s="1679">
        <v>1750</v>
      </c>
      <c r="L20" s="1679">
        <v>1330</v>
      </c>
      <c r="M20" s="1680">
        <v>620</v>
      </c>
      <c r="N20" s="1679">
        <v>13765</v>
      </c>
      <c r="R20" s="1140"/>
    </row>
    <row r="21" spans="2:18" ht="17" customHeight="1">
      <c r="B21" s="1660"/>
      <c r="C21" s="1681"/>
      <c r="D21" s="1680"/>
      <c r="E21" s="1680"/>
      <c r="F21" s="1684"/>
      <c r="G21" s="1682"/>
      <c r="H21" s="1680"/>
      <c r="I21" s="1680"/>
      <c r="J21" s="1680"/>
      <c r="K21" s="1680"/>
      <c r="L21" s="1680"/>
      <c r="M21" s="1680"/>
      <c r="N21" s="1680"/>
    </row>
    <row r="22" spans="2:18" ht="16" customHeight="1">
      <c r="B22" s="1660"/>
      <c r="C22" s="1683" t="s">
        <v>428</v>
      </c>
      <c r="D22" s="1680" t="s">
        <v>430</v>
      </c>
      <c r="E22" s="1680" t="s">
        <v>134</v>
      </c>
      <c r="F22" s="1680"/>
      <c r="G22" s="1680"/>
      <c r="H22" s="1680">
        <v>110</v>
      </c>
      <c r="I22" s="1680">
        <v>4.2</v>
      </c>
      <c r="J22" s="1680">
        <v>3</v>
      </c>
      <c r="K22" s="1679">
        <v>2502</v>
      </c>
      <c r="L22" s="1679">
        <v>1255</v>
      </c>
      <c r="M22" s="1680">
        <v>695</v>
      </c>
      <c r="N22" s="1679">
        <v>13540</v>
      </c>
    </row>
    <row r="23" spans="2:18" ht="17" customHeight="1">
      <c r="B23" s="1660"/>
      <c r="C23" s="1683"/>
      <c r="D23" s="1680"/>
      <c r="E23" s="1680"/>
      <c r="F23" s="1680"/>
      <c r="G23" s="1680"/>
      <c r="H23" s="1680"/>
      <c r="I23" s="1680"/>
      <c r="J23" s="1680"/>
      <c r="K23" s="1680"/>
      <c r="L23" s="1680"/>
      <c r="M23" s="1680"/>
      <c r="N23" s="1680"/>
    </row>
    <row r="24" spans="2:18" ht="16" customHeight="1">
      <c r="B24" s="1660"/>
      <c r="C24" s="1681" t="s">
        <v>431</v>
      </c>
      <c r="D24" s="1680" t="s">
        <v>432</v>
      </c>
      <c r="E24" s="1680" t="s">
        <v>134</v>
      </c>
      <c r="F24" s="1684">
        <f>AVERAGE(167,178)</f>
        <v>172.5</v>
      </c>
      <c r="G24" s="1680">
        <f>AVERAGE(6.5,6.9)</f>
        <v>6.7</v>
      </c>
      <c r="H24" s="1680">
        <v>115</v>
      </c>
      <c r="I24" s="1680">
        <v>4.4000000000000004</v>
      </c>
      <c r="J24" s="1680">
        <v>3</v>
      </c>
      <c r="K24" s="1679">
        <v>1820</v>
      </c>
      <c r="L24" s="1679">
        <v>1245</v>
      </c>
      <c r="M24" s="1680">
        <v>775</v>
      </c>
      <c r="N24" s="1679">
        <v>14475</v>
      </c>
    </row>
    <row r="25" spans="2:18" ht="16" customHeight="1">
      <c r="B25" s="1660"/>
      <c r="C25" s="1681"/>
      <c r="D25" s="1680"/>
      <c r="E25" s="1680"/>
      <c r="F25" s="1684"/>
      <c r="G25" s="1680"/>
      <c r="H25" s="1680"/>
      <c r="I25" s="1680"/>
      <c r="J25" s="1680"/>
      <c r="K25" s="1680"/>
      <c r="L25" s="1680"/>
      <c r="M25" s="1680"/>
      <c r="N25" s="1680"/>
    </row>
    <row r="26" spans="2:18" ht="16" customHeight="1">
      <c r="B26" s="1660"/>
      <c r="C26" s="1681" t="s">
        <v>433</v>
      </c>
      <c r="D26" s="1680" t="s">
        <v>434</v>
      </c>
      <c r="E26" s="1680" t="s">
        <v>134</v>
      </c>
      <c r="F26" s="1684">
        <f>AVERAGE(135,160)</f>
        <v>147.5</v>
      </c>
      <c r="G26" s="1682">
        <f>AVERAGE(5.1,6.1)</f>
        <v>5.6</v>
      </c>
      <c r="H26" s="1680">
        <v>117</v>
      </c>
      <c r="I26" s="1680">
        <v>4.5</v>
      </c>
      <c r="J26" s="1680">
        <v>3.2</v>
      </c>
      <c r="K26" s="1679">
        <v>1781</v>
      </c>
      <c r="L26" s="1679">
        <v>1327</v>
      </c>
      <c r="M26" s="1680">
        <v>722</v>
      </c>
      <c r="N26" s="1679">
        <v>16500</v>
      </c>
    </row>
    <row r="27" spans="2:18" ht="16" customHeight="1">
      <c r="B27" s="1660"/>
      <c r="C27" s="1681"/>
      <c r="D27" s="1680"/>
      <c r="E27" s="1680"/>
      <c r="F27" s="1684"/>
      <c r="G27" s="1682"/>
      <c r="H27" s="1680"/>
      <c r="I27" s="1680"/>
      <c r="J27" s="1680"/>
      <c r="K27" s="1680"/>
      <c r="L27" s="1680"/>
      <c r="M27" s="1680"/>
      <c r="N27" s="1680"/>
    </row>
    <row r="28" spans="2:18" ht="16" customHeight="1">
      <c r="B28" s="1660"/>
      <c r="C28" s="1681" t="s">
        <v>435</v>
      </c>
      <c r="D28" s="1680" t="s">
        <v>436</v>
      </c>
      <c r="E28" s="1680" t="s">
        <v>134</v>
      </c>
      <c r="F28" s="1680">
        <v>118</v>
      </c>
      <c r="G28" s="1682">
        <f>AVERAGE(5.6,6.7)</f>
        <v>6.15</v>
      </c>
      <c r="H28" s="1680">
        <v>118</v>
      </c>
      <c r="I28" s="1680">
        <v>4.5</v>
      </c>
      <c r="J28" s="1680">
        <v>3.3</v>
      </c>
      <c r="K28" s="1679">
        <v>1760</v>
      </c>
      <c r="L28" s="1679">
        <v>1295</v>
      </c>
      <c r="M28" s="1680">
        <v>695</v>
      </c>
      <c r="N28" s="1679">
        <v>14620</v>
      </c>
    </row>
    <row r="29" spans="2:18" ht="16" customHeight="1">
      <c r="B29" s="1660"/>
      <c r="C29" s="1681"/>
      <c r="D29" s="1680"/>
      <c r="E29" s="1680"/>
      <c r="F29" s="1680"/>
      <c r="G29" s="1682"/>
      <c r="H29" s="1680"/>
      <c r="I29" s="1680"/>
      <c r="J29" s="1680"/>
      <c r="K29" s="1680"/>
      <c r="L29" s="1680"/>
      <c r="M29" s="1680"/>
      <c r="N29" s="1680"/>
    </row>
    <row r="30" spans="2:18" ht="16" customHeight="1">
      <c r="B30" s="1660"/>
      <c r="C30" s="1683" t="s">
        <v>435</v>
      </c>
      <c r="D30" s="1680" t="s">
        <v>437</v>
      </c>
      <c r="E30" s="1680" t="s">
        <v>134</v>
      </c>
      <c r="F30" s="1680"/>
      <c r="G30" s="1680"/>
      <c r="H30" s="1680">
        <v>118</v>
      </c>
      <c r="I30" s="1680">
        <v>4.5</v>
      </c>
      <c r="J30" s="1680">
        <v>3.3</v>
      </c>
      <c r="K30" s="1679">
        <v>1800</v>
      </c>
      <c r="L30" s="1679">
        <v>1295</v>
      </c>
      <c r="M30" s="1680">
        <v>695</v>
      </c>
      <c r="N30" s="1679">
        <v>14620</v>
      </c>
    </row>
    <row r="31" spans="2:18" ht="16" customHeight="1">
      <c r="B31" s="1660"/>
      <c r="C31" s="1683"/>
      <c r="D31" s="1680"/>
      <c r="E31" s="1680"/>
      <c r="F31" s="1680"/>
      <c r="G31" s="1680"/>
      <c r="H31" s="1680"/>
      <c r="I31" s="1680"/>
      <c r="J31" s="1680"/>
      <c r="K31" s="1680"/>
      <c r="L31" s="1680"/>
      <c r="M31" s="1680"/>
      <c r="N31" s="1680"/>
    </row>
    <row r="32" spans="2:18" ht="16" customHeight="1">
      <c r="B32" s="1141"/>
      <c r="C32" s="1141"/>
      <c r="D32" s="1141"/>
      <c r="E32" s="1141"/>
      <c r="F32" s="1141"/>
      <c r="G32" s="1141"/>
      <c r="H32" s="1141"/>
      <c r="I32" s="1141"/>
      <c r="J32" s="1141"/>
      <c r="K32" s="1141"/>
      <c r="L32" s="1141"/>
      <c r="M32" s="1141"/>
      <c r="N32" s="1141"/>
    </row>
    <row r="33" spans="2:16" ht="16" customHeight="1" thickBot="1">
      <c r="B33" s="1142"/>
      <c r="C33" s="1142"/>
      <c r="D33" s="1142"/>
      <c r="E33" s="1142"/>
    </row>
    <row r="34" spans="2:16" ht="16" customHeight="1">
      <c r="C34" s="652"/>
      <c r="D34" s="1664" t="s">
        <v>438</v>
      </c>
      <c r="E34" s="1666" t="s">
        <v>134</v>
      </c>
      <c r="F34" s="1675">
        <f>AVERAGE(F12,F20,F24,F26,F28)</f>
        <v>136.4</v>
      </c>
      <c r="G34" s="1677">
        <f>AVERAGE(G12,G20,G24,G26,G28)</f>
        <v>5.7299999999999995</v>
      </c>
      <c r="H34" s="1668">
        <f t="shared" ref="H34:I34" si="0">AVERAGE(H12:H31)</f>
        <v>112</v>
      </c>
      <c r="I34" s="1670">
        <f t="shared" si="0"/>
        <v>4.24</v>
      </c>
      <c r="J34" s="1670">
        <f t="shared" ref="J34:N34" si="1">AVERAGE(J12:J31)</f>
        <v>2.87</v>
      </c>
      <c r="K34" s="1668">
        <f t="shared" si="1"/>
        <v>1760.2</v>
      </c>
      <c r="L34" s="1668">
        <f t="shared" si="1"/>
        <v>1217.7</v>
      </c>
      <c r="M34" s="1668">
        <f t="shared" si="1"/>
        <v>676.7</v>
      </c>
      <c r="N34" s="1672">
        <f t="shared" si="1"/>
        <v>13941.5</v>
      </c>
      <c r="O34" s="1672">
        <f>76/3</f>
        <v>25.333333333333332</v>
      </c>
      <c r="P34" s="1687">
        <f>250/3</f>
        <v>83.333333333333329</v>
      </c>
    </row>
    <row r="35" spans="2:16" ht="16" customHeight="1" thickBot="1">
      <c r="D35" s="1665"/>
      <c r="E35" s="1667"/>
      <c r="F35" s="1676"/>
      <c r="G35" s="1678"/>
      <c r="H35" s="1669"/>
      <c r="I35" s="1671"/>
      <c r="J35" s="1671"/>
      <c r="K35" s="1669"/>
      <c r="L35" s="1669"/>
      <c r="M35" s="1669"/>
      <c r="N35" s="1673"/>
      <c r="O35" s="1673"/>
      <c r="P35" s="1688"/>
    </row>
    <row r="36" spans="2:16">
      <c r="D36" s="971" t="s">
        <v>1369</v>
      </c>
      <c r="F36" s="616">
        <f>F34/H34</f>
        <v>1.217857142857143</v>
      </c>
      <c r="G36" s="616">
        <f>G34/I34</f>
        <v>1.3514150943396224</v>
      </c>
    </row>
    <row r="38" spans="2:16">
      <c r="B38" s="1004" t="s">
        <v>439</v>
      </c>
      <c r="F38" s="1637" t="s">
        <v>1371</v>
      </c>
      <c r="G38" s="1637"/>
      <c r="H38" s="1588" t="s">
        <v>518</v>
      </c>
      <c r="I38" s="1588"/>
    </row>
    <row r="39" spans="2:16">
      <c r="B39" s="1680"/>
      <c r="C39" s="1680"/>
      <c r="D39" s="1587" t="s">
        <v>315</v>
      </c>
      <c r="E39" s="1587" t="s">
        <v>316</v>
      </c>
      <c r="F39" s="1587" t="s">
        <v>324</v>
      </c>
      <c r="G39" s="1587" t="s">
        <v>325</v>
      </c>
      <c r="H39" s="1587" t="s">
        <v>324</v>
      </c>
      <c r="I39" s="1587" t="s">
        <v>325</v>
      </c>
      <c r="J39" s="1587" t="s">
        <v>417</v>
      </c>
      <c r="K39" s="1587" t="s">
        <v>418</v>
      </c>
      <c r="L39" s="1587" t="s">
        <v>326</v>
      </c>
      <c r="M39" s="1004" t="s">
        <v>419</v>
      </c>
      <c r="N39" s="1587" t="s">
        <v>420</v>
      </c>
      <c r="O39" s="1587" t="s">
        <v>1316</v>
      </c>
      <c r="P39" s="1587" t="s">
        <v>1317</v>
      </c>
    </row>
    <row r="40" spans="2:16">
      <c r="B40" s="1680"/>
      <c r="C40" s="1680"/>
      <c r="D40" s="1587"/>
      <c r="E40" s="1587"/>
      <c r="F40" s="1587"/>
      <c r="G40" s="1587"/>
      <c r="H40" s="1587"/>
      <c r="I40" s="1587"/>
      <c r="J40" s="1587"/>
      <c r="K40" s="1587"/>
      <c r="L40" s="1587"/>
      <c r="M40" s="1004" t="s">
        <v>421</v>
      </c>
      <c r="N40" s="1587"/>
      <c r="O40" s="1587"/>
      <c r="P40" s="1587"/>
    </row>
    <row r="41" spans="2:16">
      <c r="B41" s="1680"/>
      <c r="C41" s="1681" t="s">
        <v>422</v>
      </c>
      <c r="D41" s="1680" t="s">
        <v>440</v>
      </c>
      <c r="E41" s="1680" t="s">
        <v>134</v>
      </c>
      <c r="F41" s="1680">
        <f>AVERAGE(188,234)</f>
        <v>211</v>
      </c>
      <c r="G41" s="1682">
        <f>AVERAGE(7.2,8.9)</f>
        <v>8.0500000000000007</v>
      </c>
      <c r="H41" s="1680">
        <v>149</v>
      </c>
      <c r="I41" s="1680">
        <v>5.7</v>
      </c>
      <c r="J41" s="1680">
        <v>5.2</v>
      </c>
      <c r="K41" s="1685">
        <v>2040</v>
      </c>
      <c r="L41" s="1679">
        <v>1895</v>
      </c>
      <c r="M41" s="1680">
        <v>905</v>
      </c>
      <c r="N41" s="1679">
        <v>25775</v>
      </c>
    </row>
    <row r="42" spans="2:16">
      <c r="B42" s="1680"/>
      <c r="C42" s="1681"/>
      <c r="D42" s="1680"/>
      <c r="E42" s="1680"/>
      <c r="F42" s="1680"/>
      <c r="G42" s="1682"/>
      <c r="H42" s="1680"/>
      <c r="I42" s="1680"/>
      <c r="J42" s="1680"/>
      <c r="K42" s="1686"/>
      <c r="L42" s="1680"/>
      <c r="M42" s="1680"/>
      <c r="N42" s="1680"/>
    </row>
    <row r="43" spans="2:16">
      <c r="B43" s="1680"/>
      <c r="C43" s="1681" t="s">
        <v>424</v>
      </c>
      <c r="D43" s="1680" t="s">
        <v>441</v>
      </c>
      <c r="E43" s="1680" t="s">
        <v>134</v>
      </c>
      <c r="F43" s="1684">
        <f>AVERAGE(184,219)</f>
        <v>201.5</v>
      </c>
      <c r="G43" s="1682">
        <f>AVERAGE(7.1,8.3)</f>
        <v>7.7</v>
      </c>
      <c r="H43" s="1680">
        <v>153</v>
      </c>
      <c r="I43" s="1680">
        <v>5.8</v>
      </c>
      <c r="J43" s="1680">
        <v>5.8</v>
      </c>
      <c r="K43" s="1685">
        <v>2570</v>
      </c>
      <c r="L43" s="1679">
        <v>1662</v>
      </c>
      <c r="M43" s="1679">
        <v>1038</v>
      </c>
      <c r="N43" s="1679">
        <v>24500</v>
      </c>
    </row>
    <row r="44" spans="2:16">
      <c r="B44" s="1680"/>
      <c r="C44" s="1681"/>
      <c r="D44" s="1680"/>
      <c r="E44" s="1680"/>
      <c r="F44" s="1684"/>
      <c r="G44" s="1682"/>
      <c r="H44" s="1680"/>
      <c r="I44" s="1680"/>
      <c r="J44" s="1680"/>
      <c r="K44" s="1686"/>
      <c r="L44" s="1680"/>
      <c r="M44" s="1680"/>
      <c r="N44" s="1680"/>
    </row>
    <row r="45" spans="2:16">
      <c r="B45" s="1680"/>
      <c r="C45" s="1683" t="s">
        <v>428</v>
      </c>
      <c r="D45" s="1680" t="s">
        <v>442</v>
      </c>
      <c r="E45" s="1680" t="s">
        <v>134</v>
      </c>
      <c r="F45" s="1680"/>
      <c r="G45" s="1680"/>
      <c r="H45" s="1680">
        <v>155</v>
      </c>
      <c r="I45" s="1680">
        <v>5.9</v>
      </c>
      <c r="J45" s="1680">
        <v>5.2</v>
      </c>
      <c r="K45" s="1679">
        <v>2537</v>
      </c>
      <c r="L45" s="1679">
        <v>1683</v>
      </c>
      <c r="M45" s="1679">
        <v>1235</v>
      </c>
      <c r="N45" s="1679">
        <v>22095</v>
      </c>
    </row>
    <row r="46" spans="2:16">
      <c r="B46" s="1680"/>
      <c r="C46" s="1683"/>
      <c r="D46" s="1680"/>
      <c r="E46" s="1680"/>
      <c r="F46" s="1680"/>
      <c r="G46" s="1680"/>
      <c r="H46" s="1680"/>
      <c r="I46" s="1680"/>
      <c r="J46" s="1680"/>
      <c r="K46" s="1680"/>
      <c r="L46" s="1680"/>
      <c r="M46" s="1680"/>
      <c r="N46" s="1680"/>
    </row>
    <row r="47" spans="2:16">
      <c r="B47" s="1680"/>
      <c r="C47" s="1683" t="s">
        <v>428</v>
      </c>
      <c r="D47" s="1680" t="s">
        <v>443</v>
      </c>
      <c r="E47" s="1680" t="s">
        <v>134</v>
      </c>
      <c r="F47" s="1680"/>
      <c r="G47" s="1680"/>
      <c r="H47" s="1680">
        <v>155</v>
      </c>
      <c r="I47" s="1680">
        <v>5.9</v>
      </c>
      <c r="J47" s="1680">
        <v>5.2</v>
      </c>
      <c r="K47" s="1679">
        <v>3715</v>
      </c>
      <c r="L47" s="1679">
        <v>1658</v>
      </c>
      <c r="M47" s="1679">
        <v>1102</v>
      </c>
      <c r="N47" s="1679">
        <v>22150</v>
      </c>
    </row>
    <row r="48" spans="2:16">
      <c r="B48" s="1680"/>
      <c r="C48" s="1683"/>
      <c r="D48" s="1680"/>
      <c r="E48" s="1680"/>
      <c r="F48" s="1680"/>
      <c r="G48" s="1680"/>
      <c r="H48" s="1680"/>
      <c r="I48" s="1680"/>
      <c r="J48" s="1680"/>
      <c r="K48" s="1680"/>
      <c r="L48" s="1680"/>
      <c r="M48" s="1680"/>
      <c r="N48" s="1680"/>
    </row>
    <row r="49" spans="2:16">
      <c r="B49" s="1680"/>
      <c r="C49" s="1683" t="s">
        <v>431</v>
      </c>
      <c r="D49" s="1680" t="s">
        <v>444</v>
      </c>
      <c r="E49" s="1680" t="s">
        <v>134</v>
      </c>
      <c r="F49" s="1680"/>
      <c r="G49" s="1680"/>
      <c r="H49" s="1680">
        <v>168</v>
      </c>
      <c r="I49" s="1680">
        <v>6.4</v>
      </c>
      <c r="J49" s="1680">
        <v>5</v>
      </c>
      <c r="K49" s="1679">
        <v>2254</v>
      </c>
      <c r="L49" s="1679">
        <v>1661</v>
      </c>
      <c r="M49" s="1679">
        <v>1037</v>
      </c>
      <c r="N49" s="1679">
        <v>18635</v>
      </c>
    </row>
    <row r="50" spans="2:16">
      <c r="B50" s="1680"/>
      <c r="C50" s="1683"/>
      <c r="D50" s="1680"/>
      <c r="E50" s="1680"/>
      <c r="F50" s="1680"/>
      <c r="G50" s="1680"/>
      <c r="H50" s="1680"/>
      <c r="I50" s="1680"/>
      <c r="J50" s="1680"/>
      <c r="K50" s="1680"/>
      <c r="L50" s="1680"/>
      <c r="M50" s="1680"/>
      <c r="N50" s="1680"/>
    </row>
    <row r="51" spans="2:16">
      <c r="B51" s="1680"/>
      <c r="C51" s="1683" t="s">
        <v>431</v>
      </c>
      <c r="D51" s="1680" t="s">
        <v>445</v>
      </c>
      <c r="E51" s="1680" t="s">
        <v>134</v>
      </c>
      <c r="F51" s="1680"/>
      <c r="G51" s="1680"/>
      <c r="H51" s="1680">
        <v>168</v>
      </c>
      <c r="I51" s="1680">
        <v>6.4</v>
      </c>
      <c r="J51" s="1680">
        <v>5</v>
      </c>
      <c r="K51" s="1679">
        <v>2254</v>
      </c>
      <c r="L51" s="1679">
        <v>1661</v>
      </c>
      <c r="M51" s="1679">
        <v>1037</v>
      </c>
      <c r="N51" s="1679">
        <v>18930</v>
      </c>
    </row>
    <row r="52" spans="2:16">
      <c r="B52" s="1680"/>
      <c r="C52" s="1683"/>
      <c r="D52" s="1680"/>
      <c r="E52" s="1680"/>
      <c r="F52" s="1680"/>
      <c r="G52" s="1680"/>
      <c r="H52" s="1680"/>
      <c r="I52" s="1680"/>
      <c r="J52" s="1680"/>
      <c r="K52" s="1680"/>
      <c r="L52" s="1680"/>
      <c r="M52" s="1680"/>
      <c r="N52" s="1680"/>
    </row>
    <row r="53" spans="2:16">
      <c r="B53" s="1680"/>
      <c r="C53" s="1683" t="s">
        <v>431</v>
      </c>
      <c r="D53" s="1680" t="s">
        <v>446</v>
      </c>
      <c r="E53" s="1680" t="s">
        <v>134</v>
      </c>
      <c r="F53" s="1680"/>
      <c r="G53" s="1680"/>
      <c r="H53" s="1680">
        <v>168</v>
      </c>
      <c r="I53" s="1680">
        <v>6.4</v>
      </c>
      <c r="J53" s="1680">
        <v>5</v>
      </c>
      <c r="K53" s="1679">
        <v>2254</v>
      </c>
      <c r="L53" s="1679">
        <v>1661</v>
      </c>
      <c r="M53" s="1680">
        <v>1.2370000000000001</v>
      </c>
      <c r="N53" s="1679">
        <v>19940</v>
      </c>
    </row>
    <row r="54" spans="2:16">
      <c r="B54" s="1680"/>
      <c r="C54" s="1683"/>
      <c r="D54" s="1680"/>
      <c r="E54" s="1680"/>
      <c r="F54" s="1680"/>
      <c r="G54" s="1680"/>
      <c r="H54" s="1680"/>
      <c r="I54" s="1680"/>
      <c r="J54" s="1680"/>
      <c r="K54" s="1680"/>
      <c r="L54" s="1680"/>
      <c r="M54" s="1680"/>
      <c r="N54" s="1680"/>
    </row>
    <row r="55" spans="2:16">
      <c r="B55" s="1680"/>
      <c r="C55" s="1681" t="s">
        <v>433</v>
      </c>
      <c r="D55" s="1680" t="s">
        <v>447</v>
      </c>
      <c r="E55" s="1680" t="s">
        <v>134</v>
      </c>
      <c r="F55" s="1680">
        <f>AVERAGE(199,247)</f>
        <v>223</v>
      </c>
      <c r="G55" s="1680">
        <f>AVERAGE(7.6,9.4)</f>
        <v>8.5</v>
      </c>
      <c r="H55" s="1680">
        <v>178</v>
      </c>
      <c r="I55" s="1680">
        <v>6.7</v>
      </c>
      <c r="J55" s="1680">
        <v>5.9</v>
      </c>
      <c r="K55" s="1679">
        <v>2555</v>
      </c>
      <c r="L55" s="1679">
        <v>1720</v>
      </c>
      <c r="M55" s="1680">
        <v>980</v>
      </c>
      <c r="N55" s="1679">
        <v>20925</v>
      </c>
    </row>
    <row r="56" spans="2:16">
      <c r="B56" s="1680"/>
      <c r="C56" s="1681"/>
      <c r="D56" s="1680"/>
      <c r="E56" s="1680"/>
      <c r="F56" s="1680"/>
      <c r="G56" s="1680"/>
      <c r="H56" s="1680"/>
      <c r="I56" s="1680"/>
      <c r="J56" s="1680"/>
      <c r="K56" s="1680"/>
      <c r="L56" s="1680"/>
      <c r="M56" s="1680"/>
      <c r="N56" s="1680"/>
    </row>
    <row r="57" spans="2:16" ht="17" thickBot="1">
      <c r="B57" s="1142"/>
      <c r="C57" s="1142"/>
      <c r="D57" s="1142"/>
      <c r="E57" s="1142"/>
      <c r="F57" s="1142"/>
      <c r="G57" s="1142"/>
      <c r="H57" s="1142"/>
      <c r="I57" s="1142"/>
      <c r="J57" s="1142"/>
      <c r="K57" s="1142"/>
      <c r="L57" s="1142"/>
      <c r="M57" s="1142"/>
      <c r="N57" s="1142"/>
    </row>
    <row r="58" spans="2:16">
      <c r="D58" s="1664" t="s">
        <v>448</v>
      </c>
      <c r="E58" s="1666" t="s">
        <v>134</v>
      </c>
      <c r="F58" s="1675">
        <f>AVERAGE(F41,F43,F55)</f>
        <v>211.83333333333334</v>
      </c>
      <c r="G58" s="1677">
        <f>AVERAGE(G41,G43,G55)</f>
        <v>8.0833333333333339</v>
      </c>
      <c r="H58" s="1668">
        <f>AVERAGE(H41:H56)</f>
        <v>161.75</v>
      </c>
      <c r="I58" s="1670">
        <f t="shared" ref="I58" si="2">AVERAGE(I41:I56)</f>
        <v>6.1499999999999995</v>
      </c>
      <c r="J58" s="1670">
        <f t="shared" ref="J58:N58" si="3">AVERAGE(J41:J56)</f>
        <v>5.2874999999999996</v>
      </c>
      <c r="K58" s="1668">
        <f t="shared" si="3"/>
        <v>2522.375</v>
      </c>
      <c r="L58" s="1668">
        <f>AVERAGE(L41:L56)</f>
        <v>1700.125</v>
      </c>
      <c r="M58" s="1668">
        <f t="shared" si="3"/>
        <v>916.90462500000001</v>
      </c>
      <c r="N58" s="1672">
        <f t="shared" si="3"/>
        <v>21618.75</v>
      </c>
      <c r="O58" s="1672">
        <f>106/3</f>
        <v>35.333333333333336</v>
      </c>
      <c r="P58" s="1687">
        <f>383/3</f>
        <v>127.66666666666667</v>
      </c>
    </row>
    <row r="59" spans="2:16" ht="17" thickBot="1">
      <c r="D59" s="1665"/>
      <c r="E59" s="1667"/>
      <c r="F59" s="1676"/>
      <c r="G59" s="1678"/>
      <c r="H59" s="1669"/>
      <c r="I59" s="1671"/>
      <c r="J59" s="1671"/>
      <c r="K59" s="1669"/>
      <c r="L59" s="1669"/>
      <c r="M59" s="1669"/>
      <c r="N59" s="1673"/>
      <c r="O59" s="1673"/>
      <c r="P59" s="1688"/>
    </row>
    <row r="60" spans="2:16">
      <c r="D60" s="971" t="s">
        <v>1369</v>
      </c>
      <c r="F60" s="616">
        <f>F58/H58</f>
        <v>1.3096342091705306</v>
      </c>
      <c r="G60" s="616">
        <f>G58/I58</f>
        <v>1.3143631436314365</v>
      </c>
    </row>
    <row r="61" spans="2:16">
      <c r="B61" s="1004" t="s">
        <v>449</v>
      </c>
    </row>
    <row r="62" spans="2:16">
      <c r="F62" s="1637" t="s">
        <v>1371</v>
      </c>
      <c r="G62" s="1637"/>
      <c r="H62" s="1588" t="s">
        <v>518</v>
      </c>
      <c r="I62" s="1588"/>
    </row>
    <row r="63" spans="2:16">
      <c r="B63" s="1680"/>
      <c r="C63" s="1680"/>
      <c r="D63" s="1587" t="s">
        <v>315</v>
      </c>
      <c r="E63" s="1587" t="s">
        <v>316</v>
      </c>
      <c r="F63" s="1587" t="s">
        <v>324</v>
      </c>
      <c r="G63" s="1587" t="s">
        <v>325</v>
      </c>
      <c r="H63" s="1587" t="s">
        <v>324</v>
      </c>
      <c r="I63" s="1587" t="s">
        <v>325</v>
      </c>
      <c r="J63" s="1587" t="s">
        <v>417</v>
      </c>
      <c r="K63" s="1587" t="s">
        <v>418</v>
      </c>
      <c r="L63" s="1587" t="s">
        <v>326</v>
      </c>
      <c r="M63" s="1004" t="s">
        <v>419</v>
      </c>
      <c r="N63" s="1587" t="s">
        <v>420</v>
      </c>
      <c r="O63" s="1587" t="s">
        <v>1316</v>
      </c>
      <c r="P63" s="1587" t="s">
        <v>1317</v>
      </c>
    </row>
    <row r="64" spans="2:16">
      <c r="B64" s="1680"/>
      <c r="C64" s="1680"/>
      <c r="D64" s="1587"/>
      <c r="E64" s="1587"/>
      <c r="F64" s="1587"/>
      <c r="G64" s="1587"/>
      <c r="H64" s="1587"/>
      <c r="I64" s="1587"/>
      <c r="J64" s="1587"/>
      <c r="K64" s="1587"/>
      <c r="L64" s="1587"/>
      <c r="M64" s="1004" t="s">
        <v>421</v>
      </c>
      <c r="N64" s="1587"/>
      <c r="O64" s="1587"/>
      <c r="P64" s="1587"/>
    </row>
    <row r="65" spans="2:14">
      <c r="B65" s="1680"/>
      <c r="C65" s="1681" t="s">
        <v>422</v>
      </c>
      <c r="D65" s="1680" t="s">
        <v>450</v>
      </c>
      <c r="E65" s="1680" t="s">
        <v>134</v>
      </c>
      <c r="F65" s="1680">
        <v>235</v>
      </c>
      <c r="G65" s="1680">
        <v>8.6999999999999993</v>
      </c>
      <c r="H65" s="1680">
        <v>153</v>
      </c>
      <c r="I65" s="1680">
        <v>5.8</v>
      </c>
      <c r="J65" s="1680">
        <v>8</v>
      </c>
      <c r="K65" s="1679">
        <v>2670</v>
      </c>
      <c r="L65" s="1679">
        <v>1770</v>
      </c>
      <c r="M65" s="1680">
        <v>955</v>
      </c>
      <c r="N65" s="1679">
        <v>22900</v>
      </c>
    </row>
    <row r="66" spans="2:14">
      <c r="B66" s="1680"/>
      <c r="C66" s="1681"/>
      <c r="D66" s="1680"/>
      <c r="E66" s="1680"/>
      <c r="F66" s="1680"/>
      <c r="G66" s="1680"/>
      <c r="H66" s="1680"/>
      <c r="I66" s="1680"/>
      <c r="J66" s="1680"/>
      <c r="K66" s="1680"/>
      <c r="L66" s="1680"/>
      <c r="M66" s="1680"/>
      <c r="N66" s="1680"/>
    </row>
    <row r="67" spans="2:14">
      <c r="B67" s="1587"/>
      <c r="C67" s="1683" t="s">
        <v>424</v>
      </c>
      <c r="D67" s="1680" t="s">
        <v>451</v>
      </c>
      <c r="E67" s="1680" t="s">
        <v>134</v>
      </c>
      <c r="F67" s="1680"/>
      <c r="G67" s="1680"/>
      <c r="H67" s="1680">
        <v>171</v>
      </c>
      <c r="I67" s="1680">
        <v>6.5</v>
      </c>
      <c r="J67" s="1680">
        <v>9</v>
      </c>
      <c r="K67" s="1679">
        <v>3260</v>
      </c>
      <c r="L67" s="1679">
        <v>2065</v>
      </c>
      <c r="M67" s="1680">
        <v>935</v>
      </c>
      <c r="N67" s="1679">
        <v>30000</v>
      </c>
    </row>
    <row r="68" spans="2:14">
      <c r="B68" s="1587"/>
      <c r="C68" s="1683"/>
      <c r="D68" s="1680"/>
      <c r="E68" s="1680"/>
      <c r="F68" s="1680"/>
      <c r="G68" s="1680"/>
      <c r="H68" s="1680"/>
      <c r="I68" s="1680"/>
      <c r="J68" s="1680"/>
      <c r="K68" s="1680"/>
      <c r="L68" s="1680"/>
      <c r="M68" s="1680"/>
      <c r="N68" s="1680"/>
    </row>
    <row r="69" spans="2:14">
      <c r="B69" s="1680"/>
      <c r="C69" s="1681" t="s">
        <v>424</v>
      </c>
      <c r="D69" s="1680" t="s">
        <v>452</v>
      </c>
      <c r="E69" s="1680" t="s">
        <v>134</v>
      </c>
      <c r="F69" s="1684">
        <f>AVERAGE(187,240)</f>
        <v>213.5</v>
      </c>
      <c r="G69" s="1680">
        <v>8.5</v>
      </c>
      <c r="H69" s="1680">
        <v>171</v>
      </c>
      <c r="I69" s="1680">
        <v>6.5</v>
      </c>
      <c r="J69" s="1680">
        <v>7.5</v>
      </c>
      <c r="K69" s="1679">
        <v>2600</v>
      </c>
      <c r="L69" s="1679">
        <v>1804</v>
      </c>
      <c r="M69" s="1680">
        <v>1196</v>
      </c>
      <c r="N69" s="1679">
        <v>24805</v>
      </c>
    </row>
    <row r="70" spans="2:14">
      <c r="B70" s="1680"/>
      <c r="C70" s="1681"/>
      <c r="D70" s="1680"/>
      <c r="E70" s="1680"/>
      <c r="F70" s="1684"/>
      <c r="G70" s="1680"/>
      <c r="H70" s="1680"/>
      <c r="I70" s="1680"/>
      <c r="J70" s="1680"/>
      <c r="K70" s="1680"/>
      <c r="L70" s="1680"/>
      <c r="M70" s="1680"/>
      <c r="N70" s="1680"/>
    </row>
    <row r="71" spans="2:14">
      <c r="B71" s="1680"/>
      <c r="C71" s="1683" t="s">
        <v>428</v>
      </c>
      <c r="D71" s="1680" t="s">
        <v>453</v>
      </c>
      <c r="E71" s="1680" t="s">
        <v>134</v>
      </c>
      <c r="F71" s="1680"/>
      <c r="G71" s="1680"/>
      <c r="H71" s="1680">
        <v>175</v>
      </c>
      <c r="I71" s="1680">
        <v>6.6</v>
      </c>
      <c r="J71" s="1680">
        <v>8</v>
      </c>
      <c r="K71" s="1679">
        <v>2670</v>
      </c>
      <c r="L71" s="1679">
        <v>1835</v>
      </c>
      <c r="M71" s="1680">
        <v>1165</v>
      </c>
      <c r="N71" s="1679">
        <v>22900</v>
      </c>
    </row>
    <row r="72" spans="2:14">
      <c r="B72" s="1680"/>
      <c r="C72" s="1683"/>
      <c r="D72" s="1680"/>
      <c r="E72" s="1680"/>
      <c r="F72" s="1680"/>
      <c r="G72" s="1680"/>
      <c r="H72" s="1680"/>
      <c r="I72" s="1680"/>
      <c r="J72" s="1680"/>
      <c r="K72" s="1680"/>
      <c r="L72" s="1680"/>
      <c r="M72" s="1680"/>
      <c r="N72" s="1680"/>
    </row>
    <row r="73" spans="2:14">
      <c r="B73" s="1680"/>
      <c r="C73" s="1683" t="s">
        <v>428</v>
      </c>
      <c r="D73" s="1680" t="s">
        <v>454</v>
      </c>
      <c r="E73" s="1680" t="s">
        <v>134</v>
      </c>
      <c r="F73" s="1680"/>
      <c r="G73" s="1680"/>
      <c r="H73" s="1680">
        <v>175</v>
      </c>
      <c r="I73" s="1680">
        <v>6.6</v>
      </c>
      <c r="J73" s="1680">
        <v>8</v>
      </c>
      <c r="K73" s="1679">
        <v>2670</v>
      </c>
      <c r="L73" s="1679">
        <v>1835</v>
      </c>
      <c r="M73" s="1680">
        <v>1165</v>
      </c>
      <c r="N73" s="1679">
        <v>22800</v>
      </c>
    </row>
    <row r="74" spans="2:14">
      <c r="B74" s="1680"/>
      <c r="C74" s="1683"/>
      <c r="D74" s="1680"/>
      <c r="E74" s="1680"/>
      <c r="F74" s="1680"/>
      <c r="G74" s="1680"/>
      <c r="H74" s="1680"/>
      <c r="I74" s="1680"/>
      <c r="J74" s="1680"/>
      <c r="K74" s="1680"/>
      <c r="L74" s="1680"/>
      <c r="M74" s="1680"/>
      <c r="N74" s="1680"/>
    </row>
    <row r="75" spans="2:14">
      <c r="B75" s="1680"/>
      <c r="C75" s="1683" t="s">
        <v>431</v>
      </c>
      <c r="D75" s="1680" t="s">
        <v>455</v>
      </c>
      <c r="E75" s="1680" t="s">
        <v>134</v>
      </c>
      <c r="F75" s="1680"/>
      <c r="G75" s="1680"/>
      <c r="H75" s="1680">
        <v>177</v>
      </c>
      <c r="I75" s="1680">
        <v>6.8</v>
      </c>
      <c r="J75" s="1680">
        <v>8</v>
      </c>
      <c r="K75" s="1679">
        <v>2583</v>
      </c>
      <c r="L75" s="1679">
        <v>1781</v>
      </c>
      <c r="M75" s="1680">
        <v>994</v>
      </c>
      <c r="N75" s="1679">
        <v>35000</v>
      </c>
    </row>
    <row r="76" spans="2:14">
      <c r="B76" s="1680"/>
      <c r="C76" s="1683"/>
      <c r="D76" s="1680"/>
      <c r="E76" s="1680"/>
      <c r="F76" s="1680"/>
      <c r="G76" s="1680"/>
      <c r="H76" s="1680"/>
      <c r="I76" s="1680"/>
      <c r="J76" s="1680"/>
      <c r="K76" s="1680"/>
      <c r="L76" s="1680"/>
      <c r="M76" s="1680"/>
      <c r="N76" s="1680"/>
    </row>
    <row r="77" spans="2:14">
      <c r="B77" s="1680"/>
      <c r="C77" s="1683" t="s">
        <v>433</v>
      </c>
      <c r="D77" s="1680" t="s">
        <v>456</v>
      </c>
      <c r="E77" s="1680" t="s">
        <v>134</v>
      </c>
      <c r="F77" s="1680"/>
      <c r="G77" s="1680"/>
      <c r="H77" s="1680">
        <v>180</v>
      </c>
      <c r="I77" s="1680">
        <v>6.9</v>
      </c>
      <c r="J77" s="1680">
        <v>7.8</v>
      </c>
      <c r="K77" s="1679">
        <v>2583</v>
      </c>
      <c r="L77" s="1679">
        <v>1822</v>
      </c>
      <c r="M77" s="1680">
        <v>1438</v>
      </c>
      <c r="N77" s="1679">
        <v>25100</v>
      </c>
    </row>
    <row r="78" spans="2:14">
      <c r="B78" s="1680"/>
      <c r="C78" s="1683"/>
      <c r="D78" s="1680"/>
      <c r="E78" s="1680"/>
      <c r="F78" s="1680"/>
      <c r="G78" s="1680"/>
      <c r="H78" s="1680"/>
      <c r="I78" s="1680"/>
      <c r="J78" s="1680"/>
      <c r="K78" s="1680"/>
      <c r="L78" s="1680"/>
      <c r="M78" s="1680"/>
      <c r="N78" s="1680"/>
    </row>
    <row r="79" spans="2:14">
      <c r="B79" s="1142"/>
      <c r="C79" s="1142"/>
      <c r="D79" s="1142"/>
      <c r="E79" s="1680" t="s">
        <v>134</v>
      </c>
      <c r="F79" s="1142"/>
      <c r="G79" s="1142"/>
      <c r="H79" s="1142"/>
      <c r="I79" s="1142"/>
      <c r="J79" s="1142"/>
      <c r="K79" s="1142"/>
      <c r="L79" s="1142"/>
      <c r="M79" s="1142"/>
      <c r="N79" s="1142"/>
    </row>
    <row r="80" spans="2:14">
      <c r="B80" s="1142"/>
      <c r="C80" s="1142"/>
      <c r="D80" s="1142"/>
      <c r="E80" s="1680"/>
      <c r="F80" s="1142"/>
      <c r="G80" s="1142"/>
      <c r="H80" s="1142"/>
      <c r="I80" s="1142"/>
      <c r="J80" s="1142"/>
      <c r="K80" s="1142"/>
      <c r="L80" s="1142"/>
      <c r="M80" s="1142"/>
      <c r="N80" s="1142"/>
    </row>
    <row r="81" spans="2:17" ht="24" thickBot="1">
      <c r="B81" s="1143"/>
      <c r="E81" s="1142"/>
    </row>
    <row r="82" spans="2:17">
      <c r="D82" s="1664" t="s">
        <v>457</v>
      </c>
      <c r="E82" s="1666" t="s">
        <v>134</v>
      </c>
      <c r="F82" s="1675">
        <f>AVERAGE(F65,F69)</f>
        <v>224.25</v>
      </c>
      <c r="G82" s="1677">
        <f>AVERAGE(G65,G69)</f>
        <v>8.6</v>
      </c>
      <c r="H82" s="1668">
        <f>AVERAGE(H65:H80)</f>
        <v>171.71428571428572</v>
      </c>
      <c r="I82" s="1670">
        <f t="shared" ref="I82" si="4">AVERAGE(I65:I80)</f>
        <v>6.5285714285714276</v>
      </c>
      <c r="J82" s="1670">
        <f t="shared" ref="J82:K82" si="5">AVERAGE(J65:J80)</f>
        <v>8.0428571428571427</v>
      </c>
      <c r="K82" s="1668">
        <f t="shared" si="5"/>
        <v>2719.4285714285716</v>
      </c>
      <c r="L82" s="1668">
        <f>AVERAGE(L65:L80)</f>
        <v>1844.5714285714287</v>
      </c>
      <c r="M82" s="1668">
        <f t="shared" ref="M82:N82" si="6">AVERAGE(M65:M80)</f>
        <v>1121.1428571428571</v>
      </c>
      <c r="N82" s="1672">
        <f t="shared" si="6"/>
        <v>26215</v>
      </c>
      <c r="O82" s="1672">
        <f>112/3</f>
        <v>37.333333333333336</v>
      </c>
      <c r="P82" s="1687">
        <f>410/3</f>
        <v>136.66666666666666</v>
      </c>
    </row>
    <row r="83" spans="2:17" ht="17" thickBot="1">
      <c r="B83" s="703"/>
      <c r="D83" s="1665"/>
      <c r="E83" s="1667"/>
      <c r="F83" s="1676"/>
      <c r="G83" s="1678"/>
      <c r="H83" s="1669"/>
      <c r="I83" s="1671"/>
      <c r="J83" s="1671"/>
      <c r="K83" s="1669"/>
      <c r="L83" s="1669"/>
      <c r="M83" s="1669"/>
      <c r="N83" s="1673"/>
      <c r="O83" s="1673"/>
      <c r="P83" s="1688"/>
    </row>
    <row r="84" spans="2:17">
      <c r="D84" s="971" t="s">
        <v>1369</v>
      </c>
      <c r="F84" s="616">
        <f>F82/H82</f>
        <v>1.3059484193011646</v>
      </c>
      <c r="G84" s="616">
        <f>G82/I82</f>
        <v>1.3172866520787747</v>
      </c>
    </row>
    <row r="89" spans="2:17" s="964" customFormat="1">
      <c r="B89" s="1127" t="s">
        <v>1324</v>
      </c>
    </row>
    <row r="91" spans="2:17">
      <c r="B91" s="1004" t="s">
        <v>416</v>
      </c>
      <c r="F91" s="1637" t="s">
        <v>1371</v>
      </c>
      <c r="G91" s="1637"/>
      <c r="H91" s="1588" t="s">
        <v>518</v>
      </c>
      <c r="I91" s="1588"/>
    </row>
    <row r="92" spans="2:17" ht="16" customHeight="1">
      <c r="B92" s="1660"/>
      <c r="C92" s="1660"/>
      <c r="D92" s="1587" t="s">
        <v>315</v>
      </c>
      <c r="E92" s="1587" t="s">
        <v>316</v>
      </c>
      <c r="F92" s="1587" t="s">
        <v>324</v>
      </c>
      <c r="G92" s="1587" t="s">
        <v>325</v>
      </c>
      <c r="H92" s="1587" t="s">
        <v>324</v>
      </c>
      <c r="I92" s="1587" t="s">
        <v>325</v>
      </c>
      <c r="J92" s="1587" t="s">
        <v>417</v>
      </c>
      <c r="K92" s="1587" t="s">
        <v>418</v>
      </c>
      <c r="L92" s="1587" t="s">
        <v>326</v>
      </c>
      <c r="M92" s="1004" t="s">
        <v>419</v>
      </c>
      <c r="N92" s="1587" t="s">
        <v>420</v>
      </c>
      <c r="O92" s="1587" t="s">
        <v>1316</v>
      </c>
      <c r="P92" s="1587" t="s">
        <v>1317</v>
      </c>
    </row>
    <row r="93" spans="2:17" ht="16" customHeight="1">
      <c r="B93" s="1660"/>
      <c r="C93" s="1660"/>
      <c r="D93" s="1587"/>
      <c r="E93" s="1587"/>
      <c r="F93" s="1587"/>
      <c r="G93" s="1587"/>
      <c r="H93" s="1587"/>
      <c r="I93" s="1587"/>
      <c r="J93" s="1587"/>
      <c r="K93" s="1587"/>
      <c r="L93" s="1587"/>
      <c r="M93" s="1004" t="s">
        <v>421</v>
      </c>
      <c r="N93" s="1587"/>
      <c r="O93" s="1587"/>
      <c r="P93" s="1587"/>
      <c r="Q93" s="171" t="s">
        <v>1280</v>
      </c>
    </row>
    <row r="94" spans="2:17" ht="18">
      <c r="B94" s="1144"/>
      <c r="D94" s="546"/>
    </row>
    <row r="95" spans="2:17" ht="16" customHeight="1">
      <c r="D95" s="1663" t="s">
        <v>1259</v>
      </c>
      <c r="E95" s="1145" t="s">
        <v>163</v>
      </c>
      <c r="F95" s="1146">
        <v>124</v>
      </c>
      <c r="G95" s="1147">
        <v>5.8</v>
      </c>
      <c r="H95" s="1146">
        <v>124</v>
      </c>
      <c r="I95" s="1147">
        <v>5.8</v>
      </c>
      <c r="J95" s="1147"/>
      <c r="K95" s="1146"/>
      <c r="L95" s="1146"/>
      <c r="M95" s="1146"/>
      <c r="N95" s="1148">
        <v>10600</v>
      </c>
      <c r="O95" s="1148"/>
      <c r="Q95" s="703" t="s">
        <v>1260</v>
      </c>
    </row>
    <row r="96" spans="2:17" ht="16" customHeight="1">
      <c r="D96" s="1662"/>
      <c r="E96" s="1145"/>
      <c r="F96" s="1146"/>
      <c r="G96" s="1147"/>
      <c r="H96" s="1146"/>
      <c r="I96" s="1147"/>
      <c r="J96" s="1147"/>
      <c r="K96" s="1146"/>
      <c r="L96" s="1146"/>
      <c r="M96" s="1146"/>
      <c r="N96" s="1148"/>
      <c r="O96" s="1148"/>
    </row>
    <row r="97" spans="3:17" ht="16" customHeight="1">
      <c r="D97" s="1662" t="s">
        <v>1261</v>
      </c>
      <c r="E97" s="1145" t="s">
        <v>163</v>
      </c>
      <c r="F97" s="1146">
        <v>155</v>
      </c>
      <c r="G97" s="1147">
        <v>6.4</v>
      </c>
      <c r="H97" s="1146">
        <v>155</v>
      </c>
      <c r="I97" s="1147">
        <v>6.4</v>
      </c>
      <c r="J97" s="1147"/>
      <c r="K97" s="1146"/>
      <c r="L97" s="1146">
        <v>1045</v>
      </c>
      <c r="M97" s="1146">
        <v>635</v>
      </c>
      <c r="N97" s="1148">
        <v>9280</v>
      </c>
      <c r="O97" s="1148"/>
      <c r="Q97" s="703" t="s">
        <v>1262</v>
      </c>
    </row>
    <row r="98" spans="3:17" ht="16" customHeight="1">
      <c r="D98" s="1662"/>
      <c r="E98" s="1145"/>
      <c r="F98" s="1146"/>
      <c r="G98" s="1147"/>
      <c r="H98" s="1146"/>
      <c r="I98" s="1147"/>
      <c r="J98" s="1147"/>
      <c r="K98" s="1146"/>
      <c r="L98" s="1146"/>
      <c r="M98" s="1146"/>
      <c r="N98" s="1148"/>
      <c r="O98" s="1148"/>
    </row>
    <row r="99" spans="3:17" ht="16" customHeight="1">
      <c r="D99" s="1662" t="s">
        <v>1263</v>
      </c>
      <c r="E99" s="1145" t="s">
        <v>163</v>
      </c>
      <c r="F99" s="1146">
        <v>168</v>
      </c>
      <c r="G99" s="1147">
        <v>7.2</v>
      </c>
      <c r="H99" s="1146">
        <v>168</v>
      </c>
      <c r="I99" s="1147">
        <v>7.2</v>
      </c>
      <c r="J99" s="1147"/>
      <c r="K99" s="1146"/>
      <c r="L99" s="1146"/>
      <c r="M99" s="1146"/>
      <c r="N99" s="1148">
        <v>7250</v>
      </c>
      <c r="O99" s="1148"/>
      <c r="Q99" s="703" t="s">
        <v>1264</v>
      </c>
    </row>
    <row r="100" spans="3:17" ht="16" customHeight="1">
      <c r="D100" s="1662"/>
      <c r="E100" s="1145"/>
      <c r="F100" s="1146"/>
      <c r="G100" s="1147"/>
      <c r="H100" s="1146"/>
      <c r="I100" s="1147"/>
      <c r="J100" s="1147"/>
      <c r="K100" s="1146"/>
      <c r="L100" s="1146"/>
      <c r="M100" s="1146"/>
      <c r="N100" s="1148"/>
      <c r="O100" s="1148"/>
    </row>
    <row r="101" spans="3:17" ht="16" customHeight="1">
      <c r="D101" s="1662" t="s">
        <v>1277</v>
      </c>
      <c r="E101" s="1145" t="s">
        <v>1279</v>
      </c>
      <c r="F101" s="1146"/>
      <c r="G101" s="1147"/>
      <c r="H101" s="1146"/>
      <c r="I101" s="1147"/>
      <c r="J101" s="1147"/>
      <c r="K101" s="1146"/>
      <c r="L101" s="1146"/>
      <c r="M101" s="1146"/>
      <c r="N101" s="1148"/>
      <c r="O101" s="1148"/>
      <c r="Q101" s="703"/>
    </row>
    <row r="102" spans="3:17" ht="16" customHeight="1">
      <c r="D102" s="1662"/>
      <c r="E102" s="1145"/>
      <c r="F102" s="1146"/>
      <c r="G102" s="1147"/>
      <c r="H102" s="1146"/>
      <c r="I102" s="1147"/>
      <c r="J102" s="1147"/>
      <c r="K102" s="1146"/>
      <c r="L102" s="1146"/>
      <c r="M102" s="1146"/>
      <c r="N102" s="1148"/>
      <c r="O102" s="1148"/>
      <c r="Q102" s="703" t="s">
        <v>1278</v>
      </c>
    </row>
    <row r="103" spans="3:17" ht="16" customHeight="1">
      <c r="D103" s="1662" t="s">
        <v>1266</v>
      </c>
      <c r="E103" s="1145" t="s">
        <v>1265</v>
      </c>
      <c r="F103" s="1146"/>
      <c r="G103" s="1147"/>
      <c r="H103" s="1146"/>
      <c r="I103" s="1147"/>
      <c r="J103" s="1147"/>
      <c r="K103" s="1146"/>
      <c r="L103" s="1146"/>
      <c r="M103" s="1146"/>
      <c r="N103" s="1148"/>
      <c r="O103" s="1148"/>
    </row>
    <row r="104" spans="3:17" ht="16" customHeight="1">
      <c r="D104" s="1662"/>
      <c r="E104" s="1145"/>
      <c r="F104" s="1146"/>
      <c r="G104" s="1147"/>
      <c r="H104" s="1146"/>
      <c r="I104" s="1147"/>
      <c r="J104" s="1147"/>
      <c r="K104" s="1146"/>
      <c r="L104" s="1146"/>
      <c r="M104" s="1146"/>
      <c r="N104" s="1148"/>
      <c r="O104" s="1148"/>
    </row>
    <row r="105" spans="3:17" ht="16" customHeight="1">
      <c r="D105" s="1662" t="s">
        <v>1267</v>
      </c>
      <c r="E105" s="1145" t="s">
        <v>163</v>
      </c>
      <c r="F105" s="1146">
        <v>140</v>
      </c>
      <c r="G105" s="1147">
        <v>6.4</v>
      </c>
      <c r="H105" s="1146">
        <v>140</v>
      </c>
      <c r="I105" s="1147">
        <v>6.4</v>
      </c>
      <c r="J105" s="1147"/>
      <c r="K105" s="1146"/>
      <c r="L105" s="1146">
        <v>1220</v>
      </c>
      <c r="M105" s="1146">
        <v>700</v>
      </c>
      <c r="N105" s="1148">
        <v>14240</v>
      </c>
      <c r="O105" s="1148"/>
      <c r="Q105" s="703" t="s">
        <v>1268</v>
      </c>
    </row>
    <row r="106" spans="3:17" ht="16" customHeight="1">
      <c r="D106" s="1662"/>
      <c r="E106" s="1145"/>
      <c r="F106" s="1146"/>
      <c r="G106" s="1147"/>
      <c r="H106" s="1146"/>
      <c r="I106" s="1147"/>
      <c r="J106" s="1147"/>
      <c r="K106" s="1146"/>
      <c r="L106" s="1146"/>
      <c r="M106" s="1146"/>
      <c r="N106" s="1148"/>
      <c r="O106" s="1148"/>
    </row>
    <row r="107" spans="3:17" ht="16" customHeight="1">
      <c r="C107" s="1081"/>
      <c r="D107" s="1662" t="s">
        <v>1270</v>
      </c>
      <c r="E107" s="1145" t="s">
        <v>163</v>
      </c>
      <c r="F107" s="1146">
        <f>AVERAGE(217,240)</f>
        <v>228.5</v>
      </c>
      <c r="G107" s="1147">
        <f>AVERAGE(9.6,10.8)</f>
        <v>10.199999999999999</v>
      </c>
      <c r="H107" s="1146">
        <v>169</v>
      </c>
      <c r="I107" s="1147">
        <v>7.3</v>
      </c>
      <c r="J107" s="1147"/>
      <c r="K107" s="1146"/>
      <c r="L107" s="1146">
        <v>1280</v>
      </c>
      <c r="M107" s="1146"/>
      <c r="N107" s="1148">
        <v>9500</v>
      </c>
      <c r="O107" s="1148"/>
      <c r="Q107" s="703" t="s">
        <v>1269</v>
      </c>
    </row>
    <row r="108" spans="3:17" ht="16" customHeight="1">
      <c r="C108" s="1081"/>
      <c r="D108" s="1662"/>
      <c r="E108" s="1145"/>
      <c r="F108" s="1146"/>
      <c r="G108" s="1147"/>
      <c r="H108" s="1146"/>
      <c r="I108" s="1147"/>
      <c r="J108" s="1147"/>
      <c r="K108" s="1146"/>
      <c r="L108" s="1146"/>
      <c r="M108" s="1146"/>
      <c r="N108" s="1148"/>
      <c r="O108" s="1148"/>
    </row>
    <row r="109" spans="3:17" ht="16" customHeight="1">
      <c r="C109" s="1081"/>
      <c r="D109" s="1662" t="s">
        <v>1272</v>
      </c>
      <c r="E109" s="1145" t="s">
        <v>163</v>
      </c>
      <c r="F109" s="1149">
        <f>AVERAGE(165,187)</f>
        <v>176</v>
      </c>
      <c r="G109" s="1150">
        <f>AVERAGE(7.4,8.2)</f>
        <v>7.8</v>
      </c>
      <c r="H109" s="1146">
        <v>145</v>
      </c>
      <c r="I109" s="1147">
        <v>6</v>
      </c>
      <c r="J109" s="1147"/>
      <c r="K109" s="1146"/>
      <c r="L109" s="1146"/>
      <c r="M109" s="1146"/>
      <c r="N109" s="1148">
        <v>15600</v>
      </c>
      <c r="O109" s="1148"/>
      <c r="Q109" s="703" t="s">
        <v>1271</v>
      </c>
    </row>
    <row r="110" spans="3:17" ht="16" customHeight="1">
      <c r="C110" s="1081"/>
      <c r="D110" s="1662"/>
      <c r="E110" s="1145"/>
      <c r="F110" s="1146"/>
      <c r="G110" s="1147"/>
      <c r="H110" s="1146"/>
      <c r="I110" s="1147"/>
      <c r="J110" s="1147"/>
      <c r="K110" s="1146"/>
      <c r="L110" s="1146"/>
      <c r="M110" s="1146"/>
      <c r="N110" s="1148"/>
      <c r="O110" s="1148"/>
    </row>
    <row r="111" spans="3:17" ht="16" customHeight="1">
      <c r="C111" s="1081"/>
      <c r="D111" s="1662" t="s">
        <v>1273</v>
      </c>
      <c r="E111" s="1145" t="s">
        <v>163</v>
      </c>
      <c r="F111" s="1146">
        <f>AVERAGE(150,173)</f>
        <v>161.5</v>
      </c>
      <c r="G111" s="1147">
        <f>AVERAGE(6.7,7.6)</f>
        <v>7.15</v>
      </c>
      <c r="H111" s="1146"/>
      <c r="I111" s="1147"/>
      <c r="J111" s="1147"/>
      <c r="K111" s="1146"/>
      <c r="L111" s="1146"/>
      <c r="M111" s="1146"/>
      <c r="N111" s="1148"/>
      <c r="O111" s="1148"/>
      <c r="Q111" s="703" t="s">
        <v>1274</v>
      </c>
    </row>
    <row r="112" spans="3:17" ht="16" customHeight="1">
      <c r="C112" s="1081"/>
      <c r="D112" s="1662"/>
      <c r="E112" s="1145"/>
      <c r="F112" s="1146"/>
      <c r="G112" s="1147"/>
      <c r="H112" s="1146"/>
      <c r="I112" s="1147"/>
      <c r="J112" s="1147"/>
      <c r="K112" s="1146"/>
      <c r="L112" s="1146"/>
      <c r="M112" s="1146"/>
      <c r="N112" s="1148"/>
      <c r="O112" s="1148"/>
    </row>
    <row r="113" spans="2:17" ht="16" customHeight="1">
      <c r="D113" s="1662" t="s">
        <v>1275</v>
      </c>
      <c r="E113" s="1145" t="s">
        <v>1265</v>
      </c>
      <c r="F113" s="1146"/>
      <c r="G113" s="1147"/>
      <c r="H113" s="1146"/>
      <c r="I113" s="1147"/>
      <c r="J113" s="1147"/>
      <c r="K113" s="1146"/>
      <c r="L113" s="1146"/>
      <c r="M113" s="1146"/>
      <c r="N113" s="1148"/>
      <c r="O113" s="1148"/>
      <c r="Q113" s="703" t="s">
        <v>1276</v>
      </c>
    </row>
    <row r="114" spans="2:17" ht="17">
      <c r="B114" s="1151"/>
      <c r="D114" s="1662"/>
    </row>
    <row r="115" spans="2:17" ht="18" thickBot="1">
      <c r="B115" s="1151"/>
      <c r="D115" s="1142"/>
    </row>
    <row r="116" spans="2:17" ht="16" customHeight="1">
      <c r="C116" s="652"/>
      <c r="D116" s="1664" t="s">
        <v>438</v>
      </c>
      <c r="E116" s="1666" t="s">
        <v>163</v>
      </c>
      <c r="F116" s="1675">
        <f>AVERAGE(F95:F109)</f>
        <v>165.25</v>
      </c>
      <c r="G116" s="1677">
        <f>AVERAGE(G95:G109)</f>
        <v>7.3</v>
      </c>
      <c r="H116" s="1668">
        <f>AVERAGE(H95:H109)</f>
        <v>150.16666666666666</v>
      </c>
      <c r="I116" s="1670">
        <f>AVERAGE(I95:I109)</f>
        <v>6.5166666666666657</v>
      </c>
      <c r="J116" s="1670"/>
      <c r="K116" s="1668"/>
      <c r="L116" s="1668">
        <f>AVERAGE(L95:L115)</f>
        <v>1181.6666666666667</v>
      </c>
      <c r="M116" s="1668">
        <f>AVERAGE(M95:M115)</f>
        <v>667.5</v>
      </c>
      <c r="N116" s="1672">
        <f>AVERAGE(N95:N109)</f>
        <v>11078.333333333334</v>
      </c>
      <c r="O116" s="1672">
        <f>MRB_die_bestel_klein</f>
        <v>25.333333333333332</v>
      </c>
      <c r="P116" s="1687">
        <f>91/3</f>
        <v>30.333333333333332</v>
      </c>
    </row>
    <row r="117" spans="2:17" ht="16" customHeight="1" thickBot="1">
      <c r="D117" s="1665"/>
      <c r="E117" s="1667"/>
      <c r="F117" s="1676"/>
      <c r="G117" s="1678"/>
      <c r="H117" s="1669"/>
      <c r="I117" s="1671"/>
      <c r="J117" s="1671"/>
      <c r="K117" s="1669"/>
      <c r="L117" s="1669"/>
      <c r="M117" s="1669"/>
      <c r="N117" s="1673"/>
      <c r="O117" s="1673"/>
      <c r="P117" s="1688"/>
    </row>
    <row r="118" spans="2:17" ht="17">
      <c r="B118" s="1151"/>
      <c r="D118" s="971" t="s">
        <v>1369</v>
      </c>
      <c r="F118" s="616">
        <f>F116/H116</f>
        <v>1.1004439511653719</v>
      </c>
      <c r="G118" s="616">
        <f>G116/I116</f>
        <v>1.1202046035805628</v>
      </c>
    </row>
    <row r="119" spans="2:17" ht="17">
      <c r="B119" s="1151"/>
      <c r="D119" s="971"/>
    </row>
    <row r="120" spans="2:17">
      <c r="B120" s="1004" t="s">
        <v>439</v>
      </c>
      <c r="F120" s="1637" t="s">
        <v>1371</v>
      </c>
      <c r="G120" s="1637"/>
      <c r="H120" s="1588" t="s">
        <v>518</v>
      </c>
      <c r="I120" s="1588"/>
    </row>
    <row r="121" spans="2:17" ht="16" customHeight="1">
      <c r="B121" s="1660"/>
      <c r="C121" s="1660"/>
      <c r="D121" s="1587" t="s">
        <v>315</v>
      </c>
      <c r="E121" s="1587" t="s">
        <v>316</v>
      </c>
      <c r="F121" s="1587" t="s">
        <v>324</v>
      </c>
      <c r="G121" s="1587" t="s">
        <v>325</v>
      </c>
      <c r="H121" s="1587" t="s">
        <v>324</v>
      </c>
      <c r="I121" s="1587" t="s">
        <v>325</v>
      </c>
      <c r="J121" s="1587" t="s">
        <v>417</v>
      </c>
      <c r="K121" s="1587" t="s">
        <v>418</v>
      </c>
      <c r="L121" s="1587" t="s">
        <v>326</v>
      </c>
      <c r="M121" s="1004" t="s">
        <v>419</v>
      </c>
      <c r="N121" s="1587" t="s">
        <v>420</v>
      </c>
      <c r="O121" s="1587" t="s">
        <v>1316</v>
      </c>
      <c r="P121" s="1587" t="s">
        <v>1317</v>
      </c>
    </row>
    <row r="122" spans="2:17" ht="16" customHeight="1">
      <c r="B122" s="1660"/>
      <c r="C122" s="1660"/>
      <c r="D122" s="1587"/>
      <c r="E122" s="1587"/>
      <c r="F122" s="1587"/>
      <c r="G122" s="1587"/>
      <c r="H122" s="1587"/>
      <c r="I122" s="1587"/>
      <c r="J122" s="1587"/>
      <c r="K122" s="1587"/>
      <c r="L122" s="1587"/>
      <c r="M122" s="1004" t="s">
        <v>421</v>
      </c>
      <c r="N122" s="1587"/>
      <c r="O122" s="1587"/>
      <c r="P122" s="1587"/>
    </row>
    <row r="123" spans="2:17" ht="16" customHeight="1">
      <c r="B123" s="1152"/>
      <c r="C123" s="1152"/>
      <c r="D123" s="1133"/>
      <c r="E123" s="1133"/>
      <c r="F123" s="1133"/>
      <c r="G123" s="1133"/>
      <c r="H123" s="1133"/>
      <c r="I123" s="1133"/>
      <c r="J123" s="1133"/>
      <c r="K123" s="1133"/>
      <c r="L123" s="1133"/>
      <c r="M123" s="1004"/>
      <c r="N123" s="1133"/>
      <c r="O123" s="1133"/>
      <c r="P123" s="1133"/>
    </row>
    <row r="124" spans="2:17" ht="16" customHeight="1">
      <c r="B124" s="1674" t="s">
        <v>1392</v>
      </c>
      <c r="C124" s="1674"/>
      <c r="D124" s="1674"/>
      <c r="E124" s="1133"/>
      <c r="F124" s="1133"/>
      <c r="G124" s="1133"/>
      <c r="H124" s="1133"/>
      <c r="I124" s="1133"/>
      <c r="J124" s="1133"/>
      <c r="K124" s="1133"/>
      <c r="L124" s="1133"/>
      <c r="M124" s="1004"/>
      <c r="N124" s="1133"/>
      <c r="O124" s="1133"/>
    </row>
    <row r="125" spans="2:17" ht="16" customHeight="1">
      <c r="B125" s="1674"/>
      <c r="C125" s="1674"/>
      <c r="D125" s="1674"/>
      <c r="E125" s="1133"/>
      <c r="F125" s="1133"/>
      <c r="G125" s="1133"/>
      <c r="H125" s="1133"/>
      <c r="I125" s="1133"/>
      <c r="J125" s="1133"/>
      <c r="K125" s="1133"/>
      <c r="L125" s="1133"/>
      <c r="M125" s="1004"/>
      <c r="N125" s="1133"/>
      <c r="O125" s="1133"/>
    </row>
    <row r="126" spans="2:17" ht="16" customHeight="1" thickBot="1">
      <c r="B126" s="1153"/>
      <c r="C126" s="1153"/>
      <c r="D126" s="1153"/>
      <c r="E126" s="1133"/>
      <c r="F126" s="1133"/>
      <c r="G126" s="1133"/>
      <c r="H126" s="1133"/>
      <c r="I126" s="1133"/>
      <c r="J126" s="1133"/>
      <c r="K126" s="1133"/>
      <c r="L126" s="1133"/>
      <c r="M126" s="1004"/>
      <c r="N126" s="1133"/>
      <c r="O126" s="1133"/>
    </row>
    <row r="127" spans="2:17" ht="16" customHeight="1">
      <c r="C127" s="652"/>
      <c r="D127" s="1664" t="s">
        <v>1287</v>
      </c>
      <c r="E127" s="1666" t="s">
        <v>163</v>
      </c>
      <c r="F127" s="1668"/>
      <c r="G127" s="1670"/>
      <c r="H127" s="1154"/>
      <c r="I127" s="1154"/>
      <c r="J127" s="1670"/>
      <c r="K127" s="1668"/>
      <c r="L127" s="1668"/>
      <c r="M127" s="1668"/>
      <c r="N127" s="1672"/>
      <c r="O127" s="1672">
        <f>MRB_die_bestel_middel</f>
        <v>35.333333333333336</v>
      </c>
      <c r="P127" s="1687"/>
    </row>
    <row r="128" spans="2:17" ht="16" customHeight="1" thickBot="1">
      <c r="D128" s="1665"/>
      <c r="E128" s="1667"/>
      <c r="F128" s="1669"/>
      <c r="G128" s="1671"/>
      <c r="H128" s="1155"/>
      <c r="I128" s="1155"/>
      <c r="J128" s="1671"/>
      <c r="K128" s="1669"/>
      <c r="L128" s="1669"/>
      <c r="M128" s="1669"/>
      <c r="N128" s="1673"/>
      <c r="O128" s="1673"/>
      <c r="P128" s="1688"/>
    </row>
    <row r="129" spans="2:16" ht="17">
      <c r="B129" s="1151"/>
      <c r="D129" s="971" t="s">
        <v>1369</v>
      </c>
    </row>
    <row r="130" spans="2:16" ht="17">
      <c r="B130" s="1151"/>
    </row>
    <row r="131" spans="2:16">
      <c r="B131" s="1004" t="s">
        <v>449</v>
      </c>
      <c r="F131" s="1637" t="s">
        <v>1371</v>
      </c>
      <c r="G131" s="1637"/>
      <c r="H131" s="1588" t="s">
        <v>518</v>
      </c>
      <c r="I131" s="1588"/>
    </row>
    <row r="132" spans="2:16" ht="16" customHeight="1">
      <c r="B132" s="1660"/>
      <c r="C132" s="1660"/>
      <c r="D132" s="1587" t="s">
        <v>315</v>
      </c>
      <c r="E132" s="1587" t="s">
        <v>316</v>
      </c>
      <c r="F132" s="1587" t="s">
        <v>324</v>
      </c>
      <c r="G132" s="1587" t="s">
        <v>325</v>
      </c>
      <c r="H132" s="1587" t="s">
        <v>324</v>
      </c>
      <c r="I132" s="1587" t="s">
        <v>325</v>
      </c>
      <c r="J132" s="1587" t="s">
        <v>417</v>
      </c>
      <c r="K132" s="1587" t="s">
        <v>418</v>
      </c>
      <c r="L132" s="1587" t="s">
        <v>326</v>
      </c>
      <c r="M132" s="1004" t="s">
        <v>419</v>
      </c>
      <c r="N132" s="1587" t="s">
        <v>420</v>
      </c>
      <c r="O132" s="1587" t="s">
        <v>1316</v>
      </c>
      <c r="P132" s="1587" t="s">
        <v>1317</v>
      </c>
    </row>
    <row r="133" spans="2:16" ht="16" customHeight="1">
      <c r="B133" s="1660"/>
      <c r="C133" s="1660"/>
      <c r="D133" s="1587"/>
      <c r="E133" s="1587"/>
      <c r="F133" s="1587"/>
      <c r="G133" s="1587"/>
      <c r="H133" s="1587"/>
      <c r="I133" s="1587"/>
      <c r="J133" s="1587"/>
      <c r="K133" s="1587"/>
      <c r="L133" s="1587"/>
      <c r="M133" s="1004" t="s">
        <v>421</v>
      </c>
      <c r="N133" s="1587"/>
      <c r="O133" s="1587"/>
      <c r="P133" s="1587"/>
    </row>
    <row r="134" spans="2:16" ht="16" customHeight="1">
      <c r="B134" s="1152"/>
      <c r="C134" s="1152"/>
      <c r="D134" s="1133"/>
      <c r="E134" s="1133"/>
      <c r="F134" s="1133"/>
      <c r="G134" s="1133"/>
      <c r="H134" s="1133"/>
      <c r="I134" s="1133"/>
      <c r="J134" s="1133"/>
      <c r="K134" s="1133"/>
      <c r="L134" s="1133"/>
      <c r="M134" s="1004"/>
      <c r="N134" s="1133"/>
      <c r="O134" s="1133"/>
      <c r="P134" s="1133"/>
    </row>
    <row r="135" spans="2:16">
      <c r="B135" s="1674" t="s">
        <v>1392</v>
      </c>
      <c r="C135" s="1674"/>
      <c r="D135" s="1674"/>
    </row>
    <row r="136" spans="2:16">
      <c r="B136" s="1674"/>
      <c r="C136" s="1674"/>
      <c r="D136" s="1674"/>
    </row>
    <row r="137" spans="2:16" ht="17" thickBot="1">
      <c r="B137" s="1153"/>
      <c r="C137" s="1153"/>
      <c r="D137" s="1153"/>
    </row>
    <row r="138" spans="2:16" ht="16" customHeight="1">
      <c r="C138" s="652"/>
      <c r="D138" s="1664" t="s">
        <v>438</v>
      </c>
      <c r="E138" s="1666" t="s">
        <v>163</v>
      </c>
      <c r="F138" s="1668"/>
      <c r="G138" s="1670"/>
      <c r="H138" s="1154"/>
      <c r="I138" s="1154"/>
      <c r="J138" s="1670"/>
      <c r="K138" s="1668"/>
      <c r="L138" s="1668"/>
      <c r="M138" s="1668"/>
      <c r="N138" s="1672"/>
      <c r="O138" s="1672">
        <f>MRB_die_bestel_groot</f>
        <v>37.333333333333336</v>
      </c>
      <c r="P138" s="1687"/>
    </row>
    <row r="139" spans="2:16" ht="16" customHeight="1" thickBot="1">
      <c r="D139" s="1665"/>
      <c r="E139" s="1667"/>
      <c r="F139" s="1669"/>
      <c r="G139" s="1671"/>
      <c r="H139" s="1155"/>
      <c r="I139" s="1155"/>
      <c r="J139" s="1671"/>
      <c r="K139" s="1669"/>
      <c r="L139" s="1669"/>
      <c r="M139" s="1669"/>
      <c r="N139" s="1673"/>
      <c r="O139" s="1673"/>
      <c r="P139" s="1688"/>
    </row>
    <row r="140" spans="2:16">
      <c r="D140" s="971" t="s">
        <v>1369</v>
      </c>
    </row>
    <row r="145" spans="2:17">
      <c r="D145" s="171" t="s">
        <v>840</v>
      </c>
      <c r="E145" s="616">
        <f>Parameters!$Z$35</f>
        <v>1.2147928831866659</v>
      </c>
    </row>
    <row r="146" spans="2:17" s="964" customFormat="1">
      <c r="B146" s="1127" t="s">
        <v>790</v>
      </c>
    </row>
    <row r="148" spans="2:17">
      <c r="B148" s="1004" t="s">
        <v>416</v>
      </c>
      <c r="F148" s="1637" t="s">
        <v>1371</v>
      </c>
      <c r="G148" s="1637"/>
      <c r="H148" s="1588" t="s">
        <v>518</v>
      </c>
      <c r="I148" s="1588"/>
    </row>
    <row r="149" spans="2:17" ht="16" customHeight="1">
      <c r="B149" s="1660"/>
      <c r="C149" s="1660"/>
      <c r="D149" s="1587" t="s">
        <v>315</v>
      </c>
      <c r="E149" s="1587" t="s">
        <v>316</v>
      </c>
      <c r="F149" s="1587" t="s">
        <v>324</v>
      </c>
      <c r="G149" s="1587" t="s">
        <v>1376</v>
      </c>
      <c r="H149" s="1587" t="s">
        <v>324</v>
      </c>
      <c r="I149" s="1587" t="s">
        <v>1376</v>
      </c>
      <c r="J149" s="1587" t="s">
        <v>417</v>
      </c>
      <c r="K149" s="1587" t="s">
        <v>418</v>
      </c>
      <c r="L149" s="1587" t="s">
        <v>326</v>
      </c>
      <c r="M149" s="1004" t="s">
        <v>419</v>
      </c>
      <c r="N149" s="1587" t="s">
        <v>420</v>
      </c>
      <c r="O149" s="1587" t="s">
        <v>1316</v>
      </c>
      <c r="P149" s="1587" t="s">
        <v>1317</v>
      </c>
    </row>
    <row r="150" spans="2:17" ht="16" customHeight="1">
      <c r="B150" s="1660"/>
      <c r="C150" s="1660"/>
      <c r="D150" s="1587"/>
      <c r="E150" s="1587"/>
      <c r="F150" s="1587"/>
      <c r="G150" s="1587"/>
      <c r="H150" s="1587"/>
      <c r="I150" s="1587"/>
      <c r="J150" s="1587"/>
      <c r="K150" s="1587"/>
      <c r="L150" s="1587"/>
      <c r="M150" s="1004" t="s">
        <v>421</v>
      </c>
      <c r="N150" s="1587"/>
      <c r="O150" s="1587"/>
      <c r="P150" s="1587"/>
      <c r="Q150" s="171" t="s">
        <v>1280</v>
      </c>
    </row>
    <row r="151" spans="2:17" ht="18">
      <c r="B151" s="1156"/>
      <c r="C151" s="541"/>
      <c r="D151" s="546"/>
    </row>
    <row r="152" spans="2:17" ht="16" customHeight="1">
      <c r="B152" s="541"/>
      <c r="C152" s="541"/>
      <c r="D152" s="1663" t="s">
        <v>1375</v>
      </c>
      <c r="E152" s="1145" t="s">
        <v>790</v>
      </c>
      <c r="F152" s="1146"/>
      <c r="G152" s="1147"/>
      <c r="H152" s="1147">
        <v>134</v>
      </c>
      <c r="I152" s="1147">
        <v>4.9000000000000004</v>
      </c>
      <c r="J152" s="1147"/>
      <c r="K152" s="1146"/>
      <c r="L152" s="1146"/>
      <c r="M152" s="1146"/>
      <c r="N152" s="1148"/>
      <c r="O152" s="1148"/>
      <c r="Q152" s="703" t="s">
        <v>1260</v>
      </c>
    </row>
    <row r="153" spans="2:17" ht="16" customHeight="1">
      <c r="B153" s="541"/>
      <c r="C153" s="541"/>
      <c r="D153" s="1662"/>
      <c r="E153" s="1145"/>
      <c r="F153" s="1146"/>
      <c r="G153" s="1147"/>
      <c r="H153" s="1147"/>
      <c r="I153" s="1147"/>
      <c r="J153" s="1147"/>
      <c r="K153" s="1146"/>
      <c r="L153" s="1146"/>
      <c r="M153" s="1146"/>
      <c r="N153" s="1148"/>
      <c r="O153" s="1148"/>
    </row>
    <row r="154" spans="2:17" ht="16" customHeight="1">
      <c r="B154" s="541"/>
      <c r="C154" s="541"/>
      <c r="D154" s="1692" t="s">
        <v>1281</v>
      </c>
      <c r="E154" s="1145" t="s">
        <v>790</v>
      </c>
      <c r="F154" s="1146"/>
      <c r="G154" s="1147"/>
      <c r="H154" s="1147">
        <v>127</v>
      </c>
      <c r="I154" s="1147">
        <v>4.5999999999999996</v>
      </c>
      <c r="J154" s="1147"/>
      <c r="K154" s="1146"/>
      <c r="L154" s="1146"/>
      <c r="M154" s="1146"/>
      <c r="N154" s="1148"/>
      <c r="O154" s="1148"/>
    </row>
    <row r="155" spans="2:17" ht="16" customHeight="1">
      <c r="B155" s="541"/>
      <c r="C155" s="541"/>
      <c r="D155" s="1692"/>
      <c r="E155" s="1145"/>
      <c r="F155" s="1146"/>
      <c r="G155" s="1147"/>
      <c r="H155" s="1147"/>
      <c r="I155" s="1147"/>
      <c r="J155" s="1147"/>
      <c r="K155" s="1146"/>
      <c r="L155" s="1146"/>
      <c r="M155" s="1146"/>
      <c r="N155" s="1148"/>
      <c r="O155" s="1148"/>
    </row>
    <row r="156" spans="2:17" ht="16" customHeight="1">
      <c r="D156" s="1662" t="s">
        <v>1284</v>
      </c>
      <c r="E156" s="1145" t="s">
        <v>790</v>
      </c>
      <c r="F156" s="1146"/>
      <c r="G156" s="1147"/>
      <c r="H156" s="1147">
        <v>132</v>
      </c>
      <c r="I156" s="1147">
        <v>4.8</v>
      </c>
      <c r="J156" s="1147"/>
      <c r="K156" s="1146"/>
      <c r="L156" s="1146"/>
      <c r="M156" s="1146"/>
      <c r="N156" s="1148"/>
      <c r="O156" s="1148"/>
      <c r="Q156" s="703" t="s">
        <v>1262</v>
      </c>
    </row>
    <row r="157" spans="2:17" ht="16" customHeight="1">
      <c r="D157" s="1662"/>
      <c r="E157" s="1145"/>
      <c r="F157" s="1146"/>
      <c r="G157" s="1147"/>
      <c r="H157" s="1147"/>
      <c r="I157" s="1147"/>
      <c r="J157" s="1147"/>
      <c r="K157" s="1146"/>
      <c r="L157" s="1146"/>
      <c r="M157" s="1146"/>
      <c r="N157" s="1148"/>
      <c r="O157" s="1148"/>
    </row>
    <row r="158" spans="2:17" ht="18" thickBot="1">
      <c r="B158" s="1151"/>
      <c r="D158" s="1142"/>
    </row>
    <row r="159" spans="2:17" ht="16" customHeight="1">
      <c r="C159" s="652"/>
      <c r="D159" s="1689" t="s">
        <v>438</v>
      </c>
      <c r="E159" s="1666" t="s">
        <v>790</v>
      </c>
      <c r="F159" s="1668">
        <f>H159*$F$118</f>
        <v>144.15815760266372</v>
      </c>
      <c r="G159" s="1670">
        <f>I159*$G$186</f>
        <v>5.3396419437340166</v>
      </c>
      <c r="H159" s="1668">
        <f>AVERAGE(H152:H158)</f>
        <v>131</v>
      </c>
      <c r="I159" s="1670">
        <f>AVERAGE(I152:I156)</f>
        <v>4.7666666666666666</v>
      </c>
      <c r="J159" s="1670"/>
      <c r="K159" s="1668"/>
      <c r="L159" s="1668"/>
      <c r="M159" s="1668"/>
      <c r="N159" s="1672"/>
      <c r="O159" s="1672">
        <f>MRB_die_bestel_klein</f>
        <v>25.333333333333332</v>
      </c>
      <c r="P159" s="1687">
        <f>151/3</f>
        <v>50.333333333333336</v>
      </c>
    </row>
    <row r="160" spans="2:17" ht="16" customHeight="1" thickBot="1">
      <c r="D160" s="1690"/>
      <c r="E160" s="1667"/>
      <c r="F160" s="1669"/>
      <c r="G160" s="1671"/>
      <c r="H160" s="1669"/>
      <c r="I160" s="1671"/>
      <c r="J160" s="1671"/>
      <c r="K160" s="1669"/>
      <c r="L160" s="1669"/>
      <c r="M160" s="1669"/>
      <c r="N160" s="1673"/>
      <c r="O160" s="1673"/>
      <c r="P160" s="1688"/>
    </row>
    <row r="161" spans="2:16" ht="17">
      <c r="B161" s="1151"/>
    </row>
    <row r="162" spans="2:16">
      <c r="B162" s="1004" t="s">
        <v>439</v>
      </c>
      <c r="F162" s="1637" t="s">
        <v>1371</v>
      </c>
      <c r="G162" s="1637"/>
      <c r="H162" s="1588" t="s">
        <v>518</v>
      </c>
      <c r="I162" s="1588"/>
    </row>
    <row r="163" spans="2:16" ht="16" customHeight="1">
      <c r="B163" s="1660"/>
      <c r="C163" s="1660"/>
      <c r="D163" s="1587" t="s">
        <v>315</v>
      </c>
      <c r="E163" s="1587" t="s">
        <v>316</v>
      </c>
      <c r="F163" s="1587" t="s">
        <v>324</v>
      </c>
      <c r="G163" s="1587" t="s">
        <v>325</v>
      </c>
      <c r="H163" s="1587" t="s">
        <v>324</v>
      </c>
      <c r="I163" s="1587" t="s">
        <v>1376</v>
      </c>
      <c r="J163" s="1587" t="s">
        <v>417</v>
      </c>
      <c r="K163" s="1587" t="s">
        <v>418</v>
      </c>
      <c r="L163" s="1587" t="s">
        <v>326</v>
      </c>
      <c r="M163" s="1004" t="s">
        <v>419</v>
      </c>
      <c r="N163" s="1587" t="s">
        <v>420</v>
      </c>
      <c r="O163" s="1587" t="s">
        <v>1316</v>
      </c>
      <c r="P163" s="1587" t="s">
        <v>1317</v>
      </c>
    </row>
    <row r="164" spans="2:16" ht="16" customHeight="1">
      <c r="B164" s="1660"/>
      <c r="C164" s="1660"/>
      <c r="D164" s="1587"/>
      <c r="E164" s="1587"/>
      <c r="F164" s="1587"/>
      <c r="G164" s="1587"/>
      <c r="H164" s="1587"/>
      <c r="I164" s="1587"/>
      <c r="J164" s="1587"/>
      <c r="K164" s="1587"/>
      <c r="L164" s="1587"/>
      <c r="M164" s="1004" t="s">
        <v>421</v>
      </c>
      <c r="N164" s="1587"/>
      <c r="O164" s="1587"/>
      <c r="P164" s="1587"/>
    </row>
    <row r="165" spans="2:16" ht="16" customHeight="1">
      <c r="B165" s="1152"/>
      <c r="C165" s="1152"/>
      <c r="D165" s="1157"/>
      <c r="E165" s="1133"/>
      <c r="F165" s="1133"/>
      <c r="G165" s="1133"/>
      <c r="H165" s="1133"/>
      <c r="I165" s="1133"/>
      <c r="J165" s="1133"/>
      <c r="K165" s="1133"/>
      <c r="L165" s="1133"/>
      <c r="M165" s="1004"/>
      <c r="N165" s="1133"/>
      <c r="O165" s="1133"/>
    </row>
    <row r="166" spans="2:16" ht="16" customHeight="1">
      <c r="B166" s="1674" t="s">
        <v>1380</v>
      </c>
      <c r="C166" s="1674"/>
      <c r="D166" s="1674"/>
      <c r="E166" s="1133"/>
      <c r="F166" s="1133"/>
      <c r="G166" s="1133"/>
      <c r="H166" s="1133"/>
      <c r="I166" s="1133"/>
      <c r="J166" s="1133"/>
      <c r="K166" s="1133"/>
      <c r="L166" s="1133"/>
      <c r="M166" s="1004"/>
      <c r="N166" s="1133"/>
      <c r="O166" s="1133"/>
    </row>
    <row r="167" spans="2:16" ht="16" customHeight="1">
      <c r="B167" s="1674"/>
      <c r="C167" s="1674"/>
      <c r="D167" s="1674"/>
      <c r="E167" s="1133"/>
      <c r="F167" s="1133"/>
      <c r="G167" s="1133"/>
      <c r="H167" s="1133"/>
      <c r="I167" s="1133"/>
      <c r="J167" s="1133"/>
      <c r="K167" s="1133"/>
      <c r="L167" s="1133"/>
      <c r="M167" s="1004"/>
      <c r="N167" s="1133"/>
      <c r="O167" s="1133"/>
    </row>
    <row r="168" spans="2:16" ht="16" customHeight="1" thickBot="1">
      <c r="B168" s="1152"/>
      <c r="C168" s="1152"/>
      <c r="D168" s="1157"/>
      <c r="E168" s="1133"/>
      <c r="F168" s="1133"/>
      <c r="G168" s="1133"/>
      <c r="H168" s="1133"/>
      <c r="I168" s="1133"/>
      <c r="J168" s="1133"/>
      <c r="K168" s="1133"/>
      <c r="L168" s="1133"/>
      <c r="M168" s="1004"/>
      <c r="N168" s="1133"/>
      <c r="O168" s="1133"/>
    </row>
    <row r="169" spans="2:16" ht="16" customHeight="1">
      <c r="C169" s="652"/>
      <c r="D169" s="1664" t="s">
        <v>1287</v>
      </c>
      <c r="E169" s="1666" t="s">
        <v>163</v>
      </c>
      <c r="F169" s="1668"/>
      <c r="G169" s="1670"/>
      <c r="H169" s="1154"/>
      <c r="I169" s="1154"/>
      <c r="J169" s="1670"/>
      <c r="K169" s="1668"/>
      <c r="L169" s="1668"/>
      <c r="M169" s="1668"/>
      <c r="N169" s="1672"/>
      <c r="O169" s="1672"/>
      <c r="P169" s="1687"/>
    </row>
    <row r="170" spans="2:16" ht="16" customHeight="1" thickBot="1">
      <c r="D170" s="1665"/>
      <c r="E170" s="1667"/>
      <c r="F170" s="1669"/>
      <c r="G170" s="1671"/>
      <c r="H170" s="1155"/>
      <c r="I170" s="1155"/>
      <c r="J170" s="1671"/>
      <c r="K170" s="1669"/>
      <c r="L170" s="1669"/>
      <c r="M170" s="1669"/>
      <c r="N170" s="1673"/>
      <c r="O170" s="1673"/>
      <c r="P170" s="1688"/>
    </row>
    <row r="171" spans="2:16" ht="17">
      <c r="B171" s="1151"/>
    </row>
    <row r="172" spans="2:16" ht="17">
      <c r="B172" s="1151"/>
    </row>
    <row r="173" spans="2:16">
      <c r="B173" s="1004" t="s">
        <v>449</v>
      </c>
      <c r="F173" s="1637" t="s">
        <v>1371</v>
      </c>
      <c r="G173" s="1637"/>
      <c r="H173" s="1588" t="s">
        <v>518</v>
      </c>
      <c r="I173" s="1588"/>
    </row>
    <row r="174" spans="2:16" ht="16" customHeight="1">
      <c r="B174" s="1660"/>
      <c r="C174" s="1660"/>
      <c r="D174" s="1587" t="s">
        <v>315</v>
      </c>
      <c r="E174" s="1587" t="s">
        <v>316</v>
      </c>
      <c r="F174" s="1587" t="s">
        <v>324</v>
      </c>
      <c r="G174" s="1587" t="s">
        <v>325</v>
      </c>
      <c r="H174" s="1587" t="s">
        <v>324</v>
      </c>
      <c r="I174" s="1587" t="s">
        <v>1376</v>
      </c>
      <c r="J174" s="1587" t="s">
        <v>417</v>
      </c>
      <c r="K174" s="1587" t="s">
        <v>418</v>
      </c>
      <c r="L174" s="1587" t="s">
        <v>326</v>
      </c>
      <c r="M174" s="1004" t="s">
        <v>419</v>
      </c>
      <c r="N174" s="1587" t="s">
        <v>420</v>
      </c>
      <c r="O174" s="1587" t="s">
        <v>1316</v>
      </c>
      <c r="P174" s="1587" t="s">
        <v>1317</v>
      </c>
    </row>
    <row r="175" spans="2:16" ht="16" customHeight="1">
      <c r="B175" s="1660"/>
      <c r="C175" s="1660"/>
      <c r="D175" s="1587"/>
      <c r="E175" s="1587"/>
      <c r="F175" s="1587"/>
      <c r="G175" s="1587"/>
      <c r="H175" s="1587"/>
      <c r="I175" s="1587"/>
      <c r="J175" s="1587"/>
      <c r="K175" s="1587"/>
      <c r="L175" s="1587"/>
      <c r="M175" s="1004" t="s">
        <v>421</v>
      </c>
      <c r="N175" s="1587"/>
      <c r="O175" s="1587"/>
      <c r="P175" s="1587"/>
    </row>
    <row r="176" spans="2:16" ht="18">
      <c r="B176" s="1144"/>
      <c r="D176" s="1691" t="s">
        <v>1381</v>
      </c>
      <c r="E176" s="171" t="s">
        <v>1322</v>
      </c>
      <c r="H176" s="171">
        <v>239</v>
      </c>
      <c r="I176" s="171">
        <v>6.3</v>
      </c>
      <c r="L176" s="171">
        <v>2400</v>
      </c>
      <c r="M176" s="171">
        <v>1000</v>
      </c>
      <c r="N176" s="707">
        <v>35000</v>
      </c>
    </row>
    <row r="177" spans="2:16" ht="17">
      <c r="B177" s="1151"/>
      <c r="D177" s="1691"/>
    </row>
    <row r="178" spans="2:16" ht="17">
      <c r="B178" s="1151"/>
      <c r="D178" s="1691" t="s">
        <v>1382</v>
      </c>
      <c r="E178" s="171" t="s">
        <v>1322</v>
      </c>
      <c r="H178" s="171">
        <v>239</v>
      </c>
      <c r="I178" s="171">
        <v>6.5</v>
      </c>
    </row>
    <row r="179" spans="2:16" ht="17">
      <c r="B179" s="1151"/>
      <c r="D179" s="1691"/>
    </row>
    <row r="180" spans="2:16" ht="18" thickBot="1">
      <c r="B180" s="1151"/>
    </row>
    <row r="181" spans="2:16" ht="16" customHeight="1">
      <c r="C181" s="652"/>
      <c r="D181" s="1689" t="s">
        <v>438</v>
      </c>
      <c r="E181" s="1666" t="s">
        <v>163</v>
      </c>
      <c r="F181" s="1668">
        <f>H181*$F$186</f>
        <v>263.00610432852386</v>
      </c>
      <c r="G181" s="1670">
        <f>I181*$G$186</f>
        <v>7.1693094629156029</v>
      </c>
      <c r="H181" s="1668">
        <f>AVERAGE(H174:H180)</f>
        <v>239</v>
      </c>
      <c r="I181" s="1670">
        <f>AVERAGE(I174:I178)</f>
        <v>6.4</v>
      </c>
      <c r="J181" s="1670"/>
      <c r="K181" s="1668"/>
      <c r="L181" s="1668"/>
      <c r="M181" s="1668"/>
      <c r="N181" s="1672">
        <v>35000</v>
      </c>
      <c r="O181" s="1672">
        <f>MRB_die_bestel_groot</f>
        <v>37.333333333333336</v>
      </c>
      <c r="P181" s="1687">
        <f>322/3</f>
        <v>107.33333333333333</v>
      </c>
    </row>
    <row r="182" spans="2:16" ht="16" customHeight="1" thickBot="1">
      <c r="D182" s="1690"/>
      <c r="E182" s="1667"/>
      <c r="F182" s="1669"/>
      <c r="G182" s="1671"/>
      <c r="H182" s="1669"/>
      <c r="I182" s="1671"/>
      <c r="J182" s="1671"/>
      <c r="K182" s="1669"/>
      <c r="L182" s="1669"/>
      <c r="M182" s="1669"/>
      <c r="N182" s="1673"/>
      <c r="O182" s="1673"/>
      <c r="P182" s="1688"/>
    </row>
    <row r="184" spans="2:16" ht="17" thickBot="1"/>
    <row r="185" spans="2:16">
      <c r="D185" s="1134" t="s">
        <v>1365</v>
      </c>
      <c r="E185" s="646" t="s">
        <v>134</v>
      </c>
      <c r="F185" s="1135">
        <f>AVERAGE(F36,F60,F84)</f>
        <v>1.2778132571096128</v>
      </c>
      <c r="G185" s="1136">
        <f>AVERAGE(G36,G60,G84)</f>
        <v>1.3276882966832779</v>
      </c>
    </row>
    <row r="186" spans="2:16" ht="17" thickBot="1">
      <c r="D186" s="590"/>
      <c r="E186" s="687" t="s">
        <v>163</v>
      </c>
      <c r="F186" s="1137">
        <f>AVERAGE(F118,F129,F140)</f>
        <v>1.1004439511653719</v>
      </c>
      <c r="G186" s="1138">
        <f>AVERAGE(G118,G129,G140)</f>
        <v>1.1202046035805628</v>
      </c>
    </row>
    <row r="190" spans="2:16">
      <c r="B190" s="652" t="s">
        <v>45</v>
      </c>
    </row>
    <row r="191" spans="2:16">
      <c r="B191" s="171" t="s">
        <v>73</v>
      </c>
      <c r="E191" s="703" t="s">
        <v>74</v>
      </c>
    </row>
    <row r="192" spans="2:16">
      <c r="B192" s="171" t="s">
        <v>458</v>
      </c>
      <c r="E192" s="171" t="s">
        <v>98</v>
      </c>
    </row>
    <row r="193" spans="1:5">
      <c r="A193" s="984" t="s">
        <v>399</v>
      </c>
      <c r="B193" s="171" t="s">
        <v>1318</v>
      </c>
      <c r="E193" s="703" t="s">
        <v>1319</v>
      </c>
    </row>
    <row r="194" spans="1:5">
      <c r="B194" s="171" t="s">
        <v>1372</v>
      </c>
    </row>
    <row r="195" spans="1:5">
      <c r="B195" s="171" t="s">
        <v>1326</v>
      </c>
      <c r="E195" s="1158" t="s">
        <v>1325</v>
      </c>
    </row>
  </sheetData>
  <sheetProtection algorithmName="SHA-512" hashValue="n+PM0sNbGr2LFUTHkTJ0AAfakQ/5YDJdL6xRR0umhHxAgcp9bHD7MExVRWjmRvLiSHb1RFl5zqGf+pdHqFH4tA==" saltValue="yML7LaoDySHiK0HaxKBmig==" spinCount="100000" sheet="1" objects="1" scenarios="1"/>
  <mergeCells count="600">
    <mergeCell ref="H148:I148"/>
    <mergeCell ref="H162:I162"/>
    <mergeCell ref="H173:I173"/>
    <mergeCell ref="H163:H164"/>
    <mergeCell ref="I163:I164"/>
    <mergeCell ref="H174:H175"/>
    <mergeCell ref="I174:I175"/>
    <mergeCell ref="D154:D155"/>
    <mergeCell ref="H159:H160"/>
    <mergeCell ref="I159:I160"/>
    <mergeCell ref="B166:D167"/>
    <mergeCell ref="D169:D170"/>
    <mergeCell ref="E169:E170"/>
    <mergeCell ref="F169:F170"/>
    <mergeCell ref="G169:G170"/>
    <mergeCell ref="H82:H83"/>
    <mergeCell ref="I82:I83"/>
    <mergeCell ref="H116:H117"/>
    <mergeCell ref="I116:I117"/>
    <mergeCell ref="B124:D125"/>
    <mergeCell ref="H67:H68"/>
    <mergeCell ref="I67:I68"/>
    <mergeCell ref="H69:H70"/>
    <mergeCell ref="I69:I70"/>
    <mergeCell ref="H71:H72"/>
    <mergeCell ref="I71:I72"/>
    <mergeCell ref="H73:H74"/>
    <mergeCell ref="I73:I74"/>
    <mergeCell ref="H75:H76"/>
    <mergeCell ref="I75:I76"/>
    <mergeCell ref="B73:B74"/>
    <mergeCell ref="C73:C74"/>
    <mergeCell ref="D73:D74"/>
    <mergeCell ref="F73:F74"/>
    <mergeCell ref="G73:G74"/>
    <mergeCell ref="B77:B78"/>
    <mergeCell ref="C77:C78"/>
    <mergeCell ref="D77:D78"/>
    <mergeCell ref="F77:F78"/>
    <mergeCell ref="I49:I50"/>
    <mergeCell ref="H51:H52"/>
    <mergeCell ref="I51:I52"/>
    <mergeCell ref="H53:H54"/>
    <mergeCell ref="I53:I54"/>
    <mergeCell ref="H55:H56"/>
    <mergeCell ref="I55:I56"/>
    <mergeCell ref="H58:H59"/>
    <mergeCell ref="I58:I59"/>
    <mergeCell ref="H9:I9"/>
    <mergeCell ref="H38:I38"/>
    <mergeCell ref="H62:I62"/>
    <mergeCell ref="H91:I91"/>
    <mergeCell ref="H120:I120"/>
    <mergeCell ref="H131:I131"/>
    <mergeCell ref="H132:H133"/>
    <mergeCell ref="I132:I133"/>
    <mergeCell ref="H121:H122"/>
    <mergeCell ref="I121:I122"/>
    <mergeCell ref="H92:H93"/>
    <mergeCell ref="I92:I93"/>
    <mergeCell ref="H63:H64"/>
    <mergeCell ref="I63:I64"/>
    <mergeCell ref="H39:H40"/>
    <mergeCell ref="I39:I40"/>
    <mergeCell ref="H10:H11"/>
    <mergeCell ref="I10:I11"/>
    <mergeCell ref="H12:H13"/>
    <mergeCell ref="I12:I13"/>
    <mergeCell ref="H14:H15"/>
    <mergeCell ref="I14:I15"/>
    <mergeCell ref="H16:H17"/>
    <mergeCell ref="I16:I17"/>
    <mergeCell ref="O181:O182"/>
    <mergeCell ref="P181:P182"/>
    <mergeCell ref="F9:G9"/>
    <mergeCell ref="F38:G38"/>
    <mergeCell ref="F62:G62"/>
    <mergeCell ref="F91:G91"/>
    <mergeCell ref="F120:G120"/>
    <mergeCell ref="F131:G131"/>
    <mergeCell ref="F148:G148"/>
    <mergeCell ref="F162:G162"/>
    <mergeCell ref="F173:G173"/>
    <mergeCell ref="O169:O170"/>
    <mergeCell ref="P169:P170"/>
    <mergeCell ref="N174:N175"/>
    <mergeCell ref="O174:O175"/>
    <mergeCell ref="P174:P175"/>
    <mergeCell ref="N159:N160"/>
    <mergeCell ref="O159:O160"/>
    <mergeCell ref="P159:P160"/>
    <mergeCell ref="N163:N164"/>
    <mergeCell ref="O163:O164"/>
    <mergeCell ref="P163:P164"/>
    <mergeCell ref="P10:P11"/>
    <mergeCell ref="O127:O128"/>
    <mergeCell ref="J181:J182"/>
    <mergeCell ref="K181:K182"/>
    <mergeCell ref="L181:L182"/>
    <mergeCell ref="M181:M182"/>
    <mergeCell ref="N181:N182"/>
    <mergeCell ref="B174:B175"/>
    <mergeCell ref="C174:C175"/>
    <mergeCell ref="D174:D175"/>
    <mergeCell ref="E174:E175"/>
    <mergeCell ref="F174:F175"/>
    <mergeCell ref="G174:G175"/>
    <mergeCell ref="J174:J175"/>
    <mergeCell ref="K174:K175"/>
    <mergeCell ref="L174:L175"/>
    <mergeCell ref="D176:D177"/>
    <mergeCell ref="D178:D179"/>
    <mergeCell ref="H181:H182"/>
    <mergeCell ref="I181:I182"/>
    <mergeCell ref="D181:D182"/>
    <mergeCell ref="E181:E182"/>
    <mergeCell ref="F181:F182"/>
    <mergeCell ref="G181:G182"/>
    <mergeCell ref="J169:J170"/>
    <mergeCell ref="K169:K170"/>
    <mergeCell ref="L169:L170"/>
    <mergeCell ref="M169:M170"/>
    <mergeCell ref="N169:N170"/>
    <mergeCell ref="B163:B164"/>
    <mergeCell ref="C163:C164"/>
    <mergeCell ref="D163:D164"/>
    <mergeCell ref="E163:E164"/>
    <mergeCell ref="F163:F164"/>
    <mergeCell ref="G163:G164"/>
    <mergeCell ref="J163:J164"/>
    <mergeCell ref="K163:K164"/>
    <mergeCell ref="L163:L164"/>
    <mergeCell ref="J149:J150"/>
    <mergeCell ref="K149:K150"/>
    <mergeCell ref="L149:L150"/>
    <mergeCell ref="N149:N150"/>
    <mergeCell ref="O149:O150"/>
    <mergeCell ref="P149:P150"/>
    <mergeCell ref="D159:D160"/>
    <mergeCell ref="E159:E160"/>
    <mergeCell ref="F159:F160"/>
    <mergeCell ref="G159:G160"/>
    <mergeCell ref="J159:J160"/>
    <mergeCell ref="K159:K160"/>
    <mergeCell ref="L159:L160"/>
    <mergeCell ref="M159:M160"/>
    <mergeCell ref="D152:D153"/>
    <mergeCell ref="D156:D157"/>
    <mergeCell ref="H149:H150"/>
    <mergeCell ref="I149:I150"/>
    <mergeCell ref="Q10:Q11"/>
    <mergeCell ref="P34:P35"/>
    <mergeCell ref="P58:P59"/>
    <mergeCell ref="P82:P83"/>
    <mergeCell ref="P116:P117"/>
    <mergeCell ref="P127:P128"/>
    <mergeCell ref="P138:P139"/>
    <mergeCell ref="P39:P40"/>
    <mergeCell ref="P63:P64"/>
    <mergeCell ref="P92:P93"/>
    <mergeCell ref="P121:P122"/>
    <mergeCell ref="P132:P133"/>
    <mergeCell ref="D127:D128"/>
    <mergeCell ref="E127:E128"/>
    <mergeCell ref="F127:F128"/>
    <mergeCell ref="G127:G128"/>
    <mergeCell ref="J127:J128"/>
    <mergeCell ref="K127:K128"/>
    <mergeCell ref="L127:L128"/>
    <mergeCell ref="M127:M128"/>
    <mergeCell ref="N127:N128"/>
    <mergeCell ref="B41:B42"/>
    <mergeCell ref="C41:C42"/>
    <mergeCell ref="D41:D42"/>
    <mergeCell ref="F41:F42"/>
    <mergeCell ref="G41:G42"/>
    <mergeCell ref="J41:J42"/>
    <mergeCell ref="K41:K42"/>
    <mergeCell ref="L41:L42"/>
    <mergeCell ref="B39:B40"/>
    <mergeCell ref="C39:C40"/>
    <mergeCell ref="D39:D40"/>
    <mergeCell ref="F39:F40"/>
    <mergeCell ref="G39:G40"/>
    <mergeCell ref="J39:J40"/>
    <mergeCell ref="K39:K40"/>
    <mergeCell ref="E39:E40"/>
    <mergeCell ref="E41:E42"/>
    <mergeCell ref="L39:L40"/>
    <mergeCell ref="H41:H42"/>
    <mergeCell ref="I41:I42"/>
    <mergeCell ref="B43:B44"/>
    <mergeCell ref="C43:C44"/>
    <mergeCell ref="D43:D44"/>
    <mergeCell ref="F43:F44"/>
    <mergeCell ref="G43:G44"/>
    <mergeCell ref="J43:J44"/>
    <mergeCell ref="K43:K44"/>
    <mergeCell ref="L43:L44"/>
    <mergeCell ref="B45:B46"/>
    <mergeCell ref="C45:C46"/>
    <mergeCell ref="D45:D46"/>
    <mergeCell ref="F45:F46"/>
    <mergeCell ref="G45:G46"/>
    <mergeCell ref="J45:J46"/>
    <mergeCell ref="K45:K46"/>
    <mergeCell ref="L45:L46"/>
    <mergeCell ref="E43:E44"/>
    <mergeCell ref="H43:H44"/>
    <mergeCell ref="I43:I44"/>
    <mergeCell ref="H45:H46"/>
    <mergeCell ref="I45:I46"/>
    <mergeCell ref="B51:B52"/>
    <mergeCell ref="C51:C52"/>
    <mergeCell ref="D51:D52"/>
    <mergeCell ref="F51:F52"/>
    <mergeCell ref="G51:G52"/>
    <mergeCell ref="J51:J52"/>
    <mergeCell ref="K51:K52"/>
    <mergeCell ref="L51:L52"/>
    <mergeCell ref="M47:M48"/>
    <mergeCell ref="B49:B50"/>
    <mergeCell ref="C49:C50"/>
    <mergeCell ref="D49:D50"/>
    <mergeCell ref="F49:F50"/>
    <mergeCell ref="G49:G50"/>
    <mergeCell ref="J49:J50"/>
    <mergeCell ref="K49:K50"/>
    <mergeCell ref="L49:L50"/>
    <mergeCell ref="B47:B48"/>
    <mergeCell ref="C47:C48"/>
    <mergeCell ref="D47:D48"/>
    <mergeCell ref="F47:F48"/>
    <mergeCell ref="G47:G48"/>
    <mergeCell ref="J47:J48"/>
    <mergeCell ref="K47:K48"/>
    <mergeCell ref="B63:B64"/>
    <mergeCell ref="C63:C64"/>
    <mergeCell ref="D63:D64"/>
    <mergeCell ref="F63:F64"/>
    <mergeCell ref="G63:G64"/>
    <mergeCell ref="J63:J64"/>
    <mergeCell ref="K63:K64"/>
    <mergeCell ref="L63:L64"/>
    <mergeCell ref="M53:M54"/>
    <mergeCell ref="B55:B56"/>
    <mergeCell ref="C55:C56"/>
    <mergeCell ref="D55:D56"/>
    <mergeCell ref="F55:F56"/>
    <mergeCell ref="G55:G56"/>
    <mergeCell ref="J55:J56"/>
    <mergeCell ref="K55:K56"/>
    <mergeCell ref="L55:L56"/>
    <mergeCell ref="B53:B54"/>
    <mergeCell ref="C53:C54"/>
    <mergeCell ref="D53:D54"/>
    <mergeCell ref="F53:F54"/>
    <mergeCell ref="G53:G54"/>
    <mergeCell ref="J53:J54"/>
    <mergeCell ref="K53:K54"/>
    <mergeCell ref="N65:N66"/>
    <mergeCell ref="B67:B68"/>
    <mergeCell ref="C67:C68"/>
    <mergeCell ref="D67:D68"/>
    <mergeCell ref="F67:F68"/>
    <mergeCell ref="G67:G68"/>
    <mergeCell ref="J67:J68"/>
    <mergeCell ref="K67:K68"/>
    <mergeCell ref="L67:L68"/>
    <mergeCell ref="M67:M68"/>
    <mergeCell ref="B65:B66"/>
    <mergeCell ref="C65:C66"/>
    <mergeCell ref="D65:D66"/>
    <mergeCell ref="F65:F66"/>
    <mergeCell ref="G65:G66"/>
    <mergeCell ref="J65:J66"/>
    <mergeCell ref="K65:K66"/>
    <mergeCell ref="L65:L66"/>
    <mergeCell ref="M65:M66"/>
    <mergeCell ref="N67:N68"/>
    <mergeCell ref="E65:E66"/>
    <mergeCell ref="E67:E68"/>
    <mergeCell ref="H65:H66"/>
    <mergeCell ref="I65:I66"/>
    <mergeCell ref="N71:N72"/>
    <mergeCell ref="E69:E70"/>
    <mergeCell ref="E71:E72"/>
    <mergeCell ref="B69:B70"/>
    <mergeCell ref="C69:C70"/>
    <mergeCell ref="D69:D70"/>
    <mergeCell ref="F69:F70"/>
    <mergeCell ref="G69:G70"/>
    <mergeCell ref="J69:J70"/>
    <mergeCell ref="K69:K70"/>
    <mergeCell ref="L69:L70"/>
    <mergeCell ref="M69:M70"/>
    <mergeCell ref="B71:B72"/>
    <mergeCell ref="C71:C72"/>
    <mergeCell ref="D71:D72"/>
    <mergeCell ref="F71:F72"/>
    <mergeCell ref="G71:G72"/>
    <mergeCell ref="J71:J72"/>
    <mergeCell ref="K71:K72"/>
    <mergeCell ref="L71:L72"/>
    <mergeCell ref="M71:M72"/>
    <mergeCell ref="J73:J74"/>
    <mergeCell ref="K73:K74"/>
    <mergeCell ref="L73:L74"/>
    <mergeCell ref="M73:M74"/>
    <mergeCell ref="E73:E74"/>
    <mergeCell ref="B10:B11"/>
    <mergeCell ref="C10:C11"/>
    <mergeCell ref="D10:D11"/>
    <mergeCell ref="F10:F11"/>
    <mergeCell ref="G10:G11"/>
    <mergeCell ref="J10:J11"/>
    <mergeCell ref="K10:K11"/>
    <mergeCell ref="L10:L11"/>
    <mergeCell ref="B12:B13"/>
    <mergeCell ref="C12:C13"/>
    <mergeCell ref="D12:D13"/>
    <mergeCell ref="F12:F13"/>
    <mergeCell ref="G12:G13"/>
    <mergeCell ref="J12:J13"/>
    <mergeCell ref="K12:K13"/>
    <mergeCell ref="L12:L13"/>
    <mergeCell ref="M12:M13"/>
    <mergeCell ref="B14:B15"/>
    <mergeCell ref="C14:C15"/>
    <mergeCell ref="G77:G78"/>
    <mergeCell ref="J77:J78"/>
    <mergeCell ref="K77:K78"/>
    <mergeCell ref="L77:L78"/>
    <mergeCell ref="B75:B76"/>
    <mergeCell ref="C75:C76"/>
    <mergeCell ref="D75:D76"/>
    <mergeCell ref="F75:F76"/>
    <mergeCell ref="G75:G76"/>
    <mergeCell ref="J75:J76"/>
    <mergeCell ref="K75:K76"/>
    <mergeCell ref="L75:L76"/>
    <mergeCell ref="H77:H78"/>
    <mergeCell ref="I77:I78"/>
    <mergeCell ref="D14:D15"/>
    <mergeCell ref="F14:F15"/>
    <mergeCell ref="G14:G15"/>
    <mergeCell ref="J14:J15"/>
    <mergeCell ref="K14:K15"/>
    <mergeCell ref="L14:L15"/>
    <mergeCell ref="M14:M15"/>
    <mergeCell ref="B16:B17"/>
    <mergeCell ref="C16:C17"/>
    <mergeCell ref="D16:D17"/>
    <mergeCell ref="F16:F17"/>
    <mergeCell ref="G16:G17"/>
    <mergeCell ref="J16:J17"/>
    <mergeCell ref="K16:K17"/>
    <mergeCell ref="L16:L17"/>
    <mergeCell ref="M16:M17"/>
    <mergeCell ref="B18:B19"/>
    <mergeCell ref="C18:C19"/>
    <mergeCell ref="D18:D19"/>
    <mergeCell ref="F18:F19"/>
    <mergeCell ref="G18:G19"/>
    <mergeCell ref="J18:J19"/>
    <mergeCell ref="K18:K19"/>
    <mergeCell ref="L18:L19"/>
    <mergeCell ref="M18:M19"/>
    <mergeCell ref="H18:H19"/>
    <mergeCell ref="I18:I19"/>
    <mergeCell ref="B20:B21"/>
    <mergeCell ref="C20:C21"/>
    <mergeCell ref="D20:D21"/>
    <mergeCell ref="F20:F21"/>
    <mergeCell ref="G20:G21"/>
    <mergeCell ref="J20:J21"/>
    <mergeCell ref="K20:K21"/>
    <mergeCell ref="L20:L21"/>
    <mergeCell ref="M20:M21"/>
    <mergeCell ref="H20:H21"/>
    <mergeCell ref="I20:I21"/>
    <mergeCell ref="B22:B23"/>
    <mergeCell ref="C22:C23"/>
    <mergeCell ref="D22:D23"/>
    <mergeCell ref="F22:F23"/>
    <mergeCell ref="G22:G23"/>
    <mergeCell ref="J22:J23"/>
    <mergeCell ref="K22:K23"/>
    <mergeCell ref="L22:L23"/>
    <mergeCell ref="M22:M23"/>
    <mergeCell ref="H22:H23"/>
    <mergeCell ref="I22:I23"/>
    <mergeCell ref="B24:B25"/>
    <mergeCell ref="C24:C25"/>
    <mergeCell ref="D24:D25"/>
    <mergeCell ref="F24:F25"/>
    <mergeCell ref="G24:G25"/>
    <mergeCell ref="J24:J25"/>
    <mergeCell ref="K24:K25"/>
    <mergeCell ref="L24:L25"/>
    <mergeCell ref="M24:M25"/>
    <mergeCell ref="H24:H25"/>
    <mergeCell ref="I24:I25"/>
    <mergeCell ref="B26:B27"/>
    <mergeCell ref="C26:C27"/>
    <mergeCell ref="D26:D27"/>
    <mergeCell ref="F26:F27"/>
    <mergeCell ref="G26:G27"/>
    <mergeCell ref="J26:J27"/>
    <mergeCell ref="K26:K27"/>
    <mergeCell ref="L26:L27"/>
    <mergeCell ref="M26:M27"/>
    <mergeCell ref="E26:E27"/>
    <mergeCell ref="H26:H27"/>
    <mergeCell ref="I26:I27"/>
    <mergeCell ref="B30:B31"/>
    <mergeCell ref="C30:C31"/>
    <mergeCell ref="D30:D31"/>
    <mergeCell ref="F30:F31"/>
    <mergeCell ref="G30:G31"/>
    <mergeCell ref="J30:J31"/>
    <mergeCell ref="K30:K31"/>
    <mergeCell ref="L30:L31"/>
    <mergeCell ref="E30:E31"/>
    <mergeCell ref="H30:H31"/>
    <mergeCell ref="I30:I31"/>
    <mergeCell ref="B28:B29"/>
    <mergeCell ref="C28:C29"/>
    <mergeCell ref="D28:D29"/>
    <mergeCell ref="F28:F29"/>
    <mergeCell ref="G28:G29"/>
    <mergeCell ref="J28:J29"/>
    <mergeCell ref="K28:K29"/>
    <mergeCell ref="L28:L29"/>
    <mergeCell ref="E28:E29"/>
    <mergeCell ref="H28:H29"/>
    <mergeCell ref="I28:I29"/>
    <mergeCell ref="N30:N31"/>
    <mergeCell ref="E10:E11"/>
    <mergeCell ref="E12:E13"/>
    <mergeCell ref="E14:E15"/>
    <mergeCell ref="E16:E17"/>
    <mergeCell ref="E18:E19"/>
    <mergeCell ref="E20:E21"/>
    <mergeCell ref="E22:E23"/>
    <mergeCell ref="E24:E25"/>
    <mergeCell ref="N28:N29"/>
    <mergeCell ref="N26:N27"/>
    <mergeCell ref="N24:N25"/>
    <mergeCell ref="N22:N23"/>
    <mergeCell ref="N20:N21"/>
    <mergeCell ref="N18:N19"/>
    <mergeCell ref="N16:N17"/>
    <mergeCell ref="N14:N15"/>
    <mergeCell ref="N12:N13"/>
    <mergeCell ref="N10:N11"/>
    <mergeCell ref="M30:M31"/>
    <mergeCell ref="M28:M29"/>
    <mergeCell ref="N39:N40"/>
    <mergeCell ref="N41:N42"/>
    <mergeCell ref="M41:M42"/>
    <mergeCell ref="J34:J35"/>
    <mergeCell ref="K34:K35"/>
    <mergeCell ref="D58:D59"/>
    <mergeCell ref="F58:F59"/>
    <mergeCell ref="G58:G59"/>
    <mergeCell ref="E45:E46"/>
    <mergeCell ref="E47:E48"/>
    <mergeCell ref="E49:E50"/>
    <mergeCell ref="E51:E52"/>
    <mergeCell ref="E53:E54"/>
    <mergeCell ref="E55:E56"/>
    <mergeCell ref="D34:D35"/>
    <mergeCell ref="E34:E35"/>
    <mergeCell ref="F34:F35"/>
    <mergeCell ref="G34:G35"/>
    <mergeCell ref="L34:L35"/>
    <mergeCell ref="H34:H35"/>
    <mergeCell ref="I34:I35"/>
    <mergeCell ref="H47:H48"/>
    <mergeCell ref="I47:I48"/>
    <mergeCell ref="H49:H50"/>
    <mergeCell ref="M77:M78"/>
    <mergeCell ref="N73:N74"/>
    <mergeCell ref="M75:M76"/>
    <mergeCell ref="N75:N76"/>
    <mergeCell ref="E75:E76"/>
    <mergeCell ref="N69:N70"/>
    <mergeCell ref="M34:M35"/>
    <mergeCell ref="N34:N35"/>
    <mergeCell ref="E58:E59"/>
    <mergeCell ref="N63:N64"/>
    <mergeCell ref="M55:M56"/>
    <mergeCell ref="N55:N56"/>
    <mergeCell ref="N53:N54"/>
    <mergeCell ref="M51:M52"/>
    <mergeCell ref="N51:N52"/>
    <mergeCell ref="L53:L54"/>
    <mergeCell ref="M49:M50"/>
    <mergeCell ref="N49:N50"/>
    <mergeCell ref="N47:N48"/>
    <mergeCell ref="M45:M46"/>
    <mergeCell ref="N45:N46"/>
    <mergeCell ref="L47:L48"/>
    <mergeCell ref="M43:M44"/>
    <mergeCell ref="N43:N44"/>
    <mergeCell ref="O10:O11"/>
    <mergeCell ref="O39:O40"/>
    <mergeCell ref="O58:O59"/>
    <mergeCell ref="O63:O64"/>
    <mergeCell ref="O34:O35"/>
    <mergeCell ref="O82:O83"/>
    <mergeCell ref="D82:D83"/>
    <mergeCell ref="F82:F83"/>
    <mergeCell ref="G82:G83"/>
    <mergeCell ref="N77:N78"/>
    <mergeCell ref="J58:J59"/>
    <mergeCell ref="K58:K59"/>
    <mergeCell ref="L58:L59"/>
    <mergeCell ref="J82:J83"/>
    <mergeCell ref="K82:K83"/>
    <mergeCell ref="L82:L83"/>
    <mergeCell ref="M82:M83"/>
    <mergeCell ref="N82:N83"/>
    <mergeCell ref="E77:E78"/>
    <mergeCell ref="E79:E80"/>
    <mergeCell ref="E82:E83"/>
    <mergeCell ref="M58:M59"/>
    <mergeCell ref="N58:N59"/>
    <mergeCell ref="E63:E64"/>
    <mergeCell ref="N92:N93"/>
    <mergeCell ref="O92:O93"/>
    <mergeCell ref="B92:B93"/>
    <mergeCell ref="C92:C93"/>
    <mergeCell ref="D92:D93"/>
    <mergeCell ref="E92:E93"/>
    <mergeCell ref="F92:F93"/>
    <mergeCell ref="G92:G93"/>
    <mergeCell ref="J92:J93"/>
    <mergeCell ref="K92:K93"/>
    <mergeCell ref="L92:L93"/>
    <mergeCell ref="B121:B122"/>
    <mergeCell ref="C121:C122"/>
    <mergeCell ref="D121:D122"/>
    <mergeCell ref="E121:E122"/>
    <mergeCell ref="F121:F122"/>
    <mergeCell ref="G121:G122"/>
    <mergeCell ref="J121:J122"/>
    <mergeCell ref="K121:K122"/>
    <mergeCell ref="L121:L122"/>
    <mergeCell ref="N121:N122"/>
    <mergeCell ref="O121:O122"/>
    <mergeCell ref="D116:D117"/>
    <mergeCell ref="E116:E117"/>
    <mergeCell ref="F116:F117"/>
    <mergeCell ref="G116:G117"/>
    <mergeCell ref="J116:J117"/>
    <mergeCell ref="K116:K117"/>
    <mergeCell ref="L116:L117"/>
    <mergeCell ref="M116:M117"/>
    <mergeCell ref="N116:N117"/>
    <mergeCell ref="O116:O117"/>
    <mergeCell ref="B132:B133"/>
    <mergeCell ref="C132:C133"/>
    <mergeCell ref="D132:D133"/>
    <mergeCell ref="B149:B150"/>
    <mergeCell ref="C149:C150"/>
    <mergeCell ref="D149:D150"/>
    <mergeCell ref="E132:E133"/>
    <mergeCell ref="F132:F133"/>
    <mergeCell ref="G132:G133"/>
    <mergeCell ref="E149:E150"/>
    <mergeCell ref="F149:F150"/>
    <mergeCell ref="G149:G150"/>
    <mergeCell ref="B135:D136"/>
    <mergeCell ref="J132:J133"/>
    <mergeCell ref="K132:K133"/>
    <mergeCell ref="L132:L133"/>
    <mergeCell ref="N132:N133"/>
    <mergeCell ref="O132:O133"/>
    <mergeCell ref="D138:D139"/>
    <mergeCell ref="E138:E139"/>
    <mergeCell ref="F138:F139"/>
    <mergeCell ref="G138:G139"/>
    <mergeCell ref="J138:J139"/>
    <mergeCell ref="K138:K139"/>
    <mergeCell ref="L138:L139"/>
    <mergeCell ref="M138:M139"/>
    <mergeCell ref="N138:N139"/>
    <mergeCell ref="O138:O139"/>
    <mergeCell ref="D113:D114"/>
    <mergeCell ref="D95:D96"/>
    <mergeCell ref="D97:D98"/>
    <mergeCell ref="D99:D100"/>
    <mergeCell ref="D101:D102"/>
    <mergeCell ref="D103:D104"/>
    <mergeCell ref="D105:D106"/>
    <mergeCell ref="D107:D108"/>
    <mergeCell ref="D109:D110"/>
    <mergeCell ref="D111:D112"/>
  </mergeCells>
  <hyperlinks>
    <hyperlink ref="E191" r:id="rId1" xr:uid="{9C91DC4D-D942-5949-8F13-89FA35CD6A07}"/>
    <hyperlink ref="Q95" r:id="rId2" location="overlay/content/overlays/download-a-brochure/transit-courier" display="https://www.ford.nl/handige-links/ik-wil/brochures-en-prijslijsten - overlay/content/overlays/download-a-brochure/transit-courier" xr:uid="{A8DB60FE-2894-0C4F-A2CA-67CCE7BFB406}"/>
    <hyperlink ref="Q97" r:id="rId3" display="http://www.citroen-servicevanbeers.nl/BROCHURES/Nemo Prijslijst.pdf" xr:uid="{26466788-FD48-0346-B4A8-99FF60D2ABC8}"/>
    <hyperlink ref="Q99" r:id="rId4" xr:uid="{652EC150-9406-E245-B347-16FC4A9B0122}"/>
    <hyperlink ref="Q105" r:id="rId5" xr:uid="{3EBA910C-A2F7-2C4E-BD55-5F81AEA96D93}"/>
    <hyperlink ref="Q107" r:id="rId6" xr:uid="{8A0BD52E-1C4C-434D-A508-8EE51F96197E}"/>
    <hyperlink ref="Q109" r:id="rId7" xr:uid="{47DB4CE2-0751-7042-8783-30697D1BFB84}"/>
    <hyperlink ref="Q111" r:id="rId8" xr:uid="{11A96742-F334-184B-AF4E-205B7CEDFFEF}"/>
    <hyperlink ref="Q113" r:id="rId9" xr:uid="{F5FCA7EB-AE00-D74B-B75B-EB68F2E9D7BE}"/>
    <hyperlink ref="Q102" r:id="rId10" xr:uid="{9A985192-FEC1-FC40-BBC1-FD1D13474DF7}"/>
    <hyperlink ref="E193" r:id="rId11" xr:uid="{2963FFD8-44F5-F041-BDAD-B69B7FC66A29}"/>
    <hyperlink ref="Q152" r:id="rId12" location="overlay/content/overlays/download-a-brochure/transit-courier" display="https://www.ford.nl/handige-links/ik-wil/brochures-en-prijslijsten - overlay/content/overlays/download-a-brochure/transit-courier" xr:uid="{D1188907-9B76-FC44-A52D-3C29F759F4D0}"/>
    <hyperlink ref="E195" r:id="rId13" xr:uid="{381BFFC1-DC9A-A847-9B07-79AECEF64C2B}"/>
    <hyperlink ref="Q154" r:id="rId14" display="http://www.citroen-servicevanbeers.nl/BROCHURES/Nemo Prijslijst.pdf" xr:uid="{A85BFCF8-F32B-7B4A-AE9E-527D9A8BAB16}"/>
  </hyperlinks>
  <pageMargins left="0.7" right="0.7" top="0.75" bottom="0.75" header="0.3" footer="0.3"/>
  <pageSetup paperSize="9" orientation="portrait" horizontalDpi="0" verticalDpi="0"/>
  <drawing r:id="rId1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D59E8-4C98-3C4A-AEB7-3DB264696E3E}">
  <sheetPr codeName="Blad4">
    <tabColor theme="4"/>
  </sheetPr>
  <dimension ref="B2:I79"/>
  <sheetViews>
    <sheetView topLeftCell="A11" workbookViewId="0">
      <selection activeCell="A11" sqref="A1:XFD1048576"/>
    </sheetView>
  </sheetViews>
  <sheetFormatPr baseColWidth="10" defaultRowHeight="16"/>
  <cols>
    <col min="1" max="1" width="10.83203125" style="171"/>
    <col min="2" max="2" width="42.5" style="171" customWidth="1"/>
    <col min="3" max="3" width="34.83203125" style="171" bestFit="1" customWidth="1"/>
    <col min="4" max="4" width="18.1640625" style="171" bestFit="1" customWidth="1"/>
    <col min="5" max="5" width="13.6640625" style="171" bestFit="1" customWidth="1"/>
    <col min="6" max="6" width="11.6640625" style="171" bestFit="1" customWidth="1"/>
    <col min="7" max="16384" width="10.83203125" style="171"/>
  </cols>
  <sheetData>
    <row r="2" spans="2:9">
      <c r="B2" s="652" t="s">
        <v>803</v>
      </c>
    </row>
    <row r="4" spans="2:9">
      <c r="B4" s="652" t="s">
        <v>804</v>
      </c>
    </row>
    <row r="6" spans="2:9">
      <c r="B6" s="171" t="s">
        <v>795</v>
      </c>
      <c r="F6" s="1085">
        <v>1</v>
      </c>
    </row>
    <row r="7" spans="2:9">
      <c r="B7" s="171" t="s">
        <v>816</v>
      </c>
    </row>
    <row r="8" spans="2:9">
      <c r="B8" s="171" t="s">
        <v>821</v>
      </c>
    </row>
    <row r="9" spans="2:9">
      <c r="H9" s="816"/>
      <c r="I9" s="816"/>
    </row>
    <row r="10" spans="2:9">
      <c r="B10" s="652" t="s">
        <v>794</v>
      </c>
      <c r="C10" s="652" t="s">
        <v>796</v>
      </c>
      <c r="D10" s="652" t="s">
        <v>797</v>
      </c>
      <c r="F10" s="652" t="s">
        <v>124</v>
      </c>
      <c r="G10" s="652" t="s">
        <v>808</v>
      </c>
      <c r="H10" s="816" t="s">
        <v>98</v>
      </c>
      <c r="I10" s="816"/>
    </row>
    <row r="11" spans="2:9">
      <c r="B11" s="652"/>
      <c r="C11" s="732" t="s">
        <v>798</v>
      </c>
      <c r="D11" s="732" t="s">
        <v>799</v>
      </c>
      <c r="F11" s="171" t="s">
        <v>705</v>
      </c>
      <c r="H11" s="171" t="s">
        <v>846</v>
      </c>
    </row>
    <row r="12" spans="2:9">
      <c r="B12" s="171" t="s">
        <v>7</v>
      </c>
      <c r="C12" s="1159"/>
      <c r="D12" s="171">
        <v>3.3</v>
      </c>
      <c r="F12" s="742">
        <f>56/3</f>
        <v>18.666666666666668</v>
      </c>
    </row>
    <row r="13" spans="2:9">
      <c r="B13" s="171" t="s">
        <v>12</v>
      </c>
      <c r="C13" s="564">
        <f>verbr_die_B</f>
        <v>5.2125000000000004</v>
      </c>
      <c r="D13" s="813">
        <f t="shared" ref="D13:D20" si="0">C13*Factor_verbruik_CNG_diesel</f>
        <v>5.2125000000000004</v>
      </c>
      <c r="F13" s="742">
        <f>161/3</f>
        <v>53.666666666666664</v>
      </c>
    </row>
    <row r="14" spans="2:9">
      <c r="B14" s="171" t="s">
        <v>15</v>
      </c>
      <c r="C14" s="564">
        <f>verbr_die_C</f>
        <v>5.4249999999999998</v>
      </c>
      <c r="D14" s="813">
        <f t="shared" si="0"/>
        <v>5.4249999999999998</v>
      </c>
      <c r="F14" s="171">
        <f>234/3</f>
        <v>78</v>
      </c>
    </row>
    <row r="15" spans="2:9">
      <c r="B15" s="171" t="s">
        <v>18</v>
      </c>
      <c r="C15" s="564">
        <f>verbr_die_D</f>
        <v>5.5250000000000004</v>
      </c>
      <c r="D15" s="813">
        <f t="shared" si="0"/>
        <v>5.5250000000000004</v>
      </c>
      <c r="F15" s="742">
        <f>307/3</f>
        <v>102.33333333333333</v>
      </c>
    </row>
    <row r="16" spans="2:9">
      <c r="B16" s="171" t="s">
        <v>21</v>
      </c>
      <c r="C16" s="564">
        <f>verbr_die_E</f>
        <v>6.2750000000000004</v>
      </c>
      <c r="D16" s="813">
        <f t="shared" si="0"/>
        <v>6.2750000000000004</v>
      </c>
      <c r="F16" s="742">
        <f>344/3</f>
        <v>114.66666666666667</v>
      </c>
    </row>
    <row r="17" spans="2:6">
      <c r="B17" s="171" t="s">
        <v>25</v>
      </c>
      <c r="C17" s="564">
        <f>verbr_die_F</f>
        <v>7.2</v>
      </c>
      <c r="D17" s="813">
        <f t="shared" si="0"/>
        <v>7.2</v>
      </c>
      <c r="F17" s="171">
        <f>453/3</f>
        <v>151</v>
      </c>
    </row>
    <row r="18" spans="2:6">
      <c r="B18" s="171" t="s">
        <v>159</v>
      </c>
      <c r="C18" s="564">
        <f>verbr_die_J</f>
        <v>6.1750000000000007</v>
      </c>
      <c r="D18" s="813">
        <f t="shared" si="0"/>
        <v>6.1750000000000007</v>
      </c>
      <c r="F18" s="742">
        <f>161/3</f>
        <v>53.666666666666664</v>
      </c>
    </row>
    <row r="19" spans="2:6">
      <c r="B19" s="171" t="s">
        <v>28</v>
      </c>
      <c r="C19" s="564">
        <f>verbr_die_L</f>
        <v>5.9</v>
      </c>
      <c r="D19" s="813">
        <f t="shared" si="0"/>
        <v>5.9</v>
      </c>
      <c r="F19" s="171">
        <f>234/3</f>
        <v>78</v>
      </c>
    </row>
    <row r="20" spans="2:6">
      <c r="B20" s="171" t="s">
        <v>32</v>
      </c>
      <c r="C20" s="564">
        <f>verbr_die_M</f>
        <v>8.9499999999999993</v>
      </c>
      <c r="D20" s="813">
        <f t="shared" si="0"/>
        <v>8.9499999999999993</v>
      </c>
      <c r="F20" s="742">
        <f>562/3</f>
        <v>187.33333333333334</v>
      </c>
    </row>
    <row r="21" spans="2:6">
      <c r="C21" s="564"/>
      <c r="D21" s="813"/>
    </row>
    <row r="22" spans="2:6">
      <c r="B22" s="171" t="s">
        <v>741</v>
      </c>
      <c r="C22" s="564">
        <f>verbr_die_kleine_taxibus</f>
        <v>6.0750000000000002</v>
      </c>
      <c r="D22" s="813">
        <f>C22*Factor_verbruik_CNG_diesel</f>
        <v>6.0750000000000002</v>
      </c>
    </row>
    <row r="23" spans="2:6">
      <c r="B23" s="171" t="s">
        <v>1229</v>
      </c>
      <c r="C23" s="564">
        <f>verbr_die_middel_taxibus</f>
        <v>7.5750000000000002</v>
      </c>
      <c r="D23" s="813">
        <f>C23*Factor_verbruik_CNG_diesel</f>
        <v>7.5750000000000002</v>
      </c>
    </row>
    <row r="24" spans="2:6">
      <c r="B24" s="171" t="s">
        <v>742</v>
      </c>
      <c r="C24" s="564">
        <f>verbr_die_groot_taxibus</f>
        <v>8.6</v>
      </c>
      <c r="D24" s="813">
        <f>C24*Factor_verbruik_CNG_diesel</f>
        <v>8.6</v>
      </c>
    </row>
    <row r="25" spans="2:6">
      <c r="B25" s="171" t="s">
        <v>714</v>
      </c>
      <c r="C25" s="564">
        <f>verbr_die_rolstoelbus</f>
        <v>9.2000000000000011</v>
      </c>
      <c r="D25" s="813">
        <f>C25*Factor_verbruik_CNG_diesel</f>
        <v>9.2000000000000011</v>
      </c>
    </row>
    <row r="26" spans="2:6">
      <c r="C26" s="732"/>
      <c r="D26" s="813"/>
    </row>
    <row r="27" spans="2:6">
      <c r="B27" s="171" t="s">
        <v>841</v>
      </c>
      <c r="C27" s="1015">
        <f>verbr_die_bestel_klein</f>
        <v>5.7299999999999995</v>
      </c>
      <c r="D27" s="813">
        <f>C27*Factor_verbruik_CNG_diesel</f>
        <v>5.7299999999999995</v>
      </c>
    </row>
    <row r="28" spans="2:6">
      <c r="B28" s="171" t="s">
        <v>842</v>
      </c>
      <c r="C28" s="1015">
        <f>verbr_die_bestel_middel</f>
        <v>8.0833333333333339</v>
      </c>
      <c r="D28" s="1022">
        <v>0</v>
      </c>
      <c r="E28" s="171" t="s">
        <v>1379</v>
      </c>
    </row>
    <row r="29" spans="2:6">
      <c r="B29" s="171" t="s">
        <v>120</v>
      </c>
      <c r="C29" s="1015">
        <f>verbr_die_bestel_groot</f>
        <v>8.6</v>
      </c>
      <c r="D29" s="813">
        <f>C29*Factor_verbruik_CNG_diesel</f>
        <v>8.6</v>
      </c>
    </row>
    <row r="30" spans="2:6">
      <c r="D30" s="813"/>
    </row>
    <row r="31" spans="2:6">
      <c r="B31" s="652" t="s">
        <v>805</v>
      </c>
    </row>
    <row r="33" spans="2:3">
      <c r="B33" s="171" t="s">
        <v>801</v>
      </c>
      <c r="C33" s="1160">
        <f>AVERAGE(5000,2500)</f>
        <v>3750</v>
      </c>
    </row>
    <row r="34" spans="2:3">
      <c r="C34" s="1160"/>
    </row>
    <row r="35" spans="2:3">
      <c r="B35" s="171" t="s">
        <v>813</v>
      </c>
      <c r="C35" s="707">
        <v>5000</v>
      </c>
    </row>
    <row r="36" spans="2:3">
      <c r="B36" s="171" t="s">
        <v>814</v>
      </c>
      <c r="C36" s="707">
        <v>2500</v>
      </c>
    </row>
    <row r="37" spans="2:3">
      <c r="B37" s="171" t="s">
        <v>815</v>
      </c>
    </row>
    <row r="38" spans="2:3">
      <c r="B38" s="171" t="s">
        <v>812</v>
      </c>
    </row>
    <row r="40" spans="2:3">
      <c r="B40" s="652" t="s">
        <v>806</v>
      </c>
    </row>
    <row r="41" spans="2:3">
      <c r="B41" s="171" t="s">
        <v>809</v>
      </c>
    </row>
    <row r="42" spans="2:3">
      <c r="B42" s="171" t="s">
        <v>4357</v>
      </c>
    </row>
    <row r="45" spans="2:3">
      <c r="B45" s="834" t="s">
        <v>808</v>
      </c>
    </row>
    <row r="46" spans="2:3">
      <c r="B46" s="171" t="s">
        <v>807</v>
      </c>
      <c r="C46" s="171" t="s">
        <v>808</v>
      </c>
    </row>
    <row r="47" spans="2:3">
      <c r="C47" s="703" t="s">
        <v>1378</v>
      </c>
    </row>
    <row r="48" spans="2:3">
      <c r="B48" s="652" t="s">
        <v>728</v>
      </c>
    </row>
    <row r="49" spans="2:6">
      <c r="C49" s="171" t="s">
        <v>1253</v>
      </c>
      <c r="D49" s="171" t="s">
        <v>1251</v>
      </c>
      <c r="E49" s="171" t="s">
        <v>1252</v>
      </c>
      <c r="F49" s="171" t="s">
        <v>1254</v>
      </c>
    </row>
    <row r="50" spans="2:6">
      <c r="B50" s="1663" t="s">
        <v>1282</v>
      </c>
      <c r="C50" s="171" t="s">
        <v>158</v>
      </c>
    </row>
    <row r="51" spans="2:6">
      <c r="B51" s="1662"/>
    </row>
    <row r="52" spans="2:6">
      <c r="B52" s="1662" t="s">
        <v>1283</v>
      </c>
      <c r="C52" s="171" t="s">
        <v>158</v>
      </c>
    </row>
    <row r="53" spans="2:6">
      <c r="B53" s="1662"/>
    </row>
    <row r="54" spans="2:6">
      <c r="B54" s="1662" t="s">
        <v>1284</v>
      </c>
      <c r="C54" s="171">
        <v>12075</v>
      </c>
      <c r="D54" s="171">
        <v>4.8</v>
      </c>
      <c r="E54" s="171">
        <v>132</v>
      </c>
      <c r="F54" s="703" t="s">
        <v>1269</v>
      </c>
    </row>
    <row r="55" spans="2:6">
      <c r="B55" s="1662"/>
    </row>
    <row r="56" spans="2:6">
      <c r="B56" s="1662" t="s">
        <v>1277</v>
      </c>
      <c r="C56" s="171" t="s">
        <v>158</v>
      </c>
    </row>
    <row r="57" spans="2:6">
      <c r="B57" s="1662"/>
    </row>
    <row r="58" spans="2:6">
      <c r="B58" s="1662" t="s">
        <v>1266</v>
      </c>
      <c r="C58" s="171" t="s">
        <v>158</v>
      </c>
    </row>
    <row r="59" spans="2:6">
      <c r="B59" s="1662"/>
    </row>
    <row r="60" spans="2:6">
      <c r="B60" s="1662" t="s">
        <v>1285</v>
      </c>
      <c r="C60" s="171" t="s">
        <v>158</v>
      </c>
    </row>
    <row r="61" spans="2:6">
      <c r="B61" s="1662"/>
    </row>
    <row r="62" spans="2:6">
      <c r="B62" s="1662" t="s">
        <v>1286</v>
      </c>
      <c r="C62" s="171">
        <v>16325</v>
      </c>
      <c r="D62" s="171">
        <v>4.9000000000000004</v>
      </c>
      <c r="E62" s="171">
        <v>134</v>
      </c>
      <c r="F62" s="703" t="s">
        <v>1269</v>
      </c>
    </row>
    <row r="63" spans="2:6">
      <c r="B63" s="1662"/>
    </row>
    <row r="64" spans="2:6">
      <c r="B64" s="1662" t="s">
        <v>1281</v>
      </c>
      <c r="C64" s="541">
        <v>18450</v>
      </c>
      <c r="D64" s="171">
        <v>4.5999999999999996</v>
      </c>
      <c r="E64" s="171">
        <v>127</v>
      </c>
      <c r="F64" s="703" t="s">
        <v>1255</v>
      </c>
    </row>
    <row r="65" spans="2:6">
      <c r="B65" s="1662"/>
    </row>
    <row r="66" spans="2:6">
      <c r="B66" s="1662" t="s">
        <v>1273</v>
      </c>
      <c r="C66" s="171" t="s">
        <v>158</v>
      </c>
    </row>
    <row r="67" spans="2:6">
      <c r="B67" s="1662"/>
    </row>
    <row r="68" spans="2:6">
      <c r="B68" s="1662" t="s">
        <v>1275</v>
      </c>
      <c r="C68" s="171" t="s">
        <v>158</v>
      </c>
    </row>
    <row r="69" spans="2:6">
      <c r="B69" s="1662"/>
    </row>
    <row r="74" spans="2:6">
      <c r="B74" s="652" t="s">
        <v>850</v>
      </c>
    </row>
    <row r="75" spans="2:6">
      <c r="B75" s="546" t="s">
        <v>757</v>
      </c>
      <c r="C75" s="171" t="s">
        <v>1256</v>
      </c>
    </row>
    <row r="76" spans="2:6">
      <c r="B76" s="171" t="s">
        <v>758</v>
      </c>
      <c r="C76" s="171" t="s">
        <v>1256</v>
      </c>
      <c r="F76" s="703" t="s">
        <v>1257</v>
      </c>
    </row>
    <row r="78" spans="2:6">
      <c r="B78" s="652" t="s">
        <v>729</v>
      </c>
    </row>
    <row r="79" spans="2:6">
      <c r="B79" s="171" t="s">
        <v>826</v>
      </c>
      <c r="C79" s="171" t="s">
        <v>1256</v>
      </c>
      <c r="F79" s="703" t="s">
        <v>1258</v>
      </c>
    </row>
  </sheetData>
  <sheetProtection algorithmName="SHA-512" hashValue="pd6ghLh1Fq3iXrFkhgMZybQXksvTpJTd6ld5CIFL5vT0AjQpgnGnCMsZFA9d/83AAUZ63i88qOIXRyzs1R1kVQ==" saltValue="AR5CC9uWfFGapURFVYTNBA==" spinCount="100000" sheet="1" objects="1" scenarios="1"/>
  <mergeCells count="10">
    <mergeCell ref="B62:B63"/>
    <mergeCell ref="B64:B65"/>
    <mergeCell ref="B66:B67"/>
    <mergeCell ref="B68:B69"/>
    <mergeCell ref="B50:B51"/>
    <mergeCell ref="B52:B53"/>
    <mergeCell ref="B54:B55"/>
    <mergeCell ref="B56:B57"/>
    <mergeCell ref="B58:B59"/>
    <mergeCell ref="B60:B61"/>
  </mergeCells>
  <hyperlinks>
    <hyperlink ref="F64" r:id="rId1" xr:uid="{BA5CB621-6391-564A-A7D7-436AE13F6DDC}"/>
    <hyperlink ref="F76" r:id="rId2" xr:uid="{04991D21-F57D-784B-983E-BEED4ACFF99B}"/>
    <hyperlink ref="F79" r:id="rId3" xr:uid="{DBA23982-77C4-6342-8AF4-C339D7D95CDE}"/>
    <hyperlink ref="F54" r:id="rId4" xr:uid="{1507BF92-3EC2-4147-B70C-8913DEA3E7C1}"/>
    <hyperlink ref="F62" r:id="rId5" xr:uid="{E537781D-2959-D04D-B03F-5F00AD65F270}"/>
    <hyperlink ref="C47" r:id="rId6" xr:uid="{1C09F40B-B7E9-B347-A2BD-2B3C8D7CB26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8B102-BF67-C841-8844-97073D4705AD}">
  <sheetPr codeName="Sheet12">
    <tabColor theme="8"/>
  </sheetPr>
  <dimension ref="A1:O77"/>
  <sheetViews>
    <sheetView workbookViewId="0">
      <selection sqref="A1:XFD1048576"/>
    </sheetView>
  </sheetViews>
  <sheetFormatPr baseColWidth="10" defaultColWidth="11" defaultRowHeight="16"/>
  <cols>
    <col min="1" max="1" width="10.83203125" style="1004"/>
    <col min="2" max="2" width="11" style="171"/>
    <col min="3" max="3" width="30.83203125" style="171" customWidth="1"/>
    <col min="4" max="4" width="21.5" style="171" customWidth="1"/>
    <col min="5" max="5" width="31.33203125" style="171" bestFit="1" customWidth="1"/>
    <col min="6" max="6" width="19" style="171" customWidth="1"/>
    <col min="7" max="7" width="26.1640625" style="171" customWidth="1"/>
    <col min="8" max="8" width="28.5" style="171" customWidth="1"/>
    <col min="9" max="9" width="22.33203125" style="171" customWidth="1"/>
    <col min="10" max="11" width="31.33203125" style="171" customWidth="1"/>
    <col min="12" max="13" width="16.83203125" style="171" customWidth="1"/>
    <col min="14" max="14" width="18.6640625" style="171" customWidth="1"/>
    <col min="15" max="15" width="25.33203125" style="171" bestFit="1" customWidth="1"/>
    <col min="16" max="16384" width="11" style="171"/>
  </cols>
  <sheetData>
    <row r="1" spans="1:15">
      <c r="A1" s="1004" t="s">
        <v>459</v>
      </c>
    </row>
    <row r="2" spans="1:15" ht="34">
      <c r="B2" s="1141"/>
      <c r="C2" s="1004" t="s">
        <v>315</v>
      </c>
      <c r="D2" s="1004" t="s">
        <v>460</v>
      </c>
      <c r="E2" s="1004" t="s">
        <v>460</v>
      </c>
      <c r="F2" s="1004" t="s">
        <v>316</v>
      </c>
      <c r="G2" s="1004" t="s">
        <v>883</v>
      </c>
      <c r="H2" s="1004" t="s">
        <v>880</v>
      </c>
      <c r="I2" s="1004" t="s">
        <v>884</v>
      </c>
      <c r="J2" s="1005" t="s">
        <v>461</v>
      </c>
      <c r="K2" s="1005" t="s">
        <v>462</v>
      </c>
      <c r="L2" s="1004" t="s">
        <v>463</v>
      </c>
      <c r="M2" s="1004" t="s">
        <v>464</v>
      </c>
      <c r="N2" s="1005" t="s">
        <v>882</v>
      </c>
      <c r="O2" s="1004" t="s">
        <v>329</v>
      </c>
    </row>
    <row r="3" spans="1:15" s="652" customFormat="1" ht="16" customHeight="1">
      <c r="A3" s="1004"/>
      <c r="B3" s="652">
        <v>1</v>
      </c>
      <c r="C3" s="652" t="s">
        <v>465</v>
      </c>
      <c r="D3" s="652" t="s">
        <v>7</v>
      </c>
      <c r="E3" s="652" t="s">
        <v>8</v>
      </c>
      <c r="F3" s="652" t="s">
        <v>466</v>
      </c>
      <c r="G3" s="652">
        <v>90</v>
      </c>
      <c r="H3" s="1130">
        <v>16</v>
      </c>
      <c r="I3" s="652">
        <v>16.7</v>
      </c>
      <c r="J3" s="1161">
        <v>17686</v>
      </c>
      <c r="K3" s="1161">
        <f>J3/G3</f>
        <v>196.51111111111112</v>
      </c>
      <c r="L3" s="1161">
        <v>0</v>
      </c>
      <c r="M3" s="1161">
        <f t="shared" ref="M3:M21" si="0">J3*21%</f>
        <v>3714.06</v>
      </c>
      <c r="N3" s="1162">
        <f t="shared" ref="N3:N21" si="1">J3+L3+M3</f>
        <v>21400.06</v>
      </c>
      <c r="O3" s="652" t="s">
        <v>7</v>
      </c>
    </row>
    <row r="4" spans="1:15" ht="17" customHeight="1">
      <c r="B4" s="171">
        <v>2</v>
      </c>
      <c r="C4" s="171" t="s">
        <v>467</v>
      </c>
      <c r="D4" s="171" t="s">
        <v>7</v>
      </c>
      <c r="E4" s="171" t="s">
        <v>8</v>
      </c>
      <c r="F4" s="171" t="s">
        <v>466</v>
      </c>
      <c r="G4" s="171">
        <v>105</v>
      </c>
      <c r="H4" s="813">
        <v>20</v>
      </c>
      <c r="I4" s="171">
        <v>17.8</v>
      </c>
      <c r="J4" s="706">
        <v>22140</v>
      </c>
      <c r="K4" s="706">
        <f t="shared" ref="K4:K21" si="2">J4/G4</f>
        <v>210.85714285714286</v>
      </c>
      <c r="L4" s="706">
        <v>0</v>
      </c>
      <c r="M4" s="706">
        <f t="shared" si="0"/>
        <v>4649.3999999999996</v>
      </c>
      <c r="N4" s="1001">
        <f t="shared" si="1"/>
        <v>26789.4</v>
      </c>
      <c r="O4" s="171" t="s">
        <v>7</v>
      </c>
    </row>
    <row r="5" spans="1:15" ht="17" customHeight="1">
      <c r="B5" s="171">
        <v>3</v>
      </c>
      <c r="C5" s="171" t="s">
        <v>468</v>
      </c>
      <c r="D5" s="171" t="s">
        <v>7</v>
      </c>
      <c r="E5" s="171" t="s">
        <v>8</v>
      </c>
      <c r="F5" s="171" t="s">
        <v>466</v>
      </c>
      <c r="G5" s="171">
        <v>90</v>
      </c>
      <c r="H5" s="813">
        <v>16</v>
      </c>
      <c r="I5" s="171">
        <v>16.7</v>
      </c>
      <c r="J5" s="706">
        <v>21479</v>
      </c>
      <c r="K5" s="706">
        <f t="shared" si="2"/>
        <v>238.65555555555557</v>
      </c>
      <c r="L5" s="706">
        <v>0</v>
      </c>
      <c r="M5" s="706">
        <f t="shared" si="0"/>
        <v>4510.59</v>
      </c>
      <c r="N5" s="1001">
        <f t="shared" si="1"/>
        <v>25989.59</v>
      </c>
      <c r="O5" s="171" t="s">
        <v>7</v>
      </c>
    </row>
    <row r="6" spans="1:15">
      <c r="B6" s="171">
        <v>4</v>
      </c>
      <c r="C6" s="171" t="s">
        <v>469</v>
      </c>
      <c r="D6" s="171" t="s">
        <v>7</v>
      </c>
      <c r="E6" s="171" t="s">
        <v>8</v>
      </c>
      <c r="F6" s="171" t="s">
        <v>466</v>
      </c>
      <c r="G6" s="171">
        <v>90</v>
      </c>
      <c r="H6" s="813">
        <v>16</v>
      </c>
      <c r="I6" s="813">
        <v>16.7</v>
      </c>
      <c r="J6" s="706">
        <v>17686</v>
      </c>
      <c r="K6" s="706">
        <f t="shared" si="2"/>
        <v>196.51111111111112</v>
      </c>
      <c r="L6" s="706">
        <v>0</v>
      </c>
      <c r="M6" s="706">
        <f t="shared" si="0"/>
        <v>3714.06</v>
      </c>
      <c r="N6" s="1001">
        <f t="shared" si="1"/>
        <v>21400.06</v>
      </c>
      <c r="O6" s="171" t="s">
        <v>7</v>
      </c>
    </row>
    <row r="7" spans="1:15">
      <c r="B7" s="171">
        <v>5</v>
      </c>
      <c r="C7" s="171" t="s">
        <v>470</v>
      </c>
      <c r="D7" s="171" t="s">
        <v>12</v>
      </c>
      <c r="E7" s="171" t="s">
        <v>13</v>
      </c>
      <c r="F7" s="171" t="s">
        <v>466</v>
      </c>
      <c r="G7" s="171">
        <v>175</v>
      </c>
      <c r="H7" s="813">
        <v>33</v>
      </c>
      <c r="I7" s="171">
        <v>17.100000000000001</v>
      </c>
      <c r="J7" s="706">
        <v>27682</v>
      </c>
      <c r="K7" s="706">
        <f t="shared" si="2"/>
        <v>158.18285714285713</v>
      </c>
      <c r="L7" s="706">
        <v>0</v>
      </c>
      <c r="M7" s="706">
        <f t="shared" si="0"/>
        <v>5813.2199999999993</v>
      </c>
      <c r="N7" s="1001">
        <f t="shared" si="1"/>
        <v>33495.22</v>
      </c>
      <c r="O7" s="171" t="s">
        <v>7</v>
      </c>
    </row>
    <row r="8" spans="1:15" s="652" customFormat="1">
      <c r="A8" s="1004"/>
      <c r="B8" s="652">
        <v>6</v>
      </c>
      <c r="C8" s="652" t="s">
        <v>471</v>
      </c>
      <c r="D8" s="652" t="s">
        <v>12</v>
      </c>
      <c r="E8" s="652" t="s">
        <v>13</v>
      </c>
      <c r="F8" s="171" t="s">
        <v>466</v>
      </c>
      <c r="G8" s="652">
        <v>250</v>
      </c>
      <c r="H8" s="1130">
        <v>41</v>
      </c>
      <c r="I8" s="652">
        <v>13.3</v>
      </c>
      <c r="J8" s="1161">
        <v>28430</v>
      </c>
      <c r="K8" s="706">
        <f t="shared" si="2"/>
        <v>113.72</v>
      </c>
      <c r="L8" s="1161">
        <v>0</v>
      </c>
      <c r="M8" s="1161">
        <f t="shared" si="0"/>
        <v>5970.3</v>
      </c>
      <c r="N8" s="1162">
        <f t="shared" si="1"/>
        <v>34400.300000000003</v>
      </c>
      <c r="O8" s="652" t="s">
        <v>7</v>
      </c>
    </row>
    <row r="9" spans="1:15">
      <c r="B9" s="171">
        <v>7</v>
      </c>
      <c r="C9" s="171" t="s">
        <v>472</v>
      </c>
      <c r="D9" s="171" t="s">
        <v>15</v>
      </c>
      <c r="E9" s="171" t="s">
        <v>16</v>
      </c>
      <c r="F9" s="171" t="s">
        <v>466</v>
      </c>
      <c r="G9" s="171">
        <v>170</v>
      </c>
      <c r="H9" s="813">
        <v>33.200000000000003</v>
      </c>
      <c r="I9" s="813">
        <v>16</v>
      </c>
      <c r="J9" s="706">
        <v>31322</v>
      </c>
      <c r="K9" s="706">
        <f t="shared" si="2"/>
        <v>184.24705882352941</v>
      </c>
      <c r="L9" s="706">
        <v>0</v>
      </c>
      <c r="M9" s="706">
        <f t="shared" si="0"/>
        <v>6577.62</v>
      </c>
      <c r="N9" s="1001">
        <f t="shared" si="1"/>
        <v>37899.620000000003</v>
      </c>
      <c r="O9" s="171" t="s">
        <v>7</v>
      </c>
    </row>
    <row r="10" spans="1:15" s="652" customFormat="1">
      <c r="A10" s="1004"/>
      <c r="B10" s="652">
        <v>8</v>
      </c>
      <c r="C10" s="652" t="s">
        <v>178</v>
      </c>
      <c r="D10" s="652" t="s">
        <v>15</v>
      </c>
      <c r="E10" s="171" t="s">
        <v>16</v>
      </c>
      <c r="F10" s="171" t="s">
        <v>466</v>
      </c>
      <c r="G10" s="652">
        <v>195</v>
      </c>
      <c r="H10" s="1130">
        <v>30.5</v>
      </c>
      <c r="I10" s="652">
        <v>14.4</v>
      </c>
      <c r="J10" s="1161">
        <v>26731</v>
      </c>
      <c r="K10" s="706">
        <f t="shared" si="2"/>
        <v>137.08205128205128</v>
      </c>
      <c r="L10" s="1161">
        <v>0</v>
      </c>
      <c r="M10" s="1161">
        <f t="shared" si="0"/>
        <v>5613.51</v>
      </c>
      <c r="N10" s="1162">
        <f t="shared" si="1"/>
        <v>32344.510000000002</v>
      </c>
      <c r="O10" s="652" t="s">
        <v>7</v>
      </c>
    </row>
    <row r="11" spans="1:15" ht="17" customHeight="1">
      <c r="B11" s="171">
        <v>9</v>
      </c>
      <c r="C11" s="171" t="s">
        <v>473</v>
      </c>
      <c r="D11" s="171" t="s">
        <v>15</v>
      </c>
      <c r="E11" s="171" t="s">
        <v>16</v>
      </c>
      <c r="F11" s="171" t="s">
        <v>466</v>
      </c>
      <c r="G11" s="171">
        <v>200</v>
      </c>
      <c r="H11" s="813">
        <v>35.799999999999997</v>
      </c>
      <c r="I11" s="813">
        <v>16</v>
      </c>
      <c r="J11" s="706">
        <v>31322</v>
      </c>
      <c r="K11" s="706">
        <f t="shared" si="2"/>
        <v>156.61000000000001</v>
      </c>
      <c r="L11" s="706">
        <v>0</v>
      </c>
      <c r="M11" s="706">
        <f t="shared" si="0"/>
        <v>6577.62</v>
      </c>
      <c r="N11" s="1001">
        <f t="shared" si="1"/>
        <v>37899.620000000003</v>
      </c>
      <c r="O11" s="171" t="s">
        <v>7</v>
      </c>
    </row>
    <row r="12" spans="1:15" s="652" customFormat="1">
      <c r="A12" s="1004"/>
      <c r="B12" s="652">
        <v>10</v>
      </c>
      <c r="C12" s="652" t="s">
        <v>474</v>
      </c>
      <c r="D12" s="652" t="s">
        <v>15</v>
      </c>
      <c r="E12" s="171" t="s">
        <v>16</v>
      </c>
      <c r="F12" s="171" t="s">
        <v>466</v>
      </c>
      <c r="G12" s="652">
        <v>240</v>
      </c>
      <c r="H12" s="1130">
        <v>40</v>
      </c>
      <c r="I12" s="652">
        <v>15.8</v>
      </c>
      <c r="J12" s="1161">
        <v>27388</v>
      </c>
      <c r="K12" s="706">
        <f t="shared" si="2"/>
        <v>114.11666666666666</v>
      </c>
      <c r="L12" s="1161">
        <v>0</v>
      </c>
      <c r="M12" s="1161">
        <f t="shared" si="0"/>
        <v>5751.48</v>
      </c>
      <c r="N12" s="1162">
        <f t="shared" si="1"/>
        <v>33139.479999999996</v>
      </c>
      <c r="O12" s="652" t="s">
        <v>7</v>
      </c>
    </row>
    <row r="13" spans="1:15" ht="17" customHeight="1">
      <c r="B13" s="171">
        <v>11</v>
      </c>
      <c r="C13" s="171" t="s">
        <v>475</v>
      </c>
      <c r="D13" s="171" t="s">
        <v>15</v>
      </c>
      <c r="E13" s="171" t="s">
        <v>16</v>
      </c>
      <c r="F13" s="171" t="s">
        <v>466</v>
      </c>
      <c r="G13" s="171">
        <v>345</v>
      </c>
      <c r="H13" s="813">
        <v>60</v>
      </c>
      <c r="I13" s="171">
        <v>16.8</v>
      </c>
      <c r="J13" s="706">
        <v>37644</v>
      </c>
      <c r="K13" s="706">
        <f t="shared" si="2"/>
        <v>109.11304347826086</v>
      </c>
      <c r="L13" s="706">
        <v>0</v>
      </c>
      <c r="M13" s="706">
        <f t="shared" si="0"/>
        <v>7905.24</v>
      </c>
      <c r="N13" s="1001">
        <f t="shared" si="1"/>
        <v>45549.24</v>
      </c>
      <c r="O13" s="171" t="s">
        <v>7</v>
      </c>
    </row>
    <row r="14" spans="1:15" ht="17" customHeight="1">
      <c r="C14" s="652" t="s">
        <v>476</v>
      </c>
      <c r="D14" s="171" t="s">
        <v>18</v>
      </c>
      <c r="E14" s="171" t="s">
        <v>19</v>
      </c>
      <c r="F14" s="171" t="s">
        <v>466</v>
      </c>
      <c r="K14" s="706"/>
      <c r="L14" s="706"/>
      <c r="M14" s="706"/>
      <c r="N14" s="1001"/>
    </row>
    <row r="15" spans="1:15" s="652" customFormat="1" ht="51">
      <c r="A15" s="1004"/>
      <c r="B15" s="652">
        <v>12</v>
      </c>
      <c r="C15" s="652" t="s">
        <v>477</v>
      </c>
      <c r="D15" s="652" t="s">
        <v>478</v>
      </c>
      <c r="E15" s="704" t="s">
        <v>479</v>
      </c>
      <c r="F15" s="171" t="s">
        <v>466</v>
      </c>
      <c r="G15" s="652">
        <v>390</v>
      </c>
      <c r="H15" s="1130">
        <v>75</v>
      </c>
      <c r="I15" s="652">
        <v>18.600000000000001</v>
      </c>
      <c r="J15" s="1161">
        <v>71157</v>
      </c>
      <c r="K15" s="1161">
        <f t="shared" si="2"/>
        <v>182.45384615384614</v>
      </c>
      <c r="L15" s="1161">
        <v>0</v>
      </c>
      <c r="M15" s="1161">
        <f t="shared" si="0"/>
        <v>14942.97</v>
      </c>
      <c r="N15" s="1162">
        <f t="shared" si="1"/>
        <v>86099.97</v>
      </c>
      <c r="O15" s="652" t="s">
        <v>7</v>
      </c>
    </row>
    <row r="16" spans="1:15" ht="51">
      <c r="B16" s="171">
        <v>13</v>
      </c>
      <c r="C16" s="171" t="s">
        <v>480</v>
      </c>
      <c r="D16" s="171" t="s">
        <v>478</v>
      </c>
      <c r="E16" s="704" t="s">
        <v>481</v>
      </c>
      <c r="F16" s="171" t="s">
        <v>466</v>
      </c>
      <c r="G16" s="171">
        <v>500</v>
      </c>
      <c r="H16" s="813">
        <v>100</v>
      </c>
      <c r="I16" s="171">
        <v>18.8</v>
      </c>
      <c r="J16" s="706">
        <v>90207</v>
      </c>
      <c r="K16" s="706">
        <f t="shared" si="2"/>
        <v>180.41399999999999</v>
      </c>
      <c r="L16" s="706">
        <v>0</v>
      </c>
      <c r="M16" s="706">
        <f t="shared" si="0"/>
        <v>18943.469999999998</v>
      </c>
      <c r="N16" s="1001">
        <f t="shared" si="1"/>
        <v>109150.47</v>
      </c>
      <c r="O16" s="171" t="s">
        <v>7</v>
      </c>
    </row>
    <row r="17" spans="1:15" ht="17">
      <c r="C17" s="652" t="s">
        <v>476</v>
      </c>
      <c r="D17" s="171" t="s">
        <v>159</v>
      </c>
      <c r="E17" s="704" t="s">
        <v>312</v>
      </c>
      <c r="F17" s="171" t="s">
        <v>466</v>
      </c>
      <c r="H17" s="813"/>
      <c r="J17" s="706"/>
      <c r="K17" s="706"/>
      <c r="L17" s="706"/>
      <c r="M17" s="706"/>
      <c r="N17" s="1001"/>
    </row>
    <row r="18" spans="1:15" s="652" customFormat="1" ht="17" customHeight="1">
      <c r="A18" s="1004"/>
      <c r="B18" s="652">
        <v>14</v>
      </c>
      <c r="C18" s="652" t="s">
        <v>482</v>
      </c>
      <c r="D18" s="652" t="s">
        <v>28</v>
      </c>
      <c r="E18" s="652" t="s">
        <v>29</v>
      </c>
      <c r="F18" s="652" t="s">
        <v>466</v>
      </c>
      <c r="G18" s="652">
        <v>400</v>
      </c>
      <c r="H18" s="1130">
        <v>67</v>
      </c>
      <c r="I18" s="1130">
        <v>16</v>
      </c>
      <c r="J18" s="1161">
        <v>31665</v>
      </c>
      <c r="K18" s="1161">
        <f>J18/G18</f>
        <v>79.162499999999994</v>
      </c>
      <c r="L18" s="1161">
        <v>0</v>
      </c>
      <c r="M18" s="1161">
        <f>J18*21%</f>
        <v>6649.65</v>
      </c>
      <c r="N18" s="1162">
        <f>J18+L18+M18</f>
        <v>38314.65</v>
      </c>
      <c r="O18" s="652" t="s">
        <v>7</v>
      </c>
    </row>
    <row r="19" spans="1:15">
      <c r="A19" s="1142"/>
      <c r="B19" s="171">
        <v>15</v>
      </c>
      <c r="C19" s="171" t="s">
        <v>483</v>
      </c>
      <c r="D19" s="171" t="s">
        <v>32</v>
      </c>
      <c r="E19" s="171" t="s">
        <v>33</v>
      </c>
      <c r="F19" s="171" t="s">
        <v>466</v>
      </c>
      <c r="G19" s="171">
        <v>330</v>
      </c>
      <c r="H19" s="813">
        <v>75</v>
      </c>
      <c r="I19" s="813">
        <v>22</v>
      </c>
      <c r="J19" s="706">
        <v>76736</v>
      </c>
      <c r="K19" s="706">
        <f t="shared" si="2"/>
        <v>232.53333333333333</v>
      </c>
      <c r="L19" s="706">
        <v>0</v>
      </c>
      <c r="M19" s="706">
        <f t="shared" si="0"/>
        <v>16114.56</v>
      </c>
      <c r="N19" s="1001">
        <f t="shared" si="1"/>
        <v>92850.559999999998</v>
      </c>
      <c r="O19" s="171" t="s">
        <v>7</v>
      </c>
    </row>
    <row r="20" spans="1:15" ht="18" customHeight="1">
      <c r="B20" s="171">
        <v>16</v>
      </c>
      <c r="C20" s="171" t="s">
        <v>484</v>
      </c>
      <c r="D20" s="171" t="s">
        <v>32</v>
      </c>
      <c r="E20" s="171" t="s">
        <v>33</v>
      </c>
      <c r="F20" s="171" t="s">
        <v>466</v>
      </c>
      <c r="G20" s="171">
        <v>420</v>
      </c>
      <c r="H20" s="813">
        <v>100</v>
      </c>
      <c r="I20" s="813">
        <v>22.4</v>
      </c>
      <c r="J20" s="706">
        <v>92975</v>
      </c>
      <c r="K20" s="706">
        <f t="shared" si="2"/>
        <v>221.36904761904762</v>
      </c>
      <c r="L20" s="706">
        <v>0</v>
      </c>
      <c r="M20" s="706">
        <f t="shared" si="0"/>
        <v>19524.75</v>
      </c>
      <c r="N20" s="1001">
        <f t="shared" si="1"/>
        <v>112499.75</v>
      </c>
      <c r="O20" s="171" t="s">
        <v>7</v>
      </c>
    </row>
    <row r="21" spans="1:15" s="652" customFormat="1">
      <c r="A21" s="1004"/>
      <c r="B21" s="652">
        <v>17</v>
      </c>
      <c r="C21" s="652" t="s">
        <v>182</v>
      </c>
      <c r="D21" s="652" t="s">
        <v>32</v>
      </c>
      <c r="E21" s="652" t="s">
        <v>33</v>
      </c>
      <c r="F21" s="652" t="s">
        <v>466</v>
      </c>
      <c r="G21" s="652">
        <v>400</v>
      </c>
      <c r="H21" s="652">
        <v>90</v>
      </c>
      <c r="I21" s="652">
        <v>21.3</v>
      </c>
      <c r="J21" s="1161">
        <v>65438</v>
      </c>
      <c r="K21" s="1161">
        <f t="shared" si="2"/>
        <v>163.595</v>
      </c>
      <c r="L21" s="1161">
        <v>0</v>
      </c>
      <c r="M21" s="1161">
        <f t="shared" si="0"/>
        <v>13741.98</v>
      </c>
      <c r="N21" s="1162">
        <f t="shared" si="1"/>
        <v>79179.98</v>
      </c>
      <c r="O21" s="652" t="s">
        <v>7</v>
      </c>
    </row>
    <row r="22" spans="1:15">
      <c r="B22" s="171">
        <v>18</v>
      </c>
    </row>
    <row r="23" spans="1:15" ht="17" customHeight="1">
      <c r="C23" s="171" t="s">
        <v>485</v>
      </c>
    </row>
    <row r="25" spans="1:15">
      <c r="C25" s="652" t="s">
        <v>305</v>
      </c>
      <c r="D25" s="652" t="s">
        <v>306</v>
      </c>
      <c r="E25" s="652"/>
      <c r="F25" s="652" t="s">
        <v>307</v>
      </c>
      <c r="I25" s="652" t="s">
        <v>308</v>
      </c>
      <c r="J25" s="652"/>
      <c r="K25" s="652"/>
    </row>
    <row r="26" spans="1:15">
      <c r="C26" s="652"/>
      <c r="D26" s="652"/>
      <c r="E26" s="652"/>
      <c r="F26" s="652"/>
      <c r="J26" s="652"/>
      <c r="K26" s="652"/>
    </row>
    <row r="27" spans="1:15">
      <c r="C27" s="171" t="s">
        <v>7</v>
      </c>
      <c r="D27" s="171" t="s">
        <v>8</v>
      </c>
      <c r="F27" s="171" t="s">
        <v>309</v>
      </c>
      <c r="I27" s="171" t="s">
        <v>11</v>
      </c>
    </row>
    <row r="28" spans="1:15">
      <c r="C28" s="171" t="s">
        <v>12</v>
      </c>
      <c r="D28" s="171" t="s">
        <v>13</v>
      </c>
      <c r="F28" s="171" t="s">
        <v>14</v>
      </c>
      <c r="I28" s="171" t="s">
        <v>486</v>
      </c>
    </row>
    <row r="29" spans="1:15">
      <c r="C29" s="171" t="s">
        <v>15</v>
      </c>
      <c r="D29" s="171" t="s">
        <v>16</v>
      </c>
      <c r="F29" s="171" t="s">
        <v>17</v>
      </c>
      <c r="I29" s="171" t="s">
        <v>311</v>
      </c>
    </row>
    <row r="30" spans="1:15">
      <c r="C30" s="171" t="s">
        <v>18</v>
      </c>
      <c r="D30" s="171" t="s">
        <v>19</v>
      </c>
      <c r="F30" s="171" t="s">
        <v>20</v>
      </c>
    </row>
    <row r="31" spans="1:15">
      <c r="C31" s="171" t="s">
        <v>21</v>
      </c>
      <c r="D31" s="171" t="s">
        <v>22</v>
      </c>
      <c r="F31" s="171" t="s">
        <v>23</v>
      </c>
      <c r="I31" s="171" t="s">
        <v>24</v>
      </c>
    </row>
    <row r="32" spans="1:15" ht="18" customHeight="1">
      <c r="C32" s="171" t="s">
        <v>25</v>
      </c>
      <c r="D32" s="171" t="s">
        <v>26</v>
      </c>
      <c r="F32" s="171" t="s">
        <v>27</v>
      </c>
      <c r="I32" s="171" t="s">
        <v>24</v>
      </c>
    </row>
    <row r="33" spans="1:14">
      <c r="C33" s="171" t="s">
        <v>159</v>
      </c>
      <c r="D33" s="171" t="s">
        <v>312</v>
      </c>
      <c r="F33" s="171" t="s">
        <v>313</v>
      </c>
    </row>
    <row r="34" spans="1:14">
      <c r="C34" s="171" t="s">
        <v>28</v>
      </c>
      <c r="D34" s="171" t="s">
        <v>29</v>
      </c>
      <c r="F34" s="171" t="s">
        <v>30</v>
      </c>
      <c r="I34" s="171" t="s">
        <v>31</v>
      </c>
    </row>
    <row r="35" spans="1:14">
      <c r="C35" s="171" t="s">
        <v>32</v>
      </c>
      <c r="D35" s="171" t="s">
        <v>33</v>
      </c>
      <c r="F35" s="171" t="s">
        <v>34</v>
      </c>
      <c r="I35" s="171" t="s">
        <v>35</v>
      </c>
    </row>
    <row r="37" spans="1:14" ht="17" customHeight="1">
      <c r="A37" s="1004" t="s">
        <v>45</v>
      </c>
    </row>
    <row r="38" spans="1:14">
      <c r="A38" s="984" t="s">
        <v>399</v>
      </c>
      <c r="B38" s="171" t="s">
        <v>487</v>
      </c>
      <c r="D38" s="703" t="s">
        <v>72</v>
      </c>
      <c r="E38" s="703"/>
    </row>
    <row r="39" spans="1:14">
      <c r="A39" s="984" t="s">
        <v>400</v>
      </c>
      <c r="B39" s="171" t="s">
        <v>405</v>
      </c>
      <c r="D39" s="703" t="s">
        <v>406</v>
      </c>
      <c r="E39" s="703"/>
    </row>
    <row r="40" spans="1:14">
      <c r="A40" s="984" t="s">
        <v>401</v>
      </c>
      <c r="B40" s="171" t="s">
        <v>488</v>
      </c>
      <c r="D40" s="703" t="s">
        <v>105</v>
      </c>
      <c r="E40" s="703"/>
    </row>
    <row r="43" spans="1:14">
      <c r="B43" s="652"/>
    </row>
    <row r="45" spans="1:14">
      <c r="A45" s="1004" t="s">
        <v>489</v>
      </c>
      <c r="C45" s="171" t="s">
        <v>490</v>
      </c>
    </row>
    <row r="46" spans="1:14" ht="46" customHeight="1">
      <c r="C46" s="1004" t="s">
        <v>315</v>
      </c>
      <c r="D46" s="1004" t="s">
        <v>112</v>
      </c>
      <c r="E46" s="1005" t="s">
        <v>491</v>
      </c>
      <c r="F46" s="1004" t="s">
        <v>316</v>
      </c>
      <c r="G46" s="1004" t="s">
        <v>879</v>
      </c>
      <c r="H46" s="1004" t="s">
        <v>880</v>
      </c>
      <c r="I46" s="1004" t="s">
        <v>881</v>
      </c>
      <c r="J46" s="1005" t="s">
        <v>492</v>
      </c>
      <c r="K46" s="1005" t="s">
        <v>462</v>
      </c>
      <c r="L46" s="1004" t="s">
        <v>463</v>
      </c>
      <c r="M46" s="1004" t="s">
        <v>464</v>
      </c>
      <c r="N46" s="1005" t="s">
        <v>882</v>
      </c>
    </row>
    <row r="47" spans="1:14">
      <c r="B47" s="171">
        <v>1</v>
      </c>
      <c r="C47" s="171" t="s">
        <v>493</v>
      </c>
      <c r="D47" s="171" t="s">
        <v>494</v>
      </c>
      <c r="E47" s="732" t="s">
        <v>495</v>
      </c>
      <c r="F47" s="171" t="s">
        <v>466</v>
      </c>
      <c r="G47" s="171">
        <v>110</v>
      </c>
      <c r="H47" s="171">
        <v>22.5</v>
      </c>
      <c r="I47" s="171">
        <v>18.600000000000001</v>
      </c>
      <c r="J47" s="706">
        <v>26653</v>
      </c>
      <c r="K47" s="1001">
        <f>J47/G47</f>
        <v>242.3</v>
      </c>
      <c r="L47" s="720">
        <v>0</v>
      </c>
      <c r="M47" s="1001">
        <f>21%*J47</f>
        <v>5597.13</v>
      </c>
      <c r="N47" s="1001">
        <f>J47+L47+M47</f>
        <v>32250.13</v>
      </c>
    </row>
    <row r="48" spans="1:14" s="652" customFormat="1">
      <c r="A48" s="1004"/>
      <c r="B48" s="652">
        <v>2</v>
      </c>
      <c r="C48" s="652" t="s">
        <v>496</v>
      </c>
      <c r="D48" s="652" t="s">
        <v>494</v>
      </c>
      <c r="E48" s="730" t="s">
        <v>497</v>
      </c>
      <c r="F48" s="652" t="s">
        <v>466</v>
      </c>
      <c r="G48" s="652">
        <v>165</v>
      </c>
      <c r="H48" s="1130">
        <v>33</v>
      </c>
      <c r="I48" s="652">
        <v>18.8</v>
      </c>
      <c r="J48" s="1162">
        <f>N48-M48</f>
        <v>30994.214876033056</v>
      </c>
      <c r="K48" s="1162">
        <f>J48/G48</f>
        <v>187.84372652141246</v>
      </c>
      <c r="L48" s="1163">
        <v>0</v>
      </c>
      <c r="M48" s="1001">
        <f>(21%*N48)/121%</f>
        <v>6508.7851239669426</v>
      </c>
      <c r="N48" s="1162">
        <v>37503</v>
      </c>
    </row>
    <row r="49" spans="1:14">
      <c r="B49" s="171">
        <v>4</v>
      </c>
      <c r="C49" s="171" t="s">
        <v>498</v>
      </c>
      <c r="D49" s="171" t="s">
        <v>494</v>
      </c>
      <c r="E49" s="732" t="s">
        <v>499</v>
      </c>
      <c r="F49" s="171" t="s">
        <v>466</v>
      </c>
      <c r="G49" s="171">
        <v>190</v>
      </c>
      <c r="H49" s="171">
        <v>40</v>
      </c>
      <c r="I49" s="813">
        <v>20</v>
      </c>
      <c r="J49" s="1001">
        <f>N49-M49</f>
        <v>34648.760330578516</v>
      </c>
      <c r="K49" s="1001">
        <f>J49/G49</f>
        <v>182.36189647672904</v>
      </c>
      <c r="L49" s="720">
        <v>0</v>
      </c>
      <c r="M49" s="1001">
        <f>(21%*N49)/121%</f>
        <v>7276.2396694214876</v>
      </c>
      <c r="N49" s="1001">
        <v>41925</v>
      </c>
    </row>
    <row r="50" spans="1:14">
      <c r="B50" s="171">
        <v>5</v>
      </c>
      <c r="C50" s="171" t="s">
        <v>500</v>
      </c>
      <c r="D50" s="171" t="s">
        <v>494</v>
      </c>
      <c r="E50" s="732" t="s">
        <v>501</v>
      </c>
      <c r="F50" s="171" t="s">
        <v>466</v>
      </c>
      <c r="G50" s="171">
        <v>110</v>
      </c>
      <c r="H50" s="171">
        <v>22.5</v>
      </c>
      <c r="I50" s="171">
        <v>18.600000000000001</v>
      </c>
      <c r="J50" s="1001">
        <f>N50-M50</f>
        <v>25404.958677685951</v>
      </c>
      <c r="K50" s="1001">
        <f>J50/G50</f>
        <v>230.954169797145</v>
      </c>
      <c r="L50" s="720">
        <v>0</v>
      </c>
      <c r="M50" s="1001">
        <f>(21%*N50)/121%</f>
        <v>5335.0413223140495</v>
      </c>
      <c r="N50" s="1001">
        <v>30740</v>
      </c>
    </row>
    <row r="51" spans="1:14">
      <c r="B51" s="171">
        <v>6</v>
      </c>
      <c r="C51" s="171" t="s">
        <v>4358</v>
      </c>
      <c r="D51" s="171" t="s">
        <v>502</v>
      </c>
      <c r="E51" s="732" t="s">
        <v>503</v>
      </c>
      <c r="F51" s="171" t="s">
        <v>466</v>
      </c>
      <c r="G51" s="742">
        <f>160*(100%+F72)</f>
        <v>86.497126601370837</v>
      </c>
      <c r="H51" s="171">
        <v>43</v>
      </c>
      <c r="I51" s="813">
        <f>(H51/G51)*100</f>
        <v>49.712634037161784</v>
      </c>
      <c r="J51" s="1001"/>
      <c r="K51" s="1001"/>
      <c r="L51" s="720">
        <v>0</v>
      </c>
      <c r="M51" s="1001">
        <f>(21%*N51)/121%</f>
        <v>0</v>
      </c>
      <c r="N51" s="1001"/>
    </row>
    <row r="52" spans="1:14" s="652" customFormat="1">
      <c r="A52" s="1004"/>
      <c r="B52" s="652">
        <v>7</v>
      </c>
      <c r="C52" s="652" t="s">
        <v>4359</v>
      </c>
      <c r="D52" s="652" t="s">
        <v>502</v>
      </c>
      <c r="E52" s="730" t="s">
        <v>504</v>
      </c>
      <c r="F52" s="652" t="s">
        <v>466</v>
      </c>
      <c r="G52" s="977">
        <f>185*(100%+F72)</f>
        <v>100.01230263283503</v>
      </c>
      <c r="H52" s="652">
        <v>33</v>
      </c>
      <c r="I52" s="1130">
        <f>H52/G52*100</f>
        <v>32.995940630573756</v>
      </c>
      <c r="J52" s="1162">
        <v>62900</v>
      </c>
      <c r="K52" s="1162">
        <f>J52/G52</f>
        <v>628.92262595851184</v>
      </c>
      <c r="L52" s="1163">
        <v>0</v>
      </c>
      <c r="M52" s="1162">
        <f>21%*J52</f>
        <v>13209</v>
      </c>
      <c r="N52" s="1162">
        <f>J52+L52+M52</f>
        <v>76109</v>
      </c>
    </row>
    <row r="53" spans="1:14">
      <c r="B53" s="171">
        <v>8</v>
      </c>
      <c r="C53" s="171" t="s">
        <v>4360</v>
      </c>
      <c r="D53" s="171" t="s">
        <v>505</v>
      </c>
      <c r="E53" s="732" t="s">
        <v>506</v>
      </c>
      <c r="F53" s="171" t="s">
        <v>466</v>
      </c>
      <c r="G53" s="171">
        <v>150</v>
      </c>
      <c r="H53" s="171">
        <v>41.4</v>
      </c>
      <c r="I53" s="171">
        <f>(H53/G53)*100</f>
        <v>27.599999999999998</v>
      </c>
      <c r="J53" s="652" t="s">
        <v>507</v>
      </c>
    </row>
    <row r="54" spans="1:14">
      <c r="E54" s="732"/>
    </row>
    <row r="55" spans="1:14">
      <c r="C55" s="171" t="s">
        <v>508</v>
      </c>
      <c r="E55" s="732"/>
    </row>
    <row r="56" spans="1:14">
      <c r="E56" s="732"/>
    </row>
    <row r="57" spans="1:14">
      <c r="B57" s="652" t="s">
        <v>45</v>
      </c>
      <c r="E57" s="732"/>
    </row>
    <row r="58" spans="1:14">
      <c r="A58" s="984" t="s">
        <v>399</v>
      </c>
      <c r="B58" s="171" t="s">
        <v>487</v>
      </c>
      <c r="D58" s="703" t="s">
        <v>72</v>
      </c>
    </row>
    <row r="59" spans="1:14">
      <c r="A59" s="984" t="s">
        <v>400</v>
      </c>
      <c r="B59" s="171" t="s">
        <v>405</v>
      </c>
      <c r="D59" s="703" t="s">
        <v>406</v>
      </c>
    </row>
    <row r="60" spans="1:14">
      <c r="A60" s="984" t="s">
        <v>401</v>
      </c>
      <c r="B60" s="171" t="s">
        <v>509</v>
      </c>
      <c r="D60" s="703" t="s">
        <v>510</v>
      </c>
    </row>
    <row r="61" spans="1:14">
      <c r="A61" s="984" t="s">
        <v>404</v>
      </c>
      <c r="B61" s="171" t="s">
        <v>511</v>
      </c>
      <c r="E61" s="746" t="s">
        <v>512</v>
      </c>
    </row>
    <row r="62" spans="1:14">
      <c r="A62" s="984" t="s">
        <v>407</v>
      </c>
      <c r="B62" s="171" t="s">
        <v>513</v>
      </c>
      <c r="E62" s="746" t="s">
        <v>512</v>
      </c>
    </row>
    <row r="63" spans="1:14">
      <c r="A63" s="984" t="s">
        <v>409</v>
      </c>
      <c r="B63" s="171" t="s">
        <v>514</v>
      </c>
      <c r="C63" s="652"/>
      <c r="D63" s="703" t="s">
        <v>515</v>
      </c>
    </row>
    <row r="64" spans="1:14">
      <c r="C64" s="652"/>
      <c r="D64" s="703" t="s">
        <v>516</v>
      </c>
    </row>
    <row r="65" spans="2:6">
      <c r="C65" s="652"/>
      <c r="D65" s="703"/>
    </row>
    <row r="66" spans="2:6">
      <c r="B66" s="652" t="s">
        <v>517</v>
      </c>
    </row>
    <row r="67" spans="2:6">
      <c r="D67" s="730" t="s">
        <v>518</v>
      </c>
      <c r="E67" s="730" t="s">
        <v>519</v>
      </c>
      <c r="F67" s="730" t="s">
        <v>520</v>
      </c>
    </row>
    <row r="68" spans="2:6">
      <c r="B68" s="171" t="s">
        <v>521</v>
      </c>
      <c r="D68" s="732">
        <v>300</v>
      </c>
      <c r="E68" s="732">
        <v>170</v>
      </c>
      <c r="F68" s="1164">
        <f>(E68-D68)/E68</f>
        <v>-0.76470588235294112</v>
      </c>
    </row>
    <row r="69" spans="2:6">
      <c r="B69" s="171" t="s">
        <v>522</v>
      </c>
      <c r="D69" s="732">
        <v>490</v>
      </c>
      <c r="E69" s="732">
        <v>390</v>
      </c>
      <c r="F69" s="1164">
        <f>(E69-D69)/E69</f>
        <v>-0.25641025641025639</v>
      </c>
    </row>
    <row r="70" spans="2:6">
      <c r="B70" s="171" t="s">
        <v>523</v>
      </c>
      <c r="D70" s="732">
        <v>300</v>
      </c>
      <c r="E70" s="732">
        <v>200</v>
      </c>
      <c r="F70" s="1164">
        <f t="shared" ref="F70" si="3">(E70-D70)/E70</f>
        <v>-0.5</v>
      </c>
    </row>
    <row r="71" spans="2:6">
      <c r="D71" s="732">
        <v>520</v>
      </c>
      <c r="E71" s="732">
        <v>395</v>
      </c>
      <c r="F71" s="1164">
        <f>(E71-D71)/E71</f>
        <v>-0.31645569620253167</v>
      </c>
    </row>
    <row r="72" spans="2:6">
      <c r="F72" s="1165">
        <f>AVERAGE(F68:F71)</f>
        <v>-0.45939295874143227</v>
      </c>
    </row>
    <row r="74" spans="2:6">
      <c r="B74" s="171" t="s">
        <v>4361</v>
      </c>
    </row>
    <row r="77" spans="2:6">
      <c r="C77" s="703"/>
    </row>
  </sheetData>
  <sheetProtection algorithmName="SHA-512" hashValue="0QpXJTlSBo+sZOLVO5wQ+BstFsRnN1QYo1nDbISvp8l0xg0IscpBBxXTyrKqV3Vj1oYy4ajiMHuARHkvHwxEfQ==" saltValue="kotluhUyuHYjSByYY+o2pQ==" spinCount="100000" sheet="1" objects="1" scenarios="1"/>
  <hyperlinks>
    <hyperlink ref="D39" r:id="rId1" xr:uid="{9B283F04-1DC4-1545-B5D9-AD5248A0F0DB}"/>
    <hyperlink ref="D38" r:id="rId2" xr:uid="{C5CD6EE5-719C-FD44-A3F0-BA43D8F4719F}"/>
    <hyperlink ref="D40" r:id="rId3" location="/merkentype" xr:uid="{9862E2D7-AA9C-C94A-80DE-B9BA56565B88}"/>
    <hyperlink ref="D58" r:id="rId4" xr:uid="{09E27903-6E75-6A48-B890-A1848D576882}"/>
    <hyperlink ref="D59" r:id="rId5" xr:uid="{AA8B5D00-6B42-5945-88CF-8914407CD2BD}"/>
    <hyperlink ref="D60" r:id="rId6" xr:uid="{12E7A2EA-F4AB-6547-BA80-C9AC30848043}"/>
    <hyperlink ref="D63" r:id="rId7" xr:uid="{2547DA07-12EF-A240-B3CF-BA93D5CC44E2}"/>
    <hyperlink ref="D64" r:id="rId8" xr:uid="{B81A224D-9023-D34A-A18A-1ADFC7507B1B}"/>
  </hyperlinks>
  <pageMargins left="0.7" right="0.7" top="0.75" bottom="0.75" header="0.3" footer="0.3"/>
  <pageSetup paperSize="9" orientation="portrait" horizontalDpi="0" verticalDpi="0"/>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4B34D01-805F-304D-8A0D-1AA55B392BF7}">
          <x14:formula1>
            <xm:f>'Input drop-down menu''s'!$A$4:$A$65</xm:f>
          </x14:formula1>
          <xm:sqref>J64:L67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B412D-1AFB-5F4A-B077-A4F94ED016F2}">
  <sheetPr codeName="Sheet9">
    <tabColor rgb="FF7030A0"/>
  </sheetPr>
  <dimension ref="A1:AW368"/>
  <sheetViews>
    <sheetView topLeftCell="AG1" workbookViewId="0">
      <selection activeCell="AG1" sqref="A1:XFD1048576"/>
    </sheetView>
  </sheetViews>
  <sheetFormatPr baseColWidth="10" defaultColWidth="11" defaultRowHeight="16"/>
  <cols>
    <col min="1" max="1" width="21.5" style="171" bestFit="1" customWidth="1"/>
    <col min="2" max="2" width="11" style="171"/>
    <col min="3" max="5" width="15.1640625" style="171" customWidth="1"/>
    <col min="6" max="6" width="11" style="171"/>
    <col min="7" max="7" width="11.6640625" style="171" bestFit="1" customWidth="1"/>
    <col min="8" max="8" width="11" style="171"/>
    <col min="9" max="9" width="37.83203125" style="171" bestFit="1" customWidth="1"/>
    <col min="10" max="10" width="11" style="171"/>
    <col min="11" max="11" width="23.1640625" style="171" bestFit="1" customWidth="1"/>
    <col min="12" max="12" width="11" style="171"/>
    <col min="13" max="13" width="12.83203125" style="171" bestFit="1" customWidth="1"/>
    <col min="14" max="14" width="12.83203125" style="171" customWidth="1"/>
    <col min="15" max="16" width="11" style="171"/>
    <col min="17" max="17" width="13.33203125" style="171" customWidth="1"/>
    <col min="18" max="18" width="11" style="171"/>
    <col min="19" max="19" width="26.1640625" style="171" bestFit="1" customWidth="1"/>
    <col min="20" max="20" width="11" style="171"/>
    <col min="21" max="21" width="32.83203125" style="171" bestFit="1" customWidth="1"/>
    <col min="22" max="24" width="11" style="171"/>
    <col min="25" max="25" width="24.33203125" style="171" bestFit="1" customWidth="1"/>
    <col min="26" max="16384" width="11" style="171"/>
  </cols>
  <sheetData>
    <row r="1" spans="1:49">
      <c r="A1" s="652" t="s">
        <v>296</v>
      </c>
    </row>
    <row r="3" spans="1:49">
      <c r="A3" s="652" t="s">
        <v>297</v>
      </c>
      <c r="C3" s="652" t="s">
        <v>298</v>
      </c>
      <c r="D3" s="652"/>
      <c r="E3" s="652" t="s">
        <v>1486</v>
      </c>
      <c r="G3" s="652" t="s">
        <v>299</v>
      </c>
      <c r="I3" s="652" t="s">
        <v>672</v>
      </c>
      <c r="K3" s="652" t="s">
        <v>300</v>
      </c>
      <c r="M3" s="652" t="s">
        <v>301</v>
      </c>
      <c r="N3" s="652"/>
      <c r="O3" s="652" t="s">
        <v>1417</v>
      </c>
      <c r="Q3" s="652" t="s">
        <v>673</v>
      </c>
      <c r="S3" s="652" t="s">
        <v>716</v>
      </c>
      <c r="U3" s="652" t="s">
        <v>782</v>
      </c>
      <c r="W3" s="652" t="s">
        <v>788</v>
      </c>
      <c r="Y3" s="652" t="s">
        <v>823</v>
      </c>
      <c r="AA3" s="652" t="s">
        <v>1671</v>
      </c>
      <c r="AE3" s="652" t="s">
        <v>1671</v>
      </c>
      <c r="AI3" s="652" t="s">
        <v>1944</v>
      </c>
      <c r="AK3" s="652" t="s">
        <v>1945</v>
      </c>
      <c r="AM3" s="652" t="s">
        <v>1948</v>
      </c>
      <c r="AP3" s="652" t="s">
        <v>2017</v>
      </c>
      <c r="AR3" s="652" t="s">
        <v>1972</v>
      </c>
      <c r="AV3" s="652" t="s">
        <v>4318</v>
      </c>
    </row>
    <row r="4" spans="1:49">
      <c r="A4" s="171">
        <v>0</v>
      </c>
      <c r="C4" s="171" t="s">
        <v>302</v>
      </c>
      <c r="E4" s="171" t="s">
        <v>1495</v>
      </c>
      <c r="G4" s="171" t="s">
        <v>848</v>
      </c>
      <c r="I4" s="171" t="s">
        <v>848</v>
      </c>
      <c r="K4" s="171" t="s">
        <v>848</v>
      </c>
      <c r="M4" s="171">
        <v>1</v>
      </c>
      <c r="O4" s="816">
        <v>2020</v>
      </c>
      <c r="Q4" s="705">
        <v>0</v>
      </c>
      <c r="S4" s="171" t="s">
        <v>848</v>
      </c>
      <c r="U4" s="171" t="s">
        <v>848</v>
      </c>
      <c r="W4" s="171" t="s">
        <v>790</v>
      </c>
      <c r="Y4" s="705">
        <v>0</v>
      </c>
      <c r="AA4" s="171" t="s">
        <v>848</v>
      </c>
      <c r="AE4" s="171">
        <v>1</v>
      </c>
      <c r="AI4" s="171">
        <v>0.25</v>
      </c>
      <c r="AK4" s="171">
        <v>1</v>
      </c>
      <c r="AM4" s="171" t="s">
        <v>848</v>
      </c>
      <c r="AP4" s="171" t="s">
        <v>848</v>
      </c>
      <c r="AR4" s="171" t="s">
        <v>848</v>
      </c>
      <c r="AV4" s="171">
        <v>0.05</v>
      </c>
      <c r="AW4" s="171" t="s">
        <v>82</v>
      </c>
    </row>
    <row r="5" spans="1:49">
      <c r="A5" s="171">
        <v>1</v>
      </c>
      <c r="C5" s="171" t="s">
        <v>303</v>
      </c>
      <c r="E5" s="171" t="s">
        <v>1485</v>
      </c>
      <c r="G5" s="171" t="s">
        <v>849</v>
      </c>
      <c r="I5" s="171" t="s">
        <v>849</v>
      </c>
      <c r="K5" s="171" t="s">
        <v>849</v>
      </c>
      <c r="M5" s="171">
        <v>2</v>
      </c>
      <c r="O5" s="816">
        <v>2021</v>
      </c>
      <c r="Q5" s="705">
        <v>0.05</v>
      </c>
      <c r="S5" s="171" t="s">
        <v>849</v>
      </c>
      <c r="U5" s="171" t="s">
        <v>849</v>
      </c>
      <c r="W5" s="171" t="s">
        <v>789</v>
      </c>
      <c r="Y5" s="705">
        <v>0.01</v>
      </c>
      <c r="AA5" s="171" t="s">
        <v>849</v>
      </c>
      <c r="AE5" s="171">
        <v>2</v>
      </c>
      <c r="AI5" s="171">
        <v>0.5</v>
      </c>
      <c r="AK5" s="171">
        <v>2</v>
      </c>
      <c r="AM5" s="171" t="s">
        <v>849</v>
      </c>
      <c r="AP5" s="171" t="s">
        <v>849</v>
      </c>
      <c r="AR5" s="171" t="s">
        <v>849</v>
      </c>
      <c r="AV5" s="171">
        <v>0.06</v>
      </c>
      <c r="AW5" s="171" t="s">
        <v>82</v>
      </c>
    </row>
    <row r="6" spans="1:49">
      <c r="A6" s="171">
        <v>2</v>
      </c>
      <c r="C6" s="171" t="s">
        <v>43</v>
      </c>
      <c r="M6" s="171">
        <v>3</v>
      </c>
      <c r="O6" s="816">
        <v>2022</v>
      </c>
      <c r="Q6" s="705">
        <v>0.1</v>
      </c>
      <c r="Y6" s="705">
        <v>0.02</v>
      </c>
      <c r="AE6" s="171">
        <v>3</v>
      </c>
      <c r="AI6" s="171">
        <v>0.75</v>
      </c>
      <c r="AK6" s="171">
        <v>3</v>
      </c>
      <c r="AV6" s="171">
        <v>7.0000000000000007E-2</v>
      </c>
      <c r="AW6" s="171" t="s">
        <v>82</v>
      </c>
    </row>
    <row r="7" spans="1:49">
      <c r="A7" s="171">
        <v>3</v>
      </c>
      <c r="M7" s="171">
        <v>4</v>
      </c>
      <c r="O7" s="816">
        <v>2023</v>
      </c>
      <c r="Q7" s="705">
        <v>0.15</v>
      </c>
      <c r="Y7" s="705">
        <v>0.03</v>
      </c>
      <c r="AE7" s="171">
        <v>4</v>
      </c>
      <c r="AI7" s="171">
        <v>1</v>
      </c>
      <c r="AK7" s="171">
        <v>4</v>
      </c>
      <c r="AV7" s="171">
        <v>0.08</v>
      </c>
      <c r="AW7" s="171" t="s">
        <v>82</v>
      </c>
    </row>
    <row r="8" spans="1:49">
      <c r="A8" s="171">
        <v>4</v>
      </c>
      <c r="M8" s="171">
        <v>5</v>
      </c>
      <c r="O8" s="816">
        <v>2024</v>
      </c>
      <c r="Q8" s="705">
        <v>0.2</v>
      </c>
      <c r="Y8" s="705">
        <v>0.04</v>
      </c>
      <c r="AE8" s="171">
        <v>5</v>
      </c>
      <c r="AI8" s="171">
        <v>1.25</v>
      </c>
      <c r="AK8" s="171">
        <v>5</v>
      </c>
      <c r="AV8" s="171">
        <v>0.09</v>
      </c>
      <c r="AW8" s="171" t="s">
        <v>82</v>
      </c>
    </row>
    <row r="9" spans="1:49">
      <c r="A9" s="171">
        <v>5</v>
      </c>
      <c r="M9" s="171">
        <v>6</v>
      </c>
      <c r="O9" s="816">
        <v>2025</v>
      </c>
      <c r="Q9" s="705">
        <v>0.25</v>
      </c>
      <c r="Y9" s="705">
        <v>0.05</v>
      </c>
      <c r="AE9" s="171">
        <v>6</v>
      </c>
      <c r="AI9" s="171">
        <v>1.5</v>
      </c>
      <c r="AK9" s="171">
        <v>6</v>
      </c>
      <c r="AV9" s="616">
        <v>0.1</v>
      </c>
      <c r="AW9" s="171" t="s">
        <v>82</v>
      </c>
    </row>
    <row r="10" spans="1:49">
      <c r="A10" s="171">
        <v>6</v>
      </c>
      <c r="C10" s="1693" t="s">
        <v>837</v>
      </c>
      <c r="D10" s="1693"/>
      <c r="E10" s="1693"/>
      <c r="F10" s="1693"/>
      <c r="G10" s="1693"/>
      <c r="I10" s="652" t="s">
        <v>838</v>
      </c>
      <c r="K10" s="652" t="s">
        <v>843</v>
      </c>
      <c r="M10" s="171">
        <v>7</v>
      </c>
      <c r="O10" s="816">
        <v>2026</v>
      </c>
      <c r="Q10" s="705">
        <v>0.3</v>
      </c>
      <c r="Y10" s="705">
        <v>0.06</v>
      </c>
      <c r="AE10" s="171">
        <v>7</v>
      </c>
      <c r="AI10" s="171">
        <v>1.75</v>
      </c>
      <c r="AK10" s="171">
        <v>7</v>
      </c>
      <c r="AV10" s="171">
        <v>0.11</v>
      </c>
      <c r="AW10" s="171" t="s">
        <v>82</v>
      </c>
    </row>
    <row r="11" spans="1:49">
      <c r="A11" s="171">
        <v>7</v>
      </c>
      <c r="C11" s="171" t="s">
        <v>848</v>
      </c>
      <c r="I11" s="171" t="s">
        <v>848</v>
      </c>
      <c r="K11" s="171" t="s">
        <v>848</v>
      </c>
      <c r="M11" s="171">
        <v>8</v>
      </c>
      <c r="O11" s="816">
        <v>2027</v>
      </c>
      <c r="Q11" s="705">
        <v>0.35</v>
      </c>
      <c r="Y11" s="705">
        <v>7.0000000000000007E-2</v>
      </c>
      <c r="AE11" s="171">
        <v>8</v>
      </c>
      <c r="AI11" s="171">
        <v>2</v>
      </c>
      <c r="AK11" s="171">
        <v>8</v>
      </c>
      <c r="AV11" s="171">
        <v>0.12</v>
      </c>
      <c r="AW11" s="171" t="s">
        <v>82</v>
      </c>
    </row>
    <row r="12" spans="1:49">
      <c r="A12" s="171">
        <v>8</v>
      </c>
      <c r="C12" s="171" t="s">
        <v>849</v>
      </c>
      <c r="I12" s="171" t="s">
        <v>849</v>
      </c>
      <c r="K12" s="171" t="s">
        <v>849</v>
      </c>
      <c r="M12" s="171">
        <v>9</v>
      </c>
      <c r="O12" s="816">
        <v>2028</v>
      </c>
      <c r="Q12" s="705">
        <v>0.4</v>
      </c>
      <c r="Y12" s="705">
        <v>0.08</v>
      </c>
      <c r="AE12" s="171">
        <v>9</v>
      </c>
      <c r="AI12" s="171">
        <v>2.25</v>
      </c>
      <c r="AK12" s="171">
        <v>9</v>
      </c>
      <c r="AV12" s="171">
        <v>0.13</v>
      </c>
      <c r="AW12" s="171" t="s">
        <v>82</v>
      </c>
    </row>
    <row r="13" spans="1:49">
      <c r="A13" s="171">
        <v>9</v>
      </c>
      <c r="M13" s="171">
        <v>10</v>
      </c>
      <c r="O13" s="816">
        <v>2029</v>
      </c>
      <c r="Q13" s="705">
        <v>0.45</v>
      </c>
      <c r="Y13" s="705">
        <v>0.09</v>
      </c>
      <c r="AE13" s="171">
        <v>10</v>
      </c>
      <c r="AI13" s="171">
        <v>2.5</v>
      </c>
      <c r="AK13" s="171">
        <v>10</v>
      </c>
      <c r="AV13" s="171">
        <v>0.14000000000000001</v>
      </c>
      <c r="AW13" s="171" t="s">
        <v>82</v>
      </c>
    </row>
    <row r="14" spans="1:49">
      <c r="A14" s="171">
        <v>10</v>
      </c>
      <c r="K14" s="652" t="s">
        <v>1315</v>
      </c>
      <c r="O14" s="816"/>
      <c r="Q14" s="705">
        <v>0.5</v>
      </c>
      <c r="Y14" s="705">
        <v>0.1</v>
      </c>
      <c r="AI14" s="171">
        <v>2.75</v>
      </c>
      <c r="AK14" s="171">
        <v>11</v>
      </c>
      <c r="AV14" s="171">
        <v>0.15</v>
      </c>
      <c r="AW14" s="171" t="s">
        <v>82</v>
      </c>
    </row>
    <row r="15" spans="1:49">
      <c r="A15" s="171">
        <v>11</v>
      </c>
      <c r="K15" s="171" t="s">
        <v>848</v>
      </c>
      <c r="O15" s="816"/>
      <c r="Q15" s="705">
        <v>0.55000000000000004</v>
      </c>
      <c r="Y15" s="705"/>
      <c r="AI15" s="171">
        <v>3</v>
      </c>
      <c r="AK15" s="171">
        <v>12</v>
      </c>
      <c r="AV15" s="171">
        <v>0.16</v>
      </c>
      <c r="AW15" s="171" t="s">
        <v>82</v>
      </c>
    </row>
    <row r="16" spans="1:49">
      <c r="A16" s="171">
        <v>12</v>
      </c>
      <c r="K16" s="171" t="s">
        <v>849</v>
      </c>
      <c r="Q16" s="705">
        <v>0.6</v>
      </c>
      <c r="Y16" s="705"/>
      <c r="AI16" s="171">
        <v>3.25</v>
      </c>
      <c r="AK16" s="171">
        <v>13</v>
      </c>
      <c r="AV16" s="171">
        <v>0.17</v>
      </c>
      <c r="AW16" s="171" t="s">
        <v>82</v>
      </c>
    </row>
    <row r="17" spans="1:49">
      <c r="A17" s="171">
        <v>13</v>
      </c>
      <c r="Q17" s="705">
        <v>0.65</v>
      </c>
      <c r="Y17" s="705"/>
      <c r="AI17" s="171">
        <v>3.5</v>
      </c>
      <c r="AK17" s="171">
        <v>14</v>
      </c>
      <c r="AV17" s="171">
        <v>0.18</v>
      </c>
      <c r="AW17" s="171" t="s">
        <v>82</v>
      </c>
    </row>
    <row r="18" spans="1:49">
      <c r="A18" s="171">
        <v>14</v>
      </c>
      <c r="Q18" s="705">
        <v>0.7</v>
      </c>
      <c r="Y18" s="705"/>
      <c r="AI18" s="171">
        <v>3.75</v>
      </c>
      <c r="AK18" s="171">
        <v>15</v>
      </c>
      <c r="AV18" s="171">
        <v>0.19</v>
      </c>
      <c r="AW18" s="171" t="s">
        <v>82</v>
      </c>
    </row>
    <row r="19" spans="1:49">
      <c r="A19" s="171">
        <v>15</v>
      </c>
      <c r="Q19" s="705">
        <v>0.75</v>
      </c>
      <c r="Y19" s="705"/>
      <c r="AI19" s="171">
        <v>4</v>
      </c>
      <c r="AK19" s="171">
        <v>16</v>
      </c>
      <c r="AV19" s="616">
        <v>0.2</v>
      </c>
      <c r="AW19" s="171" t="s">
        <v>82</v>
      </c>
    </row>
    <row r="20" spans="1:49">
      <c r="A20" s="171">
        <v>16</v>
      </c>
      <c r="Q20" s="705">
        <v>0.8</v>
      </c>
      <c r="Y20" s="705"/>
      <c r="AI20" s="171">
        <v>4.25</v>
      </c>
      <c r="AK20" s="171">
        <v>17</v>
      </c>
      <c r="AV20" s="171">
        <v>0.21</v>
      </c>
      <c r="AW20" s="171" t="s">
        <v>82</v>
      </c>
    </row>
    <row r="21" spans="1:49">
      <c r="A21" s="171">
        <v>17</v>
      </c>
      <c r="Q21" s="705">
        <v>0.85</v>
      </c>
      <c r="Y21" s="705"/>
      <c r="AI21" s="171">
        <v>4.5</v>
      </c>
      <c r="AK21" s="171">
        <v>18</v>
      </c>
      <c r="AV21" s="171">
        <v>0.22</v>
      </c>
      <c r="AW21" s="171" t="s">
        <v>82</v>
      </c>
    </row>
    <row r="22" spans="1:49">
      <c r="A22" s="171">
        <v>18</v>
      </c>
      <c r="Q22" s="705">
        <v>0.9</v>
      </c>
      <c r="Y22" s="705"/>
      <c r="AI22" s="171">
        <v>4.75</v>
      </c>
      <c r="AK22" s="171">
        <v>19</v>
      </c>
      <c r="AV22" s="171">
        <v>0.23</v>
      </c>
      <c r="AW22" s="171" t="s">
        <v>82</v>
      </c>
    </row>
    <row r="23" spans="1:49">
      <c r="A23" s="171">
        <v>19</v>
      </c>
      <c r="Q23" s="705">
        <v>0.95</v>
      </c>
      <c r="Y23" s="705"/>
      <c r="AI23" s="171">
        <v>5</v>
      </c>
      <c r="AK23" s="171">
        <v>20</v>
      </c>
      <c r="AV23" s="171">
        <v>0.24</v>
      </c>
      <c r="AW23" s="171" t="s">
        <v>82</v>
      </c>
    </row>
    <row r="24" spans="1:49">
      <c r="A24" s="171">
        <v>20</v>
      </c>
      <c r="Q24" s="705">
        <v>1</v>
      </c>
      <c r="AI24" s="171">
        <v>5.25</v>
      </c>
      <c r="AK24" s="171">
        <v>21</v>
      </c>
      <c r="AV24" s="171">
        <v>0.25</v>
      </c>
      <c r="AW24" s="171" t="s">
        <v>82</v>
      </c>
    </row>
    <row r="25" spans="1:49">
      <c r="A25" s="171">
        <v>21</v>
      </c>
      <c r="AI25" s="171">
        <v>5.5</v>
      </c>
      <c r="AK25" s="171">
        <v>22</v>
      </c>
    </row>
    <row r="26" spans="1:49">
      <c r="A26" s="171">
        <v>22</v>
      </c>
      <c r="AI26" s="171">
        <v>5.75</v>
      </c>
      <c r="AK26" s="171">
        <v>23</v>
      </c>
    </row>
    <row r="27" spans="1:49">
      <c r="A27" s="171">
        <v>23</v>
      </c>
      <c r="AI27" s="171">
        <v>6</v>
      </c>
      <c r="AK27" s="171">
        <v>24</v>
      </c>
    </row>
    <row r="28" spans="1:49">
      <c r="A28" s="171">
        <v>24</v>
      </c>
      <c r="AI28" s="171">
        <v>6.25</v>
      </c>
      <c r="AK28" s="171">
        <v>25</v>
      </c>
    </row>
    <row r="29" spans="1:49">
      <c r="A29" s="171">
        <v>25</v>
      </c>
      <c r="AI29" s="171">
        <v>6.5</v>
      </c>
      <c r="AK29" s="171">
        <v>26</v>
      </c>
    </row>
    <row r="30" spans="1:49">
      <c r="A30" s="171">
        <v>26</v>
      </c>
      <c r="AI30" s="171">
        <v>6.75</v>
      </c>
      <c r="AK30" s="171">
        <v>27</v>
      </c>
    </row>
    <row r="31" spans="1:49">
      <c r="A31" s="171">
        <v>27</v>
      </c>
      <c r="AI31" s="171">
        <v>7</v>
      </c>
      <c r="AK31" s="171">
        <v>28</v>
      </c>
    </row>
    <row r="32" spans="1:49">
      <c r="A32" s="171">
        <v>28</v>
      </c>
      <c r="AI32" s="171">
        <v>7.25</v>
      </c>
      <c r="AK32" s="171">
        <v>29</v>
      </c>
    </row>
    <row r="33" spans="1:37">
      <c r="A33" s="171">
        <v>29</v>
      </c>
      <c r="AI33" s="171">
        <v>7.5</v>
      </c>
      <c r="AK33" s="171">
        <v>30</v>
      </c>
    </row>
    <row r="34" spans="1:37">
      <c r="A34" s="171">
        <v>30</v>
      </c>
      <c r="AI34" s="171">
        <v>7.75</v>
      </c>
      <c r="AK34" s="171">
        <v>31</v>
      </c>
    </row>
    <row r="35" spans="1:37">
      <c r="A35" s="171">
        <v>31</v>
      </c>
      <c r="AI35" s="171">
        <v>8</v>
      </c>
      <c r="AK35" s="171">
        <v>32</v>
      </c>
    </row>
    <row r="36" spans="1:37">
      <c r="A36" s="171">
        <v>32</v>
      </c>
      <c r="AI36" s="171">
        <v>8.25</v>
      </c>
      <c r="AK36" s="171">
        <v>33</v>
      </c>
    </row>
    <row r="37" spans="1:37">
      <c r="A37" s="171">
        <v>33</v>
      </c>
      <c r="AI37" s="171">
        <v>8.5</v>
      </c>
      <c r="AK37" s="171">
        <v>34</v>
      </c>
    </row>
    <row r="38" spans="1:37">
      <c r="A38" s="171">
        <v>34</v>
      </c>
      <c r="AI38" s="171">
        <v>8.75</v>
      </c>
      <c r="AK38" s="171">
        <v>35</v>
      </c>
    </row>
    <row r="39" spans="1:37">
      <c r="A39" s="171">
        <v>35</v>
      </c>
      <c r="AI39" s="171">
        <v>9</v>
      </c>
      <c r="AK39" s="171">
        <v>36</v>
      </c>
    </row>
    <row r="40" spans="1:37">
      <c r="A40" s="171">
        <v>36</v>
      </c>
      <c r="AI40" s="171">
        <v>9.25</v>
      </c>
      <c r="AK40" s="171">
        <v>37</v>
      </c>
    </row>
    <row r="41" spans="1:37">
      <c r="A41" s="171">
        <v>37</v>
      </c>
      <c r="AI41" s="171">
        <v>9.5</v>
      </c>
      <c r="AK41" s="171">
        <v>38</v>
      </c>
    </row>
    <row r="42" spans="1:37">
      <c r="A42" s="171">
        <v>38</v>
      </c>
      <c r="AI42" s="171">
        <v>9.75</v>
      </c>
      <c r="AK42" s="171">
        <v>39</v>
      </c>
    </row>
    <row r="43" spans="1:37">
      <c r="A43" s="171">
        <v>39</v>
      </c>
      <c r="AI43" s="171">
        <v>10</v>
      </c>
      <c r="AK43" s="171">
        <v>40</v>
      </c>
    </row>
    <row r="44" spans="1:37">
      <c r="A44" s="171">
        <v>40</v>
      </c>
      <c r="AI44" s="171">
        <v>10.25</v>
      </c>
      <c r="AK44" s="171">
        <v>41</v>
      </c>
    </row>
    <row r="45" spans="1:37">
      <c r="A45" s="171">
        <v>41</v>
      </c>
      <c r="AI45" s="171">
        <v>10.5</v>
      </c>
      <c r="AK45" s="171">
        <v>42</v>
      </c>
    </row>
    <row r="46" spans="1:37">
      <c r="A46" s="171">
        <v>42</v>
      </c>
      <c r="AI46" s="171">
        <v>10.75</v>
      </c>
      <c r="AK46" s="171">
        <v>43</v>
      </c>
    </row>
    <row r="47" spans="1:37">
      <c r="A47" s="171">
        <v>43</v>
      </c>
      <c r="AI47" s="171">
        <v>11</v>
      </c>
      <c r="AK47" s="171">
        <v>44</v>
      </c>
    </row>
    <row r="48" spans="1:37">
      <c r="A48" s="171">
        <v>44</v>
      </c>
      <c r="AI48" s="171">
        <v>11.25</v>
      </c>
      <c r="AK48" s="171">
        <v>45</v>
      </c>
    </row>
    <row r="49" spans="1:37">
      <c r="A49" s="171">
        <v>45</v>
      </c>
      <c r="AI49" s="171">
        <v>11.5</v>
      </c>
      <c r="AK49" s="171">
        <v>46</v>
      </c>
    </row>
    <row r="50" spans="1:37">
      <c r="A50" s="171">
        <v>46</v>
      </c>
      <c r="AI50" s="171">
        <v>11.75</v>
      </c>
      <c r="AK50" s="171">
        <v>47</v>
      </c>
    </row>
    <row r="51" spans="1:37">
      <c r="A51" s="171">
        <v>47</v>
      </c>
      <c r="AI51" s="171">
        <v>12</v>
      </c>
      <c r="AK51" s="171">
        <v>48</v>
      </c>
    </row>
    <row r="52" spans="1:37">
      <c r="A52" s="171">
        <v>48</v>
      </c>
      <c r="AI52" s="171">
        <v>12.25</v>
      </c>
      <c r="AK52" s="171">
        <v>49</v>
      </c>
    </row>
    <row r="53" spans="1:37">
      <c r="A53" s="171">
        <v>49</v>
      </c>
      <c r="AI53" s="171">
        <v>12.5</v>
      </c>
      <c r="AK53" s="171">
        <v>50</v>
      </c>
    </row>
    <row r="54" spans="1:37">
      <c r="A54" s="171">
        <v>50</v>
      </c>
      <c r="AI54" s="171">
        <v>12.75</v>
      </c>
      <c r="AK54" s="171">
        <v>51</v>
      </c>
    </row>
    <row r="55" spans="1:37">
      <c r="A55" s="171">
        <v>51</v>
      </c>
      <c r="AI55" s="171">
        <v>13</v>
      </c>
      <c r="AK55" s="171">
        <v>52</v>
      </c>
    </row>
    <row r="56" spans="1:37">
      <c r="A56" s="171">
        <v>52</v>
      </c>
      <c r="AI56" s="171">
        <v>13.25</v>
      </c>
      <c r="AK56" s="171">
        <v>53</v>
      </c>
    </row>
    <row r="57" spans="1:37">
      <c r="A57" s="171">
        <v>53</v>
      </c>
      <c r="AI57" s="171">
        <v>13.5</v>
      </c>
      <c r="AK57" s="171">
        <v>54</v>
      </c>
    </row>
    <row r="58" spans="1:37">
      <c r="A58" s="171">
        <v>54</v>
      </c>
      <c r="AI58" s="171">
        <v>13.75</v>
      </c>
      <c r="AK58" s="171">
        <v>55</v>
      </c>
    </row>
    <row r="59" spans="1:37">
      <c r="A59" s="171">
        <v>55</v>
      </c>
      <c r="AI59" s="171">
        <v>14</v>
      </c>
      <c r="AK59" s="171">
        <v>56</v>
      </c>
    </row>
    <row r="60" spans="1:37">
      <c r="A60" s="171">
        <v>56</v>
      </c>
      <c r="AI60" s="171">
        <v>14.25</v>
      </c>
      <c r="AK60" s="171">
        <v>57</v>
      </c>
    </row>
    <row r="61" spans="1:37">
      <c r="A61" s="171">
        <v>57</v>
      </c>
      <c r="AI61" s="171">
        <v>14.5</v>
      </c>
      <c r="AK61" s="171">
        <v>58</v>
      </c>
    </row>
    <row r="62" spans="1:37">
      <c r="A62" s="171">
        <v>58</v>
      </c>
      <c r="AI62" s="171">
        <v>14.75</v>
      </c>
      <c r="AK62" s="171">
        <v>59</v>
      </c>
    </row>
    <row r="63" spans="1:37">
      <c r="A63" s="171">
        <v>59</v>
      </c>
      <c r="AI63" s="171">
        <v>15</v>
      </c>
      <c r="AK63" s="171">
        <v>60</v>
      </c>
    </row>
    <row r="64" spans="1:37">
      <c r="A64" s="171">
        <v>60</v>
      </c>
      <c r="AI64" s="171">
        <v>15.25</v>
      </c>
      <c r="AK64" s="171">
        <v>61</v>
      </c>
    </row>
    <row r="65" spans="1:37">
      <c r="A65" s="719" t="s">
        <v>304</v>
      </c>
      <c r="AI65" s="171">
        <v>15.5</v>
      </c>
      <c r="AK65" s="171">
        <v>62</v>
      </c>
    </row>
    <row r="66" spans="1:37">
      <c r="AI66" s="171">
        <v>15.75</v>
      </c>
      <c r="AK66" s="171">
        <v>63</v>
      </c>
    </row>
    <row r="67" spans="1:37">
      <c r="AI67" s="171">
        <v>16</v>
      </c>
      <c r="AK67" s="171">
        <v>64</v>
      </c>
    </row>
    <row r="68" spans="1:37">
      <c r="AI68" s="171">
        <v>16.25</v>
      </c>
      <c r="AK68" s="171">
        <v>65</v>
      </c>
    </row>
    <row r="69" spans="1:37">
      <c r="AI69" s="171">
        <v>16.5</v>
      </c>
      <c r="AK69" s="171">
        <v>66</v>
      </c>
    </row>
    <row r="70" spans="1:37">
      <c r="AI70" s="171">
        <v>16.75</v>
      </c>
      <c r="AK70" s="171">
        <v>67</v>
      </c>
    </row>
    <row r="71" spans="1:37">
      <c r="AI71" s="171">
        <v>17</v>
      </c>
      <c r="AK71" s="171">
        <v>68</v>
      </c>
    </row>
    <row r="72" spans="1:37">
      <c r="AI72" s="171">
        <v>17.25</v>
      </c>
      <c r="AK72" s="171">
        <v>69</v>
      </c>
    </row>
    <row r="73" spans="1:37">
      <c r="AI73" s="171">
        <v>17.5</v>
      </c>
      <c r="AK73" s="171">
        <v>70</v>
      </c>
    </row>
    <row r="74" spans="1:37">
      <c r="AI74" s="171">
        <v>17.75</v>
      </c>
      <c r="AK74" s="171">
        <v>71</v>
      </c>
    </row>
    <row r="75" spans="1:37">
      <c r="AI75" s="171">
        <v>18</v>
      </c>
      <c r="AK75" s="171">
        <v>72</v>
      </c>
    </row>
    <row r="76" spans="1:37">
      <c r="AI76" s="171">
        <v>18.25</v>
      </c>
      <c r="AK76" s="171">
        <v>73</v>
      </c>
    </row>
    <row r="77" spans="1:37">
      <c r="AI77" s="171">
        <v>18.5</v>
      </c>
      <c r="AK77" s="171">
        <v>74</v>
      </c>
    </row>
    <row r="78" spans="1:37">
      <c r="AI78" s="171">
        <v>18.75</v>
      </c>
      <c r="AK78" s="171">
        <v>75</v>
      </c>
    </row>
    <row r="79" spans="1:37">
      <c r="AI79" s="171">
        <v>19</v>
      </c>
      <c r="AK79" s="171">
        <v>76</v>
      </c>
    </row>
    <row r="80" spans="1:37">
      <c r="AI80" s="171">
        <v>19.25</v>
      </c>
      <c r="AK80" s="171">
        <v>77</v>
      </c>
    </row>
    <row r="81" spans="35:37">
      <c r="AI81" s="171">
        <v>19.5</v>
      </c>
      <c r="AK81" s="171">
        <v>78</v>
      </c>
    </row>
    <row r="82" spans="35:37">
      <c r="AI82" s="171">
        <v>19.75</v>
      </c>
      <c r="AK82" s="171">
        <v>79</v>
      </c>
    </row>
    <row r="83" spans="35:37">
      <c r="AI83" s="171">
        <v>20</v>
      </c>
      <c r="AK83" s="171">
        <v>80</v>
      </c>
    </row>
    <row r="84" spans="35:37">
      <c r="AI84" s="171">
        <v>20.25</v>
      </c>
      <c r="AK84" s="171">
        <v>81</v>
      </c>
    </row>
    <row r="85" spans="35:37">
      <c r="AI85" s="171">
        <v>20.5</v>
      </c>
      <c r="AK85" s="171">
        <v>82</v>
      </c>
    </row>
    <row r="86" spans="35:37">
      <c r="AI86" s="171">
        <v>20.75</v>
      </c>
      <c r="AK86" s="171">
        <v>83</v>
      </c>
    </row>
    <row r="87" spans="35:37">
      <c r="AI87" s="171">
        <v>21</v>
      </c>
      <c r="AK87" s="171">
        <v>84</v>
      </c>
    </row>
    <row r="88" spans="35:37">
      <c r="AI88" s="171">
        <v>21.25</v>
      </c>
      <c r="AK88" s="171">
        <v>85</v>
      </c>
    </row>
    <row r="89" spans="35:37">
      <c r="AI89" s="171">
        <v>21.5</v>
      </c>
      <c r="AK89" s="171">
        <v>86</v>
      </c>
    </row>
    <row r="90" spans="35:37">
      <c r="AI90" s="171">
        <v>21.75</v>
      </c>
      <c r="AK90" s="171">
        <v>87</v>
      </c>
    </row>
    <row r="91" spans="35:37">
      <c r="AI91" s="171">
        <v>22</v>
      </c>
      <c r="AK91" s="171">
        <v>88</v>
      </c>
    </row>
    <row r="92" spans="35:37">
      <c r="AI92" s="171">
        <v>22.25</v>
      </c>
      <c r="AK92" s="171">
        <v>89</v>
      </c>
    </row>
    <row r="93" spans="35:37">
      <c r="AI93" s="171">
        <v>22.5</v>
      </c>
      <c r="AK93" s="171">
        <v>90</v>
      </c>
    </row>
    <row r="94" spans="35:37">
      <c r="AI94" s="171">
        <v>22.75</v>
      </c>
      <c r="AK94" s="171">
        <v>91</v>
      </c>
    </row>
    <row r="95" spans="35:37">
      <c r="AI95" s="171">
        <v>23</v>
      </c>
      <c r="AK95" s="171">
        <v>92</v>
      </c>
    </row>
    <row r="96" spans="35:37">
      <c r="AI96" s="171">
        <v>23.25</v>
      </c>
      <c r="AK96" s="171">
        <v>93</v>
      </c>
    </row>
    <row r="97" spans="35:37">
      <c r="AI97" s="171">
        <v>23.5</v>
      </c>
      <c r="AK97" s="171">
        <v>94</v>
      </c>
    </row>
    <row r="98" spans="35:37">
      <c r="AI98" s="171">
        <v>23.75</v>
      </c>
      <c r="AK98" s="171">
        <v>95</v>
      </c>
    </row>
    <row r="99" spans="35:37">
      <c r="AI99" s="171">
        <v>24</v>
      </c>
      <c r="AK99" s="171">
        <v>96</v>
      </c>
    </row>
    <row r="100" spans="35:37">
      <c r="AK100" s="171">
        <v>97</v>
      </c>
    </row>
    <row r="101" spans="35:37">
      <c r="AK101" s="171">
        <v>98</v>
      </c>
    </row>
    <row r="102" spans="35:37">
      <c r="AK102" s="171">
        <v>99</v>
      </c>
    </row>
    <row r="103" spans="35:37">
      <c r="AK103" s="171">
        <v>100</v>
      </c>
    </row>
    <row r="104" spans="35:37">
      <c r="AK104" s="171">
        <v>101</v>
      </c>
    </row>
    <row r="105" spans="35:37">
      <c r="AK105" s="171">
        <v>102</v>
      </c>
    </row>
    <row r="106" spans="35:37">
      <c r="AK106" s="171">
        <v>103</v>
      </c>
    </row>
    <row r="107" spans="35:37">
      <c r="AK107" s="171">
        <v>104</v>
      </c>
    </row>
    <row r="108" spans="35:37">
      <c r="AK108" s="171">
        <v>105</v>
      </c>
    </row>
    <row r="109" spans="35:37">
      <c r="AK109" s="171">
        <v>106</v>
      </c>
    </row>
    <row r="110" spans="35:37">
      <c r="AK110" s="171">
        <v>107</v>
      </c>
    </row>
    <row r="111" spans="35:37">
      <c r="AK111" s="171">
        <v>108</v>
      </c>
    </row>
    <row r="112" spans="35:37">
      <c r="AK112" s="171">
        <v>109</v>
      </c>
    </row>
    <row r="113" spans="37:37">
      <c r="AK113" s="171">
        <v>110</v>
      </c>
    </row>
    <row r="114" spans="37:37">
      <c r="AK114" s="171">
        <v>111</v>
      </c>
    </row>
    <row r="115" spans="37:37">
      <c r="AK115" s="171">
        <v>112</v>
      </c>
    </row>
    <row r="116" spans="37:37">
      <c r="AK116" s="171">
        <v>113</v>
      </c>
    </row>
    <row r="117" spans="37:37">
      <c r="AK117" s="171">
        <v>114</v>
      </c>
    </row>
    <row r="118" spans="37:37">
      <c r="AK118" s="171">
        <v>115</v>
      </c>
    </row>
    <row r="119" spans="37:37">
      <c r="AK119" s="171">
        <v>116</v>
      </c>
    </row>
    <row r="120" spans="37:37">
      <c r="AK120" s="171">
        <v>117</v>
      </c>
    </row>
    <row r="121" spans="37:37">
      <c r="AK121" s="171">
        <v>118</v>
      </c>
    </row>
    <row r="122" spans="37:37">
      <c r="AK122" s="171">
        <v>119</v>
      </c>
    </row>
    <row r="123" spans="37:37">
      <c r="AK123" s="171">
        <v>120</v>
      </c>
    </row>
    <row r="124" spans="37:37">
      <c r="AK124" s="171">
        <v>121</v>
      </c>
    </row>
    <row r="125" spans="37:37">
      <c r="AK125" s="171">
        <v>122</v>
      </c>
    </row>
    <row r="126" spans="37:37">
      <c r="AK126" s="171">
        <v>123</v>
      </c>
    </row>
    <row r="127" spans="37:37">
      <c r="AK127" s="171">
        <v>124</v>
      </c>
    </row>
    <row r="128" spans="37:37">
      <c r="AK128" s="171">
        <v>125</v>
      </c>
    </row>
    <row r="129" spans="37:37">
      <c r="AK129" s="171">
        <v>126</v>
      </c>
    </row>
    <row r="130" spans="37:37">
      <c r="AK130" s="171">
        <v>127</v>
      </c>
    </row>
    <row r="131" spans="37:37">
      <c r="AK131" s="171">
        <v>128</v>
      </c>
    </row>
    <row r="132" spans="37:37">
      <c r="AK132" s="171">
        <v>129</v>
      </c>
    </row>
    <row r="133" spans="37:37">
      <c r="AK133" s="171">
        <v>130</v>
      </c>
    </row>
    <row r="134" spans="37:37">
      <c r="AK134" s="171">
        <v>131</v>
      </c>
    </row>
    <row r="135" spans="37:37">
      <c r="AK135" s="171">
        <v>132</v>
      </c>
    </row>
    <row r="136" spans="37:37">
      <c r="AK136" s="171">
        <v>133</v>
      </c>
    </row>
    <row r="137" spans="37:37">
      <c r="AK137" s="171">
        <v>134</v>
      </c>
    </row>
    <row r="138" spans="37:37">
      <c r="AK138" s="171">
        <v>135</v>
      </c>
    </row>
    <row r="139" spans="37:37">
      <c r="AK139" s="171">
        <v>136</v>
      </c>
    </row>
    <row r="140" spans="37:37">
      <c r="AK140" s="171">
        <v>137</v>
      </c>
    </row>
    <row r="141" spans="37:37">
      <c r="AK141" s="171">
        <v>138</v>
      </c>
    </row>
    <row r="142" spans="37:37">
      <c r="AK142" s="171">
        <v>139</v>
      </c>
    </row>
    <row r="143" spans="37:37">
      <c r="AK143" s="171">
        <v>140</v>
      </c>
    </row>
    <row r="144" spans="37:37">
      <c r="AK144" s="171">
        <v>141</v>
      </c>
    </row>
    <row r="145" spans="37:37">
      <c r="AK145" s="171">
        <v>142</v>
      </c>
    </row>
    <row r="146" spans="37:37">
      <c r="AK146" s="171">
        <v>143</v>
      </c>
    </row>
    <row r="147" spans="37:37">
      <c r="AK147" s="171">
        <v>144</v>
      </c>
    </row>
    <row r="148" spans="37:37">
      <c r="AK148" s="171">
        <v>145</v>
      </c>
    </row>
    <row r="149" spans="37:37">
      <c r="AK149" s="171">
        <v>146</v>
      </c>
    </row>
    <row r="150" spans="37:37">
      <c r="AK150" s="171">
        <v>147</v>
      </c>
    </row>
    <row r="151" spans="37:37">
      <c r="AK151" s="171">
        <v>148</v>
      </c>
    </row>
    <row r="152" spans="37:37">
      <c r="AK152" s="171">
        <v>149</v>
      </c>
    </row>
    <row r="153" spans="37:37">
      <c r="AK153" s="171">
        <v>150</v>
      </c>
    </row>
    <row r="154" spans="37:37">
      <c r="AK154" s="171">
        <v>151</v>
      </c>
    </row>
    <row r="155" spans="37:37">
      <c r="AK155" s="171">
        <v>152</v>
      </c>
    </row>
    <row r="156" spans="37:37">
      <c r="AK156" s="171">
        <v>153</v>
      </c>
    </row>
    <row r="157" spans="37:37">
      <c r="AK157" s="171">
        <v>154</v>
      </c>
    </row>
    <row r="158" spans="37:37">
      <c r="AK158" s="171">
        <v>155</v>
      </c>
    </row>
    <row r="159" spans="37:37">
      <c r="AK159" s="171">
        <v>156</v>
      </c>
    </row>
    <row r="160" spans="37:37">
      <c r="AK160" s="171">
        <v>157</v>
      </c>
    </row>
    <row r="161" spans="37:37">
      <c r="AK161" s="171">
        <v>158</v>
      </c>
    </row>
    <row r="162" spans="37:37">
      <c r="AK162" s="171">
        <v>159</v>
      </c>
    </row>
    <row r="163" spans="37:37">
      <c r="AK163" s="171">
        <v>160</v>
      </c>
    </row>
    <row r="164" spans="37:37">
      <c r="AK164" s="171">
        <v>161</v>
      </c>
    </row>
    <row r="165" spans="37:37">
      <c r="AK165" s="171">
        <v>162</v>
      </c>
    </row>
    <row r="166" spans="37:37">
      <c r="AK166" s="171">
        <v>163</v>
      </c>
    </row>
    <row r="167" spans="37:37">
      <c r="AK167" s="171">
        <v>164</v>
      </c>
    </row>
    <row r="168" spans="37:37">
      <c r="AK168" s="171">
        <v>165</v>
      </c>
    </row>
    <row r="169" spans="37:37">
      <c r="AK169" s="171">
        <v>166</v>
      </c>
    </row>
    <row r="170" spans="37:37">
      <c r="AK170" s="171">
        <v>167</v>
      </c>
    </row>
    <row r="171" spans="37:37">
      <c r="AK171" s="171">
        <v>168</v>
      </c>
    </row>
    <row r="172" spans="37:37">
      <c r="AK172" s="171">
        <v>169</v>
      </c>
    </row>
    <row r="173" spans="37:37">
      <c r="AK173" s="171">
        <v>170</v>
      </c>
    </row>
    <row r="174" spans="37:37">
      <c r="AK174" s="171">
        <v>171</v>
      </c>
    </row>
    <row r="175" spans="37:37">
      <c r="AK175" s="171">
        <v>172</v>
      </c>
    </row>
    <row r="176" spans="37:37">
      <c r="AK176" s="171">
        <v>173</v>
      </c>
    </row>
    <row r="177" spans="37:37">
      <c r="AK177" s="171">
        <v>174</v>
      </c>
    </row>
    <row r="178" spans="37:37">
      <c r="AK178" s="171">
        <v>175</v>
      </c>
    </row>
    <row r="179" spans="37:37">
      <c r="AK179" s="171">
        <v>176</v>
      </c>
    </row>
    <row r="180" spans="37:37">
      <c r="AK180" s="171">
        <v>177</v>
      </c>
    </row>
    <row r="181" spans="37:37">
      <c r="AK181" s="171">
        <v>178</v>
      </c>
    </row>
    <row r="182" spans="37:37">
      <c r="AK182" s="171">
        <v>179</v>
      </c>
    </row>
    <row r="183" spans="37:37">
      <c r="AK183" s="171">
        <v>180</v>
      </c>
    </row>
    <row r="184" spans="37:37">
      <c r="AK184" s="171">
        <v>181</v>
      </c>
    </row>
    <row r="185" spans="37:37">
      <c r="AK185" s="171">
        <v>182</v>
      </c>
    </row>
    <row r="186" spans="37:37">
      <c r="AK186" s="171">
        <v>183</v>
      </c>
    </row>
    <row r="187" spans="37:37">
      <c r="AK187" s="171">
        <v>184</v>
      </c>
    </row>
    <row r="188" spans="37:37">
      <c r="AK188" s="171">
        <v>185</v>
      </c>
    </row>
    <row r="189" spans="37:37">
      <c r="AK189" s="171">
        <v>186</v>
      </c>
    </row>
    <row r="190" spans="37:37">
      <c r="AK190" s="171">
        <v>187</v>
      </c>
    </row>
    <row r="191" spans="37:37">
      <c r="AK191" s="171">
        <v>188</v>
      </c>
    </row>
    <row r="192" spans="37:37">
      <c r="AK192" s="171">
        <v>189</v>
      </c>
    </row>
    <row r="193" spans="37:37">
      <c r="AK193" s="171">
        <v>190</v>
      </c>
    </row>
    <row r="194" spans="37:37">
      <c r="AK194" s="171">
        <v>191</v>
      </c>
    </row>
    <row r="195" spans="37:37">
      <c r="AK195" s="171">
        <v>192</v>
      </c>
    </row>
    <row r="196" spans="37:37">
      <c r="AK196" s="171">
        <v>193</v>
      </c>
    </row>
    <row r="197" spans="37:37">
      <c r="AK197" s="171">
        <v>194</v>
      </c>
    </row>
    <row r="198" spans="37:37">
      <c r="AK198" s="171">
        <v>195</v>
      </c>
    </row>
    <row r="199" spans="37:37">
      <c r="AK199" s="171">
        <v>196</v>
      </c>
    </row>
    <row r="200" spans="37:37">
      <c r="AK200" s="171">
        <v>197</v>
      </c>
    </row>
    <row r="201" spans="37:37">
      <c r="AK201" s="171">
        <v>198</v>
      </c>
    </row>
    <row r="202" spans="37:37">
      <c r="AK202" s="171">
        <v>199</v>
      </c>
    </row>
    <row r="203" spans="37:37">
      <c r="AK203" s="171">
        <v>200</v>
      </c>
    </row>
    <row r="204" spans="37:37">
      <c r="AK204" s="171">
        <v>201</v>
      </c>
    </row>
    <row r="205" spans="37:37">
      <c r="AK205" s="171">
        <v>202</v>
      </c>
    </row>
    <row r="206" spans="37:37">
      <c r="AK206" s="171">
        <v>203</v>
      </c>
    </row>
    <row r="207" spans="37:37">
      <c r="AK207" s="171">
        <v>204</v>
      </c>
    </row>
    <row r="208" spans="37:37">
      <c r="AK208" s="171">
        <v>205</v>
      </c>
    </row>
    <row r="209" spans="37:37">
      <c r="AK209" s="171">
        <v>206</v>
      </c>
    </row>
    <row r="210" spans="37:37">
      <c r="AK210" s="171">
        <v>207</v>
      </c>
    </row>
    <row r="211" spans="37:37">
      <c r="AK211" s="171">
        <v>208</v>
      </c>
    </row>
    <row r="212" spans="37:37">
      <c r="AK212" s="171">
        <v>209</v>
      </c>
    </row>
    <row r="213" spans="37:37">
      <c r="AK213" s="171">
        <v>210</v>
      </c>
    </row>
    <row r="214" spans="37:37">
      <c r="AK214" s="171">
        <v>211</v>
      </c>
    </row>
    <row r="215" spans="37:37">
      <c r="AK215" s="171">
        <v>212</v>
      </c>
    </row>
    <row r="216" spans="37:37">
      <c r="AK216" s="171">
        <v>213</v>
      </c>
    </row>
    <row r="217" spans="37:37">
      <c r="AK217" s="171">
        <v>214</v>
      </c>
    </row>
    <row r="218" spans="37:37">
      <c r="AK218" s="171">
        <v>215</v>
      </c>
    </row>
    <row r="219" spans="37:37">
      <c r="AK219" s="171">
        <v>216</v>
      </c>
    </row>
    <row r="220" spans="37:37">
      <c r="AK220" s="171">
        <v>217</v>
      </c>
    </row>
    <row r="221" spans="37:37">
      <c r="AK221" s="171">
        <v>218</v>
      </c>
    </row>
    <row r="222" spans="37:37">
      <c r="AK222" s="171">
        <v>219</v>
      </c>
    </row>
    <row r="223" spans="37:37">
      <c r="AK223" s="171">
        <v>220</v>
      </c>
    </row>
    <row r="224" spans="37:37">
      <c r="AK224" s="171">
        <v>221</v>
      </c>
    </row>
    <row r="225" spans="37:37">
      <c r="AK225" s="171">
        <v>222</v>
      </c>
    </row>
    <row r="226" spans="37:37">
      <c r="AK226" s="171">
        <v>223</v>
      </c>
    </row>
    <row r="227" spans="37:37">
      <c r="AK227" s="171">
        <v>224</v>
      </c>
    </row>
    <row r="228" spans="37:37">
      <c r="AK228" s="171">
        <v>225</v>
      </c>
    </row>
    <row r="229" spans="37:37">
      <c r="AK229" s="171">
        <v>226</v>
      </c>
    </row>
    <row r="230" spans="37:37">
      <c r="AK230" s="171">
        <v>227</v>
      </c>
    </row>
    <row r="231" spans="37:37">
      <c r="AK231" s="171">
        <v>228</v>
      </c>
    </row>
    <row r="232" spans="37:37">
      <c r="AK232" s="171">
        <v>229</v>
      </c>
    </row>
    <row r="233" spans="37:37">
      <c r="AK233" s="171">
        <v>230</v>
      </c>
    </row>
    <row r="234" spans="37:37">
      <c r="AK234" s="171">
        <v>231</v>
      </c>
    </row>
    <row r="235" spans="37:37">
      <c r="AK235" s="171">
        <v>232</v>
      </c>
    </row>
    <row r="236" spans="37:37">
      <c r="AK236" s="171">
        <v>233</v>
      </c>
    </row>
    <row r="237" spans="37:37">
      <c r="AK237" s="171">
        <v>234</v>
      </c>
    </row>
    <row r="238" spans="37:37">
      <c r="AK238" s="171">
        <v>235</v>
      </c>
    </row>
    <row r="239" spans="37:37">
      <c r="AK239" s="171">
        <v>236</v>
      </c>
    </row>
    <row r="240" spans="37:37">
      <c r="AK240" s="171">
        <v>237</v>
      </c>
    </row>
    <row r="241" spans="37:37">
      <c r="AK241" s="171">
        <v>238</v>
      </c>
    </row>
    <row r="242" spans="37:37">
      <c r="AK242" s="171">
        <v>239</v>
      </c>
    </row>
    <row r="243" spans="37:37">
      <c r="AK243" s="171">
        <v>240</v>
      </c>
    </row>
    <row r="244" spans="37:37">
      <c r="AK244" s="171">
        <v>241</v>
      </c>
    </row>
    <row r="245" spans="37:37">
      <c r="AK245" s="171">
        <v>242</v>
      </c>
    </row>
    <row r="246" spans="37:37">
      <c r="AK246" s="171">
        <v>243</v>
      </c>
    </row>
    <row r="247" spans="37:37">
      <c r="AK247" s="171">
        <v>244</v>
      </c>
    </row>
    <row r="248" spans="37:37">
      <c r="AK248" s="171">
        <v>245</v>
      </c>
    </row>
    <row r="249" spans="37:37">
      <c r="AK249" s="171">
        <v>246</v>
      </c>
    </row>
    <row r="250" spans="37:37">
      <c r="AK250" s="171">
        <v>247</v>
      </c>
    </row>
    <row r="251" spans="37:37">
      <c r="AK251" s="171">
        <v>248</v>
      </c>
    </row>
    <row r="252" spans="37:37">
      <c r="AK252" s="171">
        <v>249</v>
      </c>
    </row>
    <row r="253" spans="37:37">
      <c r="AK253" s="171">
        <v>250</v>
      </c>
    </row>
    <row r="254" spans="37:37">
      <c r="AK254" s="171">
        <v>251</v>
      </c>
    </row>
    <row r="255" spans="37:37">
      <c r="AK255" s="171">
        <v>252</v>
      </c>
    </row>
    <row r="256" spans="37:37">
      <c r="AK256" s="171">
        <v>253</v>
      </c>
    </row>
    <row r="257" spans="37:37">
      <c r="AK257" s="171">
        <v>254</v>
      </c>
    </row>
    <row r="258" spans="37:37">
      <c r="AK258" s="171">
        <v>255</v>
      </c>
    </row>
    <row r="259" spans="37:37">
      <c r="AK259" s="171">
        <v>256</v>
      </c>
    </row>
    <row r="260" spans="37:37">
      <c r="AK260" s="171">
        <v>257</v>
      </c>
    </row>
    <row r="261" spans="37:37">
      <c r="AK261" s="171">
        <v>258</v>
      </c>
    </row>
    <row r="262" spans="37:37">
      <c r="AK262" s="171">
        <v>259</v>
      </c>
    </row>
    <row r="263" spans="37:37">
      <c r="AK263" s="171">
        <v>260</v>
      </c>
    </row>
    <row r="264" spans="37:37">
      <c r="AK264" s="171">
        <v>261</v>
      </c>
    </row>
    <row r="265" spans="37:37">
      <c r="AK265" s="171">
        <v>262</v>
      </c>
    </row>
    <row r="266" spans="37:37">
      <c r="AK266" s="171">
        <v>263</v>
      </c>
    </row>
    <row r="267" spans="37:37">
      <c r="AK267" s="171">
        <v>264</v>
      </c>
    </row>
    <row r="268" spans="37:37">
      <c r="AK268" s="171">
        <v>265</v>
      </c>
    </row>
    <row r="269" spans="37:37">
      <c r="AK269" s="171">
        <v>266</v>
      </c>
    </row>
    <row r="270" spans="37:37">
      <c r="AK270" s="171">
        <v>267</v>
      </c>
    </row>
    <row r="271" spans="37:37">
      <c r="AK271" s="171">
        <v>268</v>
      </c>
    </row>
    <row r="272" spans="37:37">
      <c r="AK272" s="171">
        <v>269</v>
      </c>
    </row>
    <row r="273" spans="37:37">
      <c r="AK273" s="171">
        <v>270</v>
      </c>
    </row>
    <row r="274" spans="37:37">
      <c r="AK274" s="171">
        <v>271</v>
      </c>
    </row>
    <row r="275" spans="37:37">
      <c r="AK275" s="171">
        <v>272</v>
      </c>
    </row>
    <row r="276" spans="37:37">
      <c r="AK276" s="171">
        <v>273</v>
      </c>
    </row>
    <row r="277" spans="37:37">
      <c r="AK277" s="171">
        <v>274</v>
      </c>
    </row>
    <row r="278" spans="37:37">
      <c r="AK278" s="171">
        <v>275</v>
      </c>
    </row>
    <row r="279" spans="37:37">
      <c r="AK279" s="171">
        <v>276</v>
      </c>
    </row>
    <row r="280" spans="37:37">
      <c r="AK280" s="171">
        <v>277</v>
      </c>
    </row>
    <row r="281" spans="37:37">
      <c r="AK281" s="171">
        <v>278</v>
      </c>
    </row>
    <row r="282" spans="37:37">
      <c r="AK282" s="171">
        <v>279</v>
      </c>
    </row>
    <row r="283" spans="37:37">
      <c r="AK283" s="171">
        <v>280</v>
      </c>
    </row>
    <row r="284" spans="37:37">
      <c r="AK284" s="171">
        <v>281</v>
      </c>
    </row>
    <row r="285" spans="37:37">
      <c r="AK285" s="171">
        <v>282</v>
      </c>
    </row>
    <row r="286" spans="37:37">
      <c r="AK286" s="171">
        <v>283</v>
      </c>
    </row>
    <row r="287" spans="37:37">
      <c r="AK287" s="171">
        <v>284</v>
      </c>
    </row>
    <row r="288" spans="37:37">
      <c r="AK288" s="171">
        <v>285</v>
      </c>
    </row>
    <row r="289" spans="37:37">
      <c r="AK289" s="171">
        <v>286</v>
      </c>
    </row>
    <row r="290" spans="37:37">
      <c r="AK290" s="171">
        <v>287</v>
      </c>
    </row>
    <row r="291" spans="37:37">
      <c r="AK291" s="171">
        <v>288</v>
      </c>
    </row>
    <row r="292" spans="37:37">
      <c r="AK292" s="171">
        <v>289</v>
      </c>
    </row>
    <row r="293" spans="37:37">
      <c r="AK293" s="171">
        <v>290</v>
      </c>
    </row>
    <row r="294" spans="37:37">
      <c r="AK294" s="171">
        <v>291</v>
      </c>
    </row>
    <row r="295" spans="37:37">
      <c r="AK295" s="171">
        <v>292</v>
      </c>
    </row>
    <row r="296" spans="37:37">
      <c r="AK296" s="171">
        <v>293</v>
      </c>
    </row>
    <row r="297" spans="37:37">
      <c r="AK297" s="171">
        <v>294</v>
      </c>
    </row>
    <row r="298" spans="37:37">
      <c r="AK298" s="171">
        <v>295</v>
      </c>
    </row>
    <row r="299" spans="37:37">
      <c r="AK299" s="171">
        <v>296</v>
      </c>
    </row>
    <row r="300" spans="37:37">
      <c r="AK300" s="171">
        <v>297</v>
      </c>
    </row>
    <row r="301" spans="37:37">
      <c r="AK301" s="171">
        <v>298</v>
      </c>
    </row>
    <row r="302" spans="37:37">
      <c r="AK302" s="171">
        <v>299</v>
      </c>
    </row>
    <row r="303" spans="37:37">
      <c r="AK303" s="171">
        <v>300</v>
      </c>
    </row>
    <row r="304" spans="37:37">
      <c r="AK304" s="171">
        <v>301</v>
      </c>
    </row>
    <row r="305" spans="37:37">
      <c r="AK305" s="171">
        <v>302</v>
      </c>
    </row>
    <row r="306" spans="37:37">
      <c r="AK306" s="171">
        <v>303</v>
      </c>
    </row>
    <row r="307" spans="37:37">
      <c r="AK307" s="171">
        <v>304</v>
      </c>
    </row>
    <row r="308" spans="37:37">
      <c r="AK308" s="171">
        <v>305</v>
      </c>
    </row>
    <row r="309" spans="37:37">
      <c r="AK309" s="171">
        <v>306</v>
      </c>
    </row>
    <row r="310" spans="37:37">
      <c r="AK310" s="171">
        <v>307</v>
      </c>
    </row>
    <row r="311" spans="37:37">
      <c r="AK311" s="171">
        <v>308</v>
      </c>
    </row>
    <row r="312" spans="37:37">
      <c r="AK312" s="171">
        <v>309</v>
      </c>
    </row>
    <row r="313" spans="37:37">
      <c r="AK313" s="171">
        <v>310</v>
      </c>
    </row>
    <row r="314" spans="37:37">
      <c r="AK314" s="171">
        <v>311</v>
      </c>
    </row>
    <row r="315" spans="37:37">
      <c r="AK315" s="171">
        <v>312</v>
      </c>
    </row>
    <row r="316" spans="37:37">
      <c r="AK316" s="171">
        <v>313</v>
      </c>
    </row>
    <row r="317" spans="37:37">
      <c r="AK317" s="171">
        <v>314</v>
      </c>
    </row>
    <row r="318" spans="37:37">
      <c r="AK318" s="171">
        <v>315</v>
      </c>
    </row>
    <row r="319" spans="37:37">
      <c r="AK319" s="171">
        <v>316</v>
      </c>
    </row>
    <row r="320" spans="37:37">
      <c r="AK320" s="171">
        <v>317</v>
      </c>
    </row>
    <row r="321" spans="37:37">
      <c r="AK321" s="171">
        <v>318</v>
      </c>
    </row>
    <row r="322" spans="37:37">
      <c r="AK322" s="171">
        <v>319</v>
      </c>
    </row>
    <row r="323" spans="37:37">
      <c r="AK323" s="171">
        <v>320</v>
      </c>
    </row>
    <row r="324" spans="37:37">
      <c r="AK324" s="171">
        <v>321</v>
      </c>
    </row>
    <row r="325" spans="37:37">
      <c r="AK325" s="171">
        <v>322</v>
      </c>
    </row>
    <row r="326" spans="37:37">
      <c r="AK326" s="171">
        <v>323</v>
      </c>
    </row>
    <row r="327" spans="37:37">
      <c r="AK327" s="171">
        <v>324</v>
      </c>
    </row>
    <row r="328" spans="37:37">
      <c r="AK328" s="171">
        <v>325</v>
      </c>
    </row>
    <row r="329" spans="37:37">
      <c r="AK329" s="171">
        <v>326</v>
      </c>
    </row>
    <row r="330" spans="37:37">
      <c r="AK330" s="171">
        <v>327</v>
      </c>
    </row>
    <row r="331" spans="37:37">
      <c r="AK331" s="171">
        <v>328</v>
      </c>
    </row>
    <row r="332" spans="37:37">
      <c r="AK332" s="171">
        <v>329</v>
      </c>
    </row>
    <row r="333" spans="37:37">
      <c r="AK333" s="171">
        <v>330</v>
      </c>
    </row>
    <row r="334" spans="37:37">
      <c r="AK334" s="171">
        <v>331</v>
      </c>
    </row>
    <row r="335" spans="37:37">
      <c r="AK335" s="171">
        <v>332</v>
      </c>
    </row>
    <row r="336" spans="37:37">
      <c r="AK336" s="171">
        <v>333</v>
      </c>
    </row>
    <row r="337" spans="37:37">
      <c r="AK337" s="171">
        <v>334</v>
      </c>
    </row>
    <row r="338" spans="37:37">
      <c r="AK338" s="171">
        <v>335</v>
      </c>
    </row>
    <row r="339" spans="37:37">
      <c r="AK339" s="171">
        <v>336</v>
      </c>
    </row>
    <row r="340" spans="37:37">
      <c r="AK340" s="171">
        <v>337</v>
      </c>
    </row>
    <row r="341" spans="37:37">
      <c r="AK341" s="171">
        <v>338</v>
      </c>
    </row>
    <row r="342" spans="37:37">
      <c r="AK342" s="171">
        <v>339</v>
      </c>
    </row>
    <row r="343" spans="37:37">
      <c r="AK343" s="171">
        <v>340</v>
      </c>
    </row>
    <row r="344" spans="37:37">
      <c r="AK344" s="171">
        <v>341</v>
      </c>
    </row>
    <row r="345" spans="37:37">
      <c r="AK345" s="171">
        <v>342</v>
      </c>
    </row>
    <row r="346" spans="37:37">
      <c r="AK346" s="171">
        <v>343</v>
      </c>
    </row>
    <row r="347" spans="37:37">
      <c r="AK347" s="171">
        <v>344</v>
      </c>
    </row>
    <row r="348" spans="37:37">
      <c r="AK348" s="171">
        <v>345</v>
      </c>
    </row>
    <row r="349" spans="37:37">
      <c r="AK349" s="171">
        <v>346</v>
      </c>
    </row>
    <row r="350" spans="37:37">
      <c r="AK350" s="171">
        <v>347</v>
      </c>
    </row>
    <row r="351" spans="37:37">
      <c r="AK351" s="171">
        <v>348</v>
      </c>
    </row>
    <row r="352" spans="37:37">
      <c r="AK352" s="171">
        <v>349</v>
      </c>
    </row>
    <row r="353" spans="37:37">
      <c r="AK353" s="171">
        <v>350</v>
      </c>
    </row>
    <row r="354" spans="37:37">
      <c r="AK354" s="171">
        <v>351</v>
      </c>
    </row>
    <row r="355" spans="37:37">
      <c r="AK355" s="171">
        <v>352</v>
      </c>
    </row>
    <row r="356" spans="37:37">
      <c r="AK356" s="171">
        <v>353</v>
      </c>
    </row>
    <row r="357" spans="37:37">
      <c r="AK357" s="171">
        <v>354</v>
      </c>
    </row>
    <row r="358" spans="37:37">
      <c r="AK358" s="171">
        <v>355</v>
      </c>
    </row>
    <row r="359" spans="37:37">
      <c r="AK359" s="171">
        <v>356</v>
      </c>
    </row>
    <row r="360" spans="37:37">
      <c r="AK360" s="171">
        <v>357</v>
      </c>
    </row>
    <row r="361" spans="37:37">
      <c r="AK361" s="171">
        <v>358</v>
      </c>
    </row>
    <row r="362" spans="37:37">
      <c r="AK362" s="171">
        <v>359</v>
      </c>
    </row>
    <row r="363" spans="37:37">
      <c r="AK363" s="171">
        <v>360</v>
      </c>
    </row>
    <row r="364" spans="37:37">
      <c r="AK364" s="171">
        <v>361</v>
      </c>
    </row>
    <row r="365" spans="37:37">
      <c r="AK365" s="171">
        <v>362</v>
      </c>
    </row>
    <row r="366" spans="37:37">
      <c r="AK366" s="171">
        <v>363</v>
      </c>
    </row>
    <row r="367" spans="37:37">
      <c r="AK367" s="171">
        <v>364</v>
      </c>
    </row>
    <row r="368" spans="37:37">
      <c r="AK368" s="171">
        <v>365</v>
      </c>
    </row>
  </sheetData>
  <sheetProtection algorithmName="SHA-512" hashValue="Qe6Y/Gm8jo90lqO+yIhRm5nIw6NRV7Uv4yzGzE3gGPRvpekzRQuS02QfJCZMGDjTrhQqVveTkyLHS1ka++ayjw==" saltValue="5ozjIPKc659QpJCi6AWEiA==" spinCount="100000" sheet="1" objects="1" scenarios="1"/>
  <mergeCells count="1">
    <mergeCell ref="C10:G1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F0679-E0CE-0941-892D-BBAB7CEAA188}">
  <sheetPr codeName="Sheet13">
    <tabColor theme="8"/>
  </sheetPr>
  <dimension ref="A1:L125"/>
  <sheetViews>
    <sheetView topLeftCell="A13" workbookViewId="0">
      <selection activeCell="A46" sqref="A46"/>
    </sheetView>
  </sheetViews>
  <sheetFormatPr baseColWidth="10" defaultColWidth="11" defaultRowHeight="16"/>
  <cols>
    <col min="1" max="1" width="61.1640625" style="171" bestFit="1" customWidth="1"/>
    <col min="2" max="2" width="24.33203125" style="171" customWidth="1"/>
    <col min="3" max="3" width="8.1640625" style="171" bestFit="1" customWidth="1"/>
    <col min="4" max="7" width="13.1640625" style="171" bestFit="1" customWidth="1"/>
    <col min="8" max="8" width="16.1640625" style="171" customWidth="1"/>
    <col min="9" max="9" width="14.33203125" style="171" bestFit="1" customWidth="1"/>
    <col min="10" max="16384" width="11" style="171"/>
  </cols>
  <sheetData>
    <row r="1" spans="1:1">
      <c r="A1" s="171" t="s">
        <v>524</v>
      </c>
    </row>
    <row r="2" spans="1:1">
      <c r="A2" s="171" t="s">
        <v>525</v>
      </c>
    </row>
    <row r="3" spans="1:1">
      <c r="A3" s="171" t="s">
        <v>526</v>
      </c>
    </row>
    <row r="4" spans="1:1">
      <c r="A4" s="171" t="s">
        <v>527</v>
      </c>
    </row>
    <row r="5" spans="1:1">
      <c r="A5" s="171" t="s">
        <v>528</v>
      </c>
    </row>
    <row r="6" spans="1:1">
      <c r="A6" s="171" t="s">
        <v>529</v>
      </c>
    </row>
    <row r="8" spans="1:1">
      <c r="A8" s="171" t="s">
        <v>530</v>
      </c>
    </row>
    <row r="9" spans="1:1">
      <c r="A9" s="171" t="s">
        <v>531</v>
      </c>
    </row>
    <row r="10" spans="1:1">
      <c r="A10" s="171" t="s">
        <v>532</v>
      </c>
    </row>
    <row r="11" spans="1:1">
      <c r="A11" s="171" t="s">
        <v>533</v>
      </c>
    </row>
    <row r="12" spans="1:1">
      <c r="A12" s="171" t="s">
        <v>534</v>
      </c>
    </row>
    <row r="13" spans="1:1">
      <c r="A13" s="171" t="s">
        <v>535</v>
      </c>
    </row>
    <row r="14" spans="1:1">
      <c r="A14" s="171" t="s">
        <v>536</v>
      </c>
    </row>
    <row r="15" spans="1:1">
      <c r="A15" s="171" t="s">
        <v>537</v>
      </c>
    </row>
    <row r="16" spans="1:1">
      <c r="A16" s="171" t="s">
        <v>538</v>
      </c>
    </row>
    <row r="17" spans="1:1">
      <c r="A17" s="171" t="s">
        <v>539</v>
      </c>
    </row>
    <row r="18" spans="1:1">
      <c r="A18" s="171" t="s">
        <v>540</v>
      </c>
    </row>
    <row r="20" spans="1:1">
      <c r="A20" s="171" t="s">
        <v>541</v>
      </c>
    </row>
    <row r="21" spans="1:1">
      <c r="A21" s="171" t="s">
        <v>542</v>
      </c>
    </row>
    <row r="22" spans="1:1">
      <c r="A22" s="171" t="s">
        <v>543</v>
      </c>
    </row>
    <row r="23" spans="1:1">
      <c r="A23" s="171" t="s">
        <v>544</v>
      </c>
    </row>
    <row r="24" spans="1:1">
      <c r="A24" s="171" t="s">
        <v>545</v>
      </c>
    </row>
    <row r="25" spans="1:1">
      <c r="A25" s="171" t="s">
        <v>546</v>
      </c>
    </row>
    <row r="26" spans="1:1">
      <c r="A26" s="171" t="s">
        <v>547</v>
      </c>
    </row>
    <row r="27" spans="1:1">
      <c r="A27" s="171" t="s">
        <v>548</v>
      </c>
    </row>
    <row r="28" spans="1:1">
      <c r="A28" s="171" t="s">
        <v>549</v>
      </c>
    </row>
    <row r="29" spans="1:1">
      <c r="A29" s="171" t="s">
        <v>550</v>
      </c>
    </row>
    <row r="30" spans="1:1">
      <c r="A30" s="171" t="s">
        <v>551</v>
      </c>
    </row>
    <row r="32" spans="1:1">
      <c r="A32" s="171" t="s">
        <v>552</v>
      </c>
    </row>
    <row r="33" spans="1:9">
      <c r="A33" s="171" t="s">
        <v>553</v>
      </c>
    </row>
    <row r="34" spans="1:9">
      <c r="A34" s="171" t="s">
        <v>554</v>
      </c>
    </row>
    <row r="35" spans="1:9">
      <c r="A35" s="171" t="s">
        <v>555</v>
      </c>
    </row>
    <row r="36" spans="1:9">
      <c r="A36" s="171" t="s">
        <v>556</v>
      </c>
    </row>
    <row r="37" spans="1:9">
      <c r="A37" s="171" t="s">
        <v>557</v>
      </c>
    </row>
    <row r="38" spans="1:9">
      <c r="A38" s="171" t="s">
        <v>558</v>
      </c>
    </row>
    <row r="39" spans="1:9">
      <c r="A39" s="171" t="s">
        <v>559</v>
      </c>
    </row>
    <row r="40" spans="1:9">
      <c r="A40" s="171" t="s">
        <v>560</v>
      </c>
    </row>
    <row r="41" spans="1:9">
      <c r="A41" s="171" t="s">
        <v>561</v>
      </c>
    </row>
    <row r="42" spans="1:9">
      <c r="A42" s="171" t="s">
        <v>562</v>
      </c>
    </row>
    <row r="43" spans="1:9">
      <c r="A43" s="171" t="s">
        <v>563</v>
      </c>
    </row>
    <row r="45" spans="1:9">
      <c r="A45" s="703"/>
    </row>
    <row r="46" spans="1:9">
      <c r="A46" s="703"/>
    </row>
    <row r="48" spans="1:9" ht="18">
      <c r="A48" s="1166">
        <v>2017</v>
      </c>
      <c r="B48" s="1696" t="s">
        <v>564</v>
      </c>
      <c r="C48" s="1696" t="s">
        <v>565</v>
      </c>
      <c r="D48" s="1696" t="s">
        <v>566</v>
      </c>
      <c r="E48" s="1696" t="s">
        <v>567</v>
      </c>
      <c r="F48" s="1696" t="s">
        <v>568</v>
      </c>
      <c r="G48" s="1696" t="s">
        <v>569</v>
      </c>
      <c r="H48" s="1696" t="s">
        <v>570</v>
      </c>
      <c r="I48" s="1166" t="s">
        <v>571</v>
      </c>
    </row>
    <row r="49" spans="1:9" ht="18">
      <c r="A49" s="1166" t="s">
        <v>572</v>
      </c>
      <c r="B49" s="1696"/>
      <c r="C49" s="1696"/>
      <c r="D49" s="1696"/>
      <c r="E49" s="1696"/>
      <c r="F49" s="1696"/>
      <c r="G49" s="1696"/>
      <c r="H49" s="1696"/>
      <c r="I49" s="1166" t="s">
        <v>573</v>
      </c>
    </row>
    <row r="50" spans="1:9" ht="18">
      <c r="A50" s="1166">
        <v>1</v>
      </c>
      <c r="B50" s="703" t="s">
        <v>574</v>
      </c>
      <c r="C50" s="703">
        <v>500</v>
      </c>
      <c r="D50" s="1167">
        <v>158918</v>
      </c>
      <c r="E50" s="1167">
        <v>180403</v>
      </c>
      <c r="F50" s="1167">
        <v>180005</v>
      </c>
      <c r="G50" s="1167">
        <v>183194</v>
      </c>
      <c r="H50" s="1167">
        <v>189360</v>
      </c>
      <c r="I50" s="1168" t="s">
        <v>575</v>
      </c>
    </row>
    <row r="51" spans="1:9" ht="18">
      <c r="A51" s="1166">
        <v>2</v>
      </c>
      <c r="B51" s="703" t="s">
        <v>574</v>
      </c>
      <c r="C51" s="703" t="s">
        <v>576</v>
      </c>
      <c r="D51" s="1167">
        <v>152727</v>
      </c>
      <c r="E51" s="1167">
        <v>152045</v>
      </c>
      <c r="F51" s="1167">
        <v>171377</v>
      </c>
      <c r="G51" s="1167">
        <v>190432</v>
      </c>
      <c r="H51" s="1167">
        <v>187049</v>
      </c>
      <c r="I51" s="1168" t="s">
        <v>577</v>
      </c>
    </row>
    <row r="52" spans="1:9" ht="18">
      <c r="A52" s="1166">
        <v>3</v>
      </c>
      <c r="B52" s="703" t="s">
        <v>578</v>
      </c>
      <c r="C52" s="703" t="s">
        <v>579</v>
      </c>
      <c r="D52" s="1167">
        <v>130039</v>
      </c>
      <c r="E52" s="1167">
        <v>124845</v>
      </c>
      <c r="F52" s="1167">
        <v>105348</v>
      </c>
      <c r="G52" s="1167">
        <v>96836</v>
      </c>
      <c r="H52" s="1167">
        <v>100715</v>
      </c>
      <c r="I52" s="1168" t="s">
        <v>580</v>
      </c>
    </row>
    <row r="53" spans="1:9" ht="18">
      <c r="A53" s="1166">
        <v>4</v>
      </c>
      <c r="B53" s="703" t="s">
        <v>581</v>
      </c>
      <c r="C53" s="703" t="s">
        <v>582</v>
      </c>
      <c r="D53" s="1167">
        <v>60324</v>
      </c>
      <c r="E53" s="1167">
        <v>80819</v>
      </c>
      <c r="F53" s="1167">
        <v>86004</v>
      </c>
      <c r="G53" s="1167">
        <v>85385</v>
      </c>
      <c r="H53" s="1167">
        <v>90603</v>
      </c>
      <c r="I53" s="1168" t="s">
        <v>583</v>
      </c>
    </row>
    <row r="54" spans="1:9" ht="18">
      <c r="A54" s="1166">
        <v>5</v>
      </c>
      <c r="B54" s="703" t="s">
        <v>584</v>
      </c>
      <c r="C54" s="703" t="s">
        <v>585</v>
      </c>
      <c r="D54" s="1167">
        <v>63993</v>
      </c>
      <c r="E54" s="1167">
        <v>68874</v>
      </c>
      <c r="F54" s="1167">
        <v>86085</v>
      </c>
      <c r="G54" s="1167">
        <v>84321</v>
      </c>
      <c r="H54" s="1167">
        <v>84588</v>
      </c>
      <c r="I54" s="1168" t="s">
        <v>586</v>
      </c>
    </row>
    <row r="55" spans="1:9" ht="17" customHeight="1"/>
    <row r="56" spans="1:9" ht="17" customHeight="1">
      <c r="A56" s="1166">
        <v>2017</v>
      </c>
      <c r="B56" s="1696" t="s">
        <v>564</v>
      </c>
      <c r="C56" s="1696" t="s">
        <v>565</v>
      </c>
      <c r="D56" s="1696" t="s">
        <v>566</v>
      </c>
      <c r="E56" s="1696" t="s">
        <v>567</v>
      </c>
      <c r="F56" s="1696" t="s">
        <v>568</v>
      </c>
      <c r="G56" s="1696" t="s">
        <v>569</v>
      </c>
      <c r="H56" s="1696" t="s">
        <v>570</v>
      </c>
      <c r="I56" s="1166" t="s">
        <v>571</v>
      </c>
    </row>
    <row r="57" spans="1:9" ht="17" customHeight="1">
      <c r="A57" s="1166" t="s">
        <v>587</v>
      </c>
      <c r="B57" s="1696"/>
      <c r="C57" s="1696"/>
      <c r="D57" s="1696"/>
      <c r="E57" s="1696"/>
      <c r="F57" s="1696"/>
      <c r="G57" s="1696"/>
      <c r="H57" s="1696"/>
      <c r="I57" s="1166" t="s">
        <v>573</v>
      </c>
    </row>
    <row r="58" spans="1:9" ht="17" customHeight="1">
      <c r="A58" s="1166">
        <v>1</v>
      </c>
      <c r="B58" s="703" t="s">
        <v>588</v>
      </c>
      <c r="C58" s="703" t="s">
        <v>589</v>
      </c>
      <c r="D58" s="1167">
        <v>283749</v>
      </c>
      <c r="E58" s="1167">
        <v>299623</v>
      </c>
      <c r="F58" s="1167">
        <v>303240</v>
      </c>
      <c r="G58" s="1167">
        <v>310944</v>
      </c>
      <c r="H58" s="1167">
        <v>321472</v>
      </c>
      <c r="I58" s="1168" t="s">
        <v>575</v>
      </c>
    </row>
    <row r="59" spans="1:9" ht="17" customHeight="1">
      <c r="A59" s="1166">
        <v>2</v>
      </c>
      <c r="B59" s="703" t="s">
        <v>578</v>
      </c>
      <c r="C59" s="703" t="s">
        <v>590</v>
      </c>
      <c r="D59" s="1167">
        <v>264763</v>
      </c>
      <c r="E59" s="1167">
        <v>279463</v>
      </c>
      <c r="F59" s="1167">
        <v>301462</v>
      </c>
      <c r="G59" s="1167">
        <v>307462</v>
      </c>
      <c r="H59" s="1167">
        <v>271369</v>
      </c>
      <c r="I59" s="1168" t="s">
        <v>591</v>
      </c>
    </row>
    <row r="60" spans="1:9" ht="18" customHeight="1">
      <c r="A60" s="1166">
        <v>3</v>
      </c>
      <c r="B60" s="703" t="s">
        <v>592</v>
      </c>
      <c r="C60" s="703" t="s">
        <v>593</v>
      </c>
      <c r="D60" s="1167">
        <v>292715</v>
      </c>
      <c r="E60" s="1167">
        <v>308345</v>
      </c>
      <c r="F60" s="1167">
        <v>313610</v>
      </c>
      <c r="G60" s="1167">
        <v>298999</v>
      </c>
      <c r="H60" s="1167">
        <v>255602</v>
      </c>
      <c r="I60" s="1168" t="s">
        <v>594</v>
      </c>
    </row>
    <row r="61" spans="1:9" ht="17" customHeight="1">
      <c r="A61" s="1166">
        <v>4</v>
      </c>
      <c r="B61" s="703" t="s">
        <v>595</v>
      </c>
      <c r="C61" s="703">
        <v>208</v>
      </c>
      <c r="D61" s="1167">
        <v>237266</v>
      </c>
      <c r="E61" s="1167">
        <v>214547</v>
      </c>
      <c r="F61" s="1167">
        <v>228088</v>
      </c>
      <c r="G61" s="1167">
        <v>247379</v>
      </c>
      <c r="H61" s="1167">
        <v>242589</v>
      </c>
      <c r="I61" s="1168" t="s">
        <v>596</v>
      </c>
    </row>
    <row r="62" spans="1:9" ht="18">
      <c r="A62" s="1166">
        <v>5</v>
      </c>
      <c r="B62" s="703" t="s">
        <v>4362</v>
      </c>
      <c r="C62" s="703" t="s">
        <v>597</v>
      </c>
      <c r="D62" s="1167">
        <v>240005</v>
      </c>
      <c r="E62" s="1167">
        <v>250342</v>
      </c>
      <c r="F62" s="1167">
        <v>268846</v>
      </c>
      <c r="G62" s="1167">
        <v>262939</v>
      </c>
      <c r="H62" s="1167">
        <v>231434</v>
      </c>
      <c r="I62" s="1168" t="s">
        <v>598</v>
      </c>
    </row>
    <row r="66" spans="1:9">
      <c r="A66" s="703"/>
    </row>
    <row r="68" spans="1:9" ht="18">
      <c r="A68" s="1166">
        <v>2017</v>
      </c>
      <c r="B68" s="1696" t="s">
        <v>564</v>
      </c>
      <c r="C68" s="1696" t="s">
        <v>565</v>
      </c>
      <c r="D68" s="1696" t="s">
        <v>566</v>
      </c>
      <c r="E68" s="1696" t="s">
        <v>567</v>
      </c>
      <c r="F68" s="1696" t="s">
        <v>568</v>
      </c>
      <c r="G68" s="1696" t="s">
        <v>569</v>
      </c>
      <c r="H68" s="1696" t="s">
        <v>570</v>
      </c>
      <c r="I68" s="1166" t="s">
        <v>571</v>
      </c>
    </row>
    <row r="69" spans="1:9" ht="18">
      <c r="A69" s="1166" t="s">
        <v>599</v>
      </c>
      <c r="B69" s="1696"/>
      <c r="C69" s="1696"/>
      <c r="D69" s="1696"/>
      <c r="E69" s="1696"/>
      <c r="F69" s="1696"/>
      <c r="G69" s="1696"/>
      <c r="H69" s="1696"/>
      <c r="I69" s="1166" t="s">
        <v>573</v>
      </c>
    </row>
    <row r="70" spans="1:9" ht="18">
      <c r="A70" s="1166">
        <v>1</v>
      </c>
      <c r="B70" s="703" t="s">
        <v>578</v>
      </c>
      <c r="C70" s="703" t="s">
        <v>600</v>
      </c>
      <c r="D70" s="1167">
        <v>462527</v>
      </c>
      <c r="E70" s="1167">
        <v>523729</v>
      </c>
      <c r="F70" s="1167">
        <v>534535</v>
      </c>
      <c r="G70" s="1167">
        <v>491681</v>
      </c>
      <c r="H70" s="1167">
        <v>482177</v>
      </c>
      <c r="I70" s="1168" t="s">
        <v>596</v>
      </c>
    </row>
    <row r="71" spans="1:9" ht="18">
      <c r="A71" s="1166">
        <v>2</v>
      </c>
      <c r="B71" s="703" t="s">
        <v>601</v>
      </c>
      <c r="C71" s="703" t="s">
        <v>602</v>
      </c>
      <c r="D71" s="1167">
        <v>165027</v>
      </c>
      <c r="E71" s="1167">
        <v>205071</v>
      </c>
      <c r="F71" s="1167">
        <v>215797</v>
      </c>
      <c r="G71" s="1167">
        <v>226737</v>
      </c>
      <c r="H71" s="1167">
        <v>227313</v>
      </c>
      <c r="I71" s="1168" t="s">
        <v>586</v>
      </c>
    </row>
    <row r="72" spans="1:9" ht="18">
      <c r="A72" s="1166">
        <v>3</v>
      </c>
      <c r="B72" s="1168" t="s">
        <v>885</v>
      </c>
      <c r="C72" s="703" t="s">
        <v>603</v>
      </c>
      <c r="D72" s="1167">
        <v>198449</v>
      </c>
      <c r="E72" s="1167">
        <v>179547</v>
      </c>
      <c r="F72" s="1167">
        <v>192973</v>
      </c>
      <c r="G72" s="1167">
        <v>250410</v>
      </c>
      <c r="H72" s="1167">
        <v>216515</v>
      </c>
      <c r="I72" s="1168" t="s">
        <v>604</v>
      </c>
    </row>
    <row r="73" spans="1:9" ht="18">
      <c r="A73" s="1166">
        <v>4</v>
      </c>
      <c r="B73" s="703" t="s">
        <v>592</v>
      </c>
      <c r="C73" s="703" t="s">
        <v>605</v>
      </c>
      <c r="D73" s="1167">
        <v>225102</v>
      </c>
      <c r="E73" s="1167">
        <v>222297</v>
      </c>
      <c r="F73" s="1167">
        <v>232160</v>
      </c>
      <c r="G73" s="1167">
        <v>212083</v>
      </c>
      <c r="H73" s="1167">
        <v>212353</v>
      </c>
      <c r="I73" s="1168" t="s">
        <v>606</v>
      </c>
    </row>
    <row r="74" spans="1:9" ht="18">
      <c r="A74" s="1166">
        <v>5</v>
      </c>
      <c r="B74" s="703" t="s">
        <v>588</v>
      </c>
      <c r="C74" s="703" t="s">
        <v>607</v>
      </c>
      <c r="D74" s="1167">
        <v>149435</v>
      </c>
      <c r="E74" s="1167">
        <v>135206</v>
      </c>
      <c r="F74" s="1167">
        <v>123114</v>
      </c>
      <c r="G74" s="1167">
        <v>148213</v>
      </c>
      <c r="H74" s="1167">
        <v>167836</v>
      </c>
      <c r="I74" s="1168" t="s">
        <v>608</v>
      </c>
    </row>
    <row r="76" spans="1:9" ht="18">
      <c r="A76" s="1166">
        <v>2017</v>
      </c>
      <c r="B76" s="1696" t="s">
        <v>564</v>
      </c>
      <c r="C76" s="1696" t="s">
        <v>565</v>
      </c>
      <c r="D76" s="1696" t="s">
        <v>566</v>
      </c>
      <c r="E76" s="1696" t="s">
        <v>567</v>
      </c>
      <c r="F76" s="1696" t="s">
        <v>568</v>
      </c>
      <c r="G76" s="1696" t="s">
        <v>569</v>
      </c>
      <c r="H76" s="1696" t="s">
        <v>570</v>
      </c>
      <c r="I76" s="1166" t="s">
        <v>571</v>
      </c>
    </row>
    <row r="77" spans="1:9" ht="18">
      <c r="A77" s="1166" t="s">
        <v>609</v>
      </c>
      <c r="B77" s="1696"/>
      <c r="C77" s="1696"/>
      <c r="D77" s="1696"/>
      <c r="E77" s="1696"/>
      <c r="F77" s="1696"/>
      <c r="G77" s="1696"/>
      <c r="H77" s="1696"/>
      <c r="I77" s="1166" t="s">
        <v>573</v>
      </c>
    </row>
    <row r="78" spans="1:9" ht="18">
      <c r="A78" s="1166">
        <v>1</v>
      </c>
      <c r="B78" s="703" t="s">
        <v>578</v>
      </c>
      <c r="C78" s="703" t="s">
        <v>610</v>
      </c>
      <c r="D78" s="1167">
        <v>156025</v>
      </c>
      <c r="E78" s="1167">
        <v>153677</v>
      </c>
      <c r="F78" s="1167">
        <v>226127</v>
      </c>
      <c r="G78" s="1167">
        <v>206813</v>
      </c>
      <c r="H78" s="1167">
        <v>183288</v>
      </c>
      <c r="I78" s="1168" t="s">
        <v>611</v>
      </c>
    </row>
    <row r="79" spans="1:9" ht="18">
      <c r="A79" s="1166">
        <v>2</v>
      </c>
      <c r="B79" s="703" t="s">
        <v>601</v>
      </c>
      <c r="C79" s="703" t="s">
        <v>612</v>
      </c>
      <c r="D79" s="1167">
        <v>42215</v>
      </c>
      <c r="E79" s="1167">
        <v>46149</v>
      </c>
      <c r="F79" s="1167">
        <v>50533</v>
      </c>
      <c r="G79" s="1167">
        <v>85879</v>
      </c>
      <c r="H79" s="1167">
        <v>81410</v>
      </c>
      <c r="I79" s="1168" t="s">
        <v>613</v>
      </c>
    </row>
    <row r="80" spans="1:9" ht="18">
      <c r="A80" s="1166">
        <v>3</v>
      </c>
      <c r="B80" s="1168" t="s">
        <v>885</v>
      </c>
      <c r="C80" s="703" t="s">
        <v>614</v>
      </c>
      <c r="D80" s="1167">
        <v>77127</v>
      </c>
      <c r="E80" s="1167">
        <v>92694</v>
      </c>
      <c r="F80" s="1167">
        <v>88544</v>
      </c>
      <c r="G80" s="1167">
        <v>73161</v>
      </c>
      <c r="H80" s="1167">
        <v>72347</v>
      </c>
      <c r="I80" s="1168" t="s">
        <v>615</v>
      </c>
    </row>
    <row r="81" spans="1:9" ht="18">
      <c r="A81" s="1166">
        <v>4</v>
      </c>
      <c r="B81" s="703" t="s">
        <v>592</v>
      </c>
      <c r="C81" s="703" t="s">
        <v>616</v>
      </c>
      <c r="D81" s="1167">
        <v>50180</v>
      </c>
      <c r="E81" s="1167">
        <v>45405</v>
      </c>
      <c r="F81" s="1167">
        <v>79673</v>
      </c>
      <c r="G81" s="1167">
        <v>70900</v>
      </c>
      <c r="H81" s="1167">
        <v>56173</v>
      </c>
      <c r="I81" s="1168" t="s">
        <v>617</v>
      </c>
    </row>
    <row r="82" spans="1:9" ht="18">
      <c r="A82" s="1166">
        <v>5</v>
      </c>
      <c r="B82" s="703" t="s">
        <v>588</v>
      </c>
      <c r="C82" s="703" t="s">
        <v>618</v>
      </c>
      <c r="D82" s="1168" t="s">
        <v>619</v>
      </c>
      <c r="E82" s="1168" t="s">
        <v>619</v>
      </c>
      <c r="F82" s="1167">
        <v>1824</v>
      </c>
      <c r="G82" s="1167">
        <v>34344</v>
      </c>
      <c r="H82" s="1167">
        <v>32163</v>
      </c>
      <c r="I82" s="1168" t="s">
        <v>620</v>
      </c>
    </row>
    <row r="85" spans="1:9" ht="18">
      <c r="A85" s="1166">
        <v>2017</v>
      </c>
      <c r="B85" s="1696" t="s">
        <v>564</v>
      </c>
      <c r="C85" s="1696" t="s">
        <v>565</v>
      </c>
      <c r="D85" s="1696" t="s">
        <v>566</v>
      </c>
      <c r="E85" s="1696" t="s">
        <v>567</v>
      </c>
      <c r="F85" s="1696" t="s">
        <v>568</v>
      </c>
      <c r="G85" s="1696" t="s">
        <v>569</v>
      </c>
      <c r="H85" s="1696" t="s">
        <v>570</v>
      </c>
      <c r="I85" s="1166" t="s">
        <v>571</v>
      </c>
    </row>
    <row r="86" spans="1:9" ht="18">
      <c r="A86" s="1166" t="s">
        <v>621</v>
      </c>
      <c r="B86" s="1696"/>
      <c r="C86" s="1696"/>
      <c r="D86" s="1696"/>
      <c r="E86" s="1696"/>
      <c r="F86" s="1696"/>
      <c r="G86" s="1696"/>
      <c r="H86" s="1696"/>
      <c r="I86" s="1166" t="s">
        <v>573</v>
      </c>
    </row>
    <row r="87" spans="1:9" ht="18">
      <c r="A87" s="1166">
        <v>1</v>
      </c>
      <c r="B87" s="703" t="s">
        <v>622</v>
      </c>
      <c r="C87" s="703" t="s">
        <v>623</v>
      </c>
      <c r="D87" s="1167">
        <v>106559</v>
      </c>
      <c r="E87" s="1167">
        <v>99565</v>
      </c>
      <c r="F87" s="1167">
        <v>84771</v>
      </c>
      <c r="G87" s="1167">
        <v>99494</v>
      </c>
      <c r="H87" s="1167">
        <v>127638</v>
      </c>
      <c r="I87" s="1168" t="s">
        <v>624</v>
      </c>
    </row>
    <row r="88" spans="1:9" ht="18">
      <c r="A88" s="1166">
        <v>2</v>
      </c>
      <c r="B88" s="703" t="s">
        <v>625</v>
      </c>
      <c r="C88" s="703" t="s">
        <v>626</v>
      </c>
      <c r="D88" s="1167">
        <v>107307</v>
      </c>
      <c r="E88" s="1167">
        <v>98701</v>
      </c>
      <c r="F88" s="1167">
        <v>88898</v>
      </c>
      <c r="G88" s="1167">
        <v>81599</v>
      </c>
      <c r="H88" s="1167">
        <v>109953</v>
      </c>
      <c r="I88" s="1168" t="s">
        <v>627</v>
      </c>
    </row>
    <row r="89" spans="1:9" ht="18">
      <c r="A89" s="1166">
        <v>3</v>
      </c>
      <c r="B89" s="703" t="s">
        <v>628</v>
      </c>
      <c r="C89" s="1168" t="s">
        <v>886</v>
      </c>
      <c r="D89" s="1167">
        <v>82883</v>
      </c>
      <c r="E89" s="1167">
        <v>84283</v>
      </c>
      <c r="F89" s="1167">
        <v>95329</v>
      </c>
      <c r="G89" s="1167">
        <v>93479</v>
      </c>
      <c r="H89" s="1167">
        <v>78944</v>
      </c>
      <c r="I89" s="1168" t="s">
        <v>629</v>
      </c>
    </row>
    <row r="90" spans="1:9" ht="18">
      <c r="A90" s="1166">
        <v>4</v>
      </c>
      <c r="B90" s="703" t="s">
        <v>630</v>
      </c>
      <c r="C90" s="1168" t="s">
        <v>887</v>
      </c>
      <c r="D90" s="1168" t="s">
        <v>619</v>
      </c>
      <c r="E90" s="1168" t="s">
        <v>619</v>
      </c>
      <c r="F90" s="1168" t="s">
        <v>619</v>
      </c>
      <c r="G90" s="1167">
        <v>10834</v>
      </c>
      <c r="H90" s="1167">
        <v>55193</v>
      </c>
      <c r="I90" s="1168" t="s">
        <v>631</v>
      </c>
    </row>
    <row r="91" spans="1:9" ht="18">
      <c r="A91" s="1166">
        <v>5</v>
      </c>
      <c r="B91" s="703" t="s">
        <v>632</v>
      </c>
      <c r="C91" s="703" t="s">
        <v>633</v>
      </c>
      <c r="D91" s="1167">
        <v>3928</v>
      </c>
      <c r="E91" s="1167">
        <v>8868</v>
      </c>
      <c r="F91" s="1167">
        <v>15231</v>
      </c>
      <c r="G91" s="1167">
        <v>11564</v>
      </c>
      <c r="H91" s="1167">
        <v>16026</v>
      </c>
      <c r="I91" s="1168" t="s">
        <v>634</v>
      </c>
    </row>
    <row r="94" spans="1:9" ht="18">
      <c r="A94" s="1166">
        <v>2017</v>
      </c>
      <c r="B94" s="1696" t="s">
        <v>564</v>
      </c>
      <c r="C94" s="1696" t="s">
        <v>565</v>
      </c>
      <c r="D94" s="1696" t="s">
        <v>566</v>
      </c>
      <c r="E94" s="1696" t="s">
        <v>567</v>
      </c>
      <c r="F94" s="1696" t="s">
        <v>568</v>
      </c>
      <c r="G94" s="1696" t="s">
        <v>569</v>
      </c>
      <c r="H94" s="1696" t="s">
        <v>570</v>
      </c>
      <c r="I94" s="1166" t="s">
        <v>571</v>
      </c>
    </row>
    <row r="95" spans="1:9" ht="18">
      <c r="A95" s="1166" t="s">
        <v>635</v>
      </c>
      <c r="B95" s="1696"/>
      <c r="C95" s="1696"/>
      <c r="D95" s="1696"/>
      <c r="E95" s="1696"/>
      <c r="F95" s="1696"/>
      <c r="G95" s="1696"/>
      <c r="H95" s="1696"/>
      <c r="I95" s="1166" t="s">
        <v>573</v>
      </c>
    </row>
    <row r="96" spans="1:9" ht="18">
      <c r="A96" s="1166">
        <v>1</v>
      </c>
      <c r="B96" s="703" t="s">
        <v>622</v>
      </c>
      <c r="C96" s="703" t="s">
        <v>636</v>
      </c>
      <c r="D96" s="1167">
        <v>8736</v>
      </c>
      <c r="E96" s="1167">
        <v>17638</v>
      </c>
      <c r="F96" s="1167">
        <v>16583</v>
      </c>
      <c r="G96" s="1167">
        <v>14967</v>
      </c>
      <c r="H96" s="1167">
        <v>14757</v>
      </c>
      <c r="I96" s="1168" t="s">
        <v>637</v>
      </c>
    </row>
    <row r="97" spans="1:12" ht="18">
      <c r="A97" s="1166">
        <v>2</v>
      </c>
      <c r="B97" s="703" t="s">
        <v>625</v>
      </c>
      <c r="C97" s="703" t="s">
        <v>638</v>
      </c>
      <c r="D97" s="1167">
        <v>5980</v>
      </c>
      <c r="E97" s="1167">
        <v>5307</v>
      </c>
      <c r="F97" s="1167">
        <v>5985</v>
      </c>
      <c r="G97" s="1167">
        <v>13320</v>
      </c>
      <c r="H97" s="1167">
        <v>11533</v>
      </c>
      <c r="I97" s="1168" t="s">
        <v>639</v>
      </c>
    </row>
    <row r="98" spans="1:12" ht="18">
      <c r="A98" s="1166">
        <v>3</v>
      </c>
      <c r="B98" s="703" t="s">
        <v>640</v>
      </c>
      <c r="C98" s="703" t="s">
        <v>641</v>
      </c>
      <c r="D98" s="1167">
        <v>5679</v>
      </c>
      <c r="E98" s="1167">
        <v>5676</v>
      </c>
      <c r="F98" s="1167">
        <v>4191</v>
      </c>
      <c r="G98" s="1167">
        <v>3140</v>
      </c>
      <c r="H98" s="1167">
        <v>10478</v>
      </c>
      <c r="I98" s="1168" t="s">
        <v>642</v>
      </c>
    </row>
    <row r="99" spans="1:12" ht="18">
      <c r="A99" s="1166">
        <v>4</v>
      </c>
      <c r="B99" s="703" t="s">
        <v>628</v>
      </c>
      <c r="C99" s="1168" t="s">
        <v>888</v>
      </c>
      <c r="D99" s="1167">
        <v>5486</v>
      </c>
      <c r="E99" s="1167">
        <v>6556</v>
      </c>
      <c r="F99" s="1167">
        <v>6717</v>
      </c>
      <c r="G99" s="1167">
        <v>5372</v>
      </c>
      <c r="H99" s="1167">
        <v>5887</v>
      </c>
      <c r="I99" s="1168" t="s">
        <v>643</v>
      </c>
    </row>
    <row r="100" spans="1:12" ht="18">
      <c r="A100" s="1166">
        <v>5</v>
      </c>
      <c r="B100" s="703" t="s">
        <v>644</v>
      </c>
      <c r="C100" s="703" t="s">
        <v>645</v>
      </c>
      <c r="D100" s="1167">
        <v>2287</v>
      </c>
      <c r="E100" s="1167">
        <v>1905</v>
      </c>
      <c r="F100" s="1167">
        <v>1616</v>
      </c>
      <c r="G100" s="1167">
        <v>1847</v>
      </c>
      <c r="H100" s="1167">
        <v>1495</v>
      </c>
      <c r="I100" s="1168" t="s">
        <v>646</v>
      </c>
    </row>
    <row r="102" spans="1:12" ht="18">
      <c r="A102" s="1166">
        <v>2017</v>
      </c>
      <c r="B102" s="1696" t="s">
        <v>564</v>
      </c>
      <c r="C102" s="1696" t="s">
        <v>565</v>
      </c>
      <c r="D102" s="1696" t="s">
        <v>566</v>
      </c>
      <c r="E102" s="1696" t="s">
        <v>567</v>
      </c>
      <c r="F102" s="1696" t="s">
        <v>568</v>
      </c>
      <c r="G102" s="1696" t="s">
        <v>569</v>
      </c>
      <c r="H102" s="1696" t="s">
        <v>570</v>
      </c>
      <c r="I102" s="1166" t="s">
        <v>571</v>
      </c>
    </row>
    <row r="103" spans="1:12" ht="18">
      <c r="A103" s="1166" t="s">
        <v>647</v>
      </c>
      <c r="B103" s="1696"/>
      <c r="C103" s="1696"/>
      <c r="D103" s="1696"/>
      <c r="E103" s="1696"/>
      <c r="F103" s="1696"/>
      <c r="G103" s="1696"/>
      <c r="H103" s="1696"/>
      <c r="I103" s="1166" t="s">
        <v>573</v>
      </c>
    </row>
    <row r="104" spans="1:12" ht="18">
      <c r="A104" s="1166">
        <v>1</v>
      </c>
      <c r="B104" s="703" t="s">
        <v>588</v>
      </c>
      <c r="C104" s="703" t="s">
        <v>648</v>
      </c>
      <c r="D104" s="1167">
        <v>84085</v>
      </c>
      <c r="E104" s="1167">
        <v>164801</v>
      </c>
      <c r="F104" s="1167">
        <v>194847</v>
      </c>
      <c r="G104" s="1167">
        <v>215493</v>
      </c>
      <c r="H104" s="1167">
        <v>211321</v>
      </c>
      <c r="I104" s="1168" t="s">
        <v>596</v>
      </c>
    </row>
    <row r="105" spans="1:12" ht="18">
      <c r="A105" s="1166">
        <v>2</v>
      </c>
      <c r="B105" s="703" t="s">
        <v>595</v>
      </c>
      <c r="C105" s="703">
        <v>2008</v>
      </c>
      <c r="D105" s="1167">
        <v>58672</v>
      </c>
      <c r="E105" s="1167">
        <v>135541</v>
      </c>
      <c r="F105" s="1167">
        <v>154325</v>
      </c>
      <c r="G105" s="1167">
        <v>175079</v>
      </c>
      <c r="H105" s="1167">
        <v>179529</v>
      </c>
      <c r="I105" s="1168" t="s">
        <v>649</v>
      </c>
    </row>
    <row r="106" spans="1:12" ht="18">
      <c r="A106" s="1166">
        <v>3</v>
      </c>
      <c r="B106" s="1168" t="s">
        <v>885</v>
      </c>
      <c r="C106" s="703" t="s">
        <v>650</v>
      </c>
      <c r="D106" s="1167">
        <v>70768</v>
      </c>
      <c r="E106" s="1167">
        <v>127437</v>
      </c>
      <c r="F106" s="1167">
        <v>163246</v>
      </c>
      <c r="G106" s="1167">
        <v>164340</v>
      </c>
      <c r="H106" s="1167">
        <v>169886</v>
      </c>
      <c r="I106" s="1168" t="s">
        <v>575</v>
      </c>
    </row>
    <row r="107" spans="1:12" ht="18">
      <c r="A107" s="1166">
        <v>4</v>
      </c>
      <c r="B107" s="703" t="s">
        <v>651</v>
      </c>
      <c r="C107" s="703" t="s">
        <v>652</v>
      </c>
      <c r="D107" s="1167">
        <v>88082</v>
      </c>
      <c r="E107" s="1167">
        <v>127772</v>
      </c>
      <c r="F107" s="1167">
        <v>125416</v>
      </c>
      <c r="G107" s="1167">
        <v>139826</v>
      </c>
      <c r="H107" s="1167">
        <v>145682</v>
      </c>
      <c r="I107" s="1168" t="s">
        <v>653</v>
      </c>
    </row>
    <row r="108" spans="1:12" ht="18">
      <c r="A108" s="1166">
        <v>5</v>
      </c>
      <c r="B108" s="703" t="s">
        <v>654</v>
      </c>
      <c r="C108" s="703" t="s">
        <v>655</v>
      </c>
      <c r="D108" s="1167">
        <v>106411</v>
      </c>
      <c r="E108" s="1167">
        <v>97538</v>
      </c>
      <c r="F108" s="1167">
        <v>102574</v>
      </c>
      <c r="G108" s="1167">
        <v>98108</v>
      </c>
      <c r="H108" s="1167">
        <v>91774</v>
      </c>
      <c r="I108" s="1168" t="s">
        <v>656</v>
      </c>
    </row>
    <row r="110" spans="1:12" ht="18">
      <c r="A110" s="1166">
        <v>2017</v>
      </c>
      <c r="B110" s="1694" t="s">
        <v>564</v>
      </c>
      <c r="C110" s="1696" t="s">
        <v>565</v>
      </c>
      <c r="D110" s="1695">
        <v>2016</v>
      </c>
      <c r="E110" s="1695">
        <v>2017</v>
      </c>
      <c r="F110" s="1166" t="s">
        <v>571</v>
      </c>
    </row>
    <row r="111" spans="1:12" ht="18">
      <c r="A111" s="1166" t="s">
        <v>657</v>
      </c>
      <c r="B111" s="1694"/>
      <c r="C111" s="1696"/>
      <c r="D111" s="1695"/>
      <c r="E111" s="1695"/>
      <c r="F111" s="1166" t="s">
        <v>658</v>
      </c>
      <c r="J111" s="1169"/>
    </row>
    <row r="112" spans="1:12" ht="18">
      <c r="A112" s="1166">
        <v>1</v>
      </c>
      <c r="B112" s="703" t="s">
        <v>654</v>
      </c>
      <c r="C112" s="703" t="s">
        <v>659</v>
      </c>
      <c r="D112" s="1170">
        <v>247.19900000000001</v>
      </c>
      <c r="E112" s="1170">
        <v>247.19900000000001</v>
      </c>
      <c r="F112" s="1169">
        <v>0.05</v>
      </c>
      <c r="H112" s="1170"/>
      <c r="I112" s="703"/>
      <c r="K112" s="1170"/>
      <c r="L112" s="1169"/>
    </row>
    <row r="113" spans="1:12" ht="18">
      <c r="A113" s="1166">
        <v>2</v>
      </c>
      <c r="B113" s="703" t="s">
        <v>578</v>
      </c>
      <c r="C113" s="703" t="s">
        <v>660</v>
      </c>
      <c r="D113" s="1170">
        <v>233.53100000000001</v>
      </c>
      <c r="E113" s="1170">
        <v>233.53100000000001</v>
      </c>
      <c r="F113" s="1169">
        <v>0.31</v>
      </c>
      <c r="H113" s="1170"/>
      <c r="I113" s="703"/>
      <c r="K113" s="1170"/>
      <c r="L113" s="1169"/>
    </row>
    <row r="114" spans="1:12" ht="18">
      <c r="A114" s="1166">
        <v>3</v>
      </c>
      <c r="B114" s="703" t="s">
        <v>595</v>
      </c>
      <c r="C114" s="703">
        <v>3008</v>
      </c>
      <c r="D114" s="1170">
        <v>168.35599999999999</v>
      </c>
      <c r="E114" s="1170">
        <v>168.35599999999999</v>
      </c>
      <c r="F114" s="1169">
        <v>3.53</v>
      </c>
      <c r="H114" s="1170"/>
      <c r="I114" s="703"/>
      <c r="K114" s="1170"/>
      <c r="L114" s="1169"/>
    </row>
    <row r="115" spans="1:12" ht="18">
      <c r="A115" s="1166">
        <v>4</v>
      </c>
      <c r="B115" s="703" t="s">
        <v>661</v>
      </c>
      <c r="C115" s="703" t="s">
        <v>662</v>
      </c>
      <c r="D115" s="1170">
        <v>152.10300000000001</v>
      </c>
      <c r="E115" s="1170">
        <v>152.10300000000001</v>
      </c>
      <c r="F115" s="1169">
        <v>0.03</v>
      </c>
      <c r="H115" s="1170"/>
      <c r="I115" s="703"/>
    </row>
    <row r="116" spans="1:12" ht="19">
      <c r="A116" s="1166">
        <v>5</v>
      </c>
      <c r="B116" s="703" t="s">
        <v>592</v>
      </c>
      <c r="C116" s="703" t="s">
        <v>663</v>
      </c>
      <c r="D116" s="1170">
        <v>151.45099999999999</v>
      </c>
      <c r="E116" s="1170">
        <v>151.45099999999999</v>
      </c>
      <c r="F116" s="1171">
        <v>0.27</v>
      </c>
    </row>
    <row r="117" spans="1:12" ht="19">
      <c r="A117" s="1166"/>
      <c r="D117" s="1172"/>
      <c r="E117" s="1172"/>
      <c r="F117" s="1172"/>
    </row>
    <row r="118" spans="1:12" ht="18">
      <c r="A118" s="1166">
        <v>2017</v>
      </c>
      <c r="B118" s="1694" t="s">
        <v>564</v>
      </c>
      <c r="C118" s="1694" t="s">
        <v>565</v>
      </c>
      <c r="D118" s="1695">
        <v>2016</v>
      </c>
      <c r="E118" s="1695">
        <v>2017</v>
      </c>
      <c r="F118" s="1166" t="s">
        <v>571</v>
      </c>
    </row>
    <row r="119" spans="1:12" ht="18">
      <c r="A119" s="1166" t="s">
        <v>664</v>
      </c>
      <c r="B119" s="1694" t="s">
        <v>564</v>
      </c>
      <c r="C119" s="1694"/>
      <c r="D119" s="1695">
        <v>2016</v>
      </c>
      <c r="E119" s="1695">
        <v>2017</v>
      </c>
      <c r="F119" s="1166" t="s">
        <v>658</v>
      </c>
    </row>
    <row r="120" spans="1:12" ht="18">
      <c r="A120" s="1166">
        <v>1</v>
      </c>
      <c r="B120" s="703" t="s">
        <v>625</v>
      </c>
      <c r="C120" s="703" t="s">
        <v>665</v>
      </c>
      <c r="D120" s="1170">
        <v>37.097000000000001</v>
      </c>
      <c r="E120" s="1170">
        <v>34.640999999999998</v>
      </c>
      <c r="F120" s="1169">
        <v>-7.0000000000000007E-2</v>
      </c>
    </row>
    <row r="121" spans="1:12" ht="18">
      <c r="A121" s="1166">
        <v>2</v>
      </c>
      <c r="B121" s="703" t="s">
        <v>630</v>
      </c>
      <c r="C121" s="703" t="s">
        <v>666</v>
      </c>
      <c r="D121" s="1170">
        <v>35.470999999999997</v>
      </c>
      <c r="E121" s="1170">
        <v>30.367000000000001</v>
      </c>
      <c r="F121" s="1169">
        <v>-0.14000000000000001</v>
      </c>
    </row>
    <row r="122" spans="1:12" ht="18">
      <c r="A122" s="1166">
        <v>3</v>
      </c>
      <c r="B122" s="703" t="s">
        <v>628</v>
      </c>
      <c r="C122" s="703" t="s">
        <v>667</v>
      </c>
      <c r="D122" s="1170">
        <v>33.357999999999997</v>
      </c>
      <c r="E122" s="1170">
        <v>30.350999999999999</v>
      </c>
      <c r="F122" s="1169">
        <v>-0.09</v>
      </c>
      <c r="H122" s="171" t="s">
        <v>668</v>
      </c>
    </row>
    <row r="123" spans="1:12" ht="18">
      <c r="A123" s="1166">
        <v>4</v>
      </c>
      <c r="B123" s="703" t="s">
        <v>622</v>
      </c>
      <c r="C123" s="703" t="s">
        <v>669</v>
      </c>
      <c r="D123" s="1170">
        <v>29.922999999999998</v>
      </c>
      <c r="E123" s="1170">
        <v>26.518999999999998</v>
      </c>
      <c r="F123" s="1169">
        <v>-0.11</v>
      </c>
    </row>
    <row r="124" spans="1:12" ht="18">
      <c r="A124" s="1166">
        <v>5</v>
      </c>
      <c r="B124" s="703" t="s">
        <v>670</v>
      </c>
      <c r="C124" s="703" t="s">
        <v>671</v>
      </c>
      <c r="D124" s="1170">
        <v>28.303999999999998</v>
      </c>
      <c r="E124" s="1170">
        <v>26.052</v>
      </c>
      <c r="F124" s="1169">
        <v>-0.08</v>
      </c>
    </row>
    <row r="125" spans="1:12">
      <c r="C125" s="703"/>
    </row>
  </sheetData>
  <sheetProtection algorithmName="SHA-512" hashValue="0f+2WT9ncSK0Gq8a2/bQ5L0j/aWFlzKrL4DO/ESlHN5Z2FDOW26inaLCDMqfte0MS1ehH+ujh+GHCLZ8JO0ivg==" saltValue="0AM82qlSUAzVGeFrubZ6Vw==" spinCount="100000" sheet="1" objects="1" scenarios="1"/>
  <mergeCells count="57">
    <mergeCell ref="H85:H86"/>
    <mergeCell ref="B85:B86"/>
    <mergeCell ref="C85:C86"/>
    <mergeCell ref="D85:D86"/>
    <mergeCell ref="E85:E86"/>
    <mergeCell ref="F85:F86"/>
    <mergeCell ref="G85:G86"/>
    <mergeCell ref="G76:G77"/>
    <mergeCell ref="H76:H77"/>
    <mergeCell ref="B56:B57"/>
    <mergeCell ref="C56:C57"/>
    <mergeCell ref="D56:D57"/>
    <mergeCell ref="E56:E57"/>
    <mergeCell ref="F56:F57"/>
    <mergeCell ref="H68:H69"/>
    <mergeCell ref="B76:B77"/>
    <mergeCell ref="C76:C77"/>
    <mergeCell ref="D76:D77"/>
    <mergeCell ref="E76:E77"/>
    <mergeCell ref="F76:F77"/>
    <mergeCell ref="G48:G49"/>
    <mergeCell ref="H48:H49"/>
    <mergeCell ref="B68:B69"/>
    <mergeCell ref="C68:C69"/>
    <mergeCell ref="D68:D69"/>
    <mergeCell ref="E68:E69"/>
    <mergeCell ref="F68:F69"/>
    <mergeCell ref="G68:G69"/>
    <mergeCell ref="B48:B49"/>
    <mergeCell ref="C48:C49"/>
    <mergeCell ref="D48:D49"/>
    <mergeCell ref="E48:E49"/>
    <mergeCell ref="F48:F49"/>
    <mergeCell ref="G56:G57"/>
    <mergeCell ref="H56:H57"/>
    <mergeCell ref="G94:G95"/>
    <mergeCell ref="H94:H95"/>
    <mergeCell ref="B102:B103"/>
    <mergeCell ref="C102:C103"/>
    <mergeCell ref="D102:D103"/>
    <mergeCell ref="E102:E103"/>
    <mergeCell ref="F102:F103"/>
    <mergeCell ref="G102:G103"/>
    <mergeCell ref="H102:H103"/>
    <mergeCell ref="B94:B95"/>
    <mergeCell ref="C94:C95"/>
    <mergeCell ref="D94:D95"/>
    <mergeCell ref="E94:E95"/>
    <mergeCell ref="F94:F95"/>
    <mergeCell ref="B118:B119"/>
    <mergeCell ref="C118:C119"/>
    <mergeCell ref="D118:D119"/>
    <mergeCell ref="E118:E119"/>
    <mergeCell ref="B110:B111"/>
    <mergeCell ref="C110:C111"/>
    <mergeCell ref="D110:D111"/>
    <mergeCell ref="E110:E111"/>
  </mergeCells>
  <hyperlinks>
    <hyperlink ref="B70" r:id="rId1" tooltip="Volkswagen" display="https://en.wikipedia.org/wiki/Volkswagen" xr:uid="{5E863C5E-BD18-6B4C-A331-331A26DC3428}"/>
    <hyperlink ref="C70" r:id="rId2" tooltip="Volkswagen Golf" display="https://en.wikipedia.org/wiki/Volkswagen_Golf" xr:uid="{874E11D7-85A7-6D40-A78A-3267C6D05B80}"/>
    <hyperlink ref="B71" r:id="rId3" tooltip="Škoda Auto" display="https://en.wikipedia.org/wiki/%C5%A0koda_Auto" xr:uid="{E95DDA17-652A-AF46-8440-135C14822B8D}"/>
    <hyperlink ref="C71" r:id="rId4" tooltip="Škoda Octavia" display="https://en.wikipedia.org/wiki/%C5%A0koda_Octavia" xr:uid="{CB99716D-E0DA-C54D-8969-39E3298D04FC}"/>
    <hyperlink ref="C72" r:id="rId5" tooltip="Opel Astra" display="https://en.wikipedia.org/wiki/Opel_Astra" xr:uid="{D5BE7008-7D90-3048-9E58-04EDE7B71CA7}"/>
    <hyperlink ref="B73" r:id="rId6" tooltip="Ford" display="https://en.wikipedia.org/wiki/Ford" xr:uid="{D47A9753-0655-2648-B8AF-39D42C9D1608}"/>
    <hyperlink ref="C73" r:id="rId7" tooltip="Ford Focus" display="https://en.wikipedia.org/wiki/Ford_Focus" xr:uid="{D35FF902-14F8-1A46-8C14-A0EFAF15B98E}"/>
    <hyperlink ref="B74" r:id="rId8" tooltip="Renault" display="https://en.wikipedia.org/wiki/Renault" xr:uid="{8233803C-F458-EF41-BC82-E571AEF01619}"/>
    <hyperlink ref="C74" r:id="rId9" tooltip="Renault Mégane" display="https://en.wikipedia.org/wiki/Renault_M%C3%A9gane" xr:uid="{D187B362-DAFF-7748-A865-749B4BC0548B}"/>
    <hyperlink ref="B50" r:id="rId10" tooltip="Fiat" display="https://en.wikipedia.org/wiki/Fiat" xr:uid="{D92770E7-54CA-DB43-B9DC-427CE895E999}"/>
    <hyperlink ref="C50" r:id="rId11" tooltip="Fiat 500 (2007)" display="https://en.wikipedia.org/wiki/Fiat_500_(2007)" xr:uid="{D4CA41B5-DD49-AE44-A85F-372F4CC1456E}"/>
    <hyperlink ref="B51" r:id="rId12" tooltip="Fiat" display="https://en.wikipedia.org/wiki/Fiat" xr:uid="{C72CCD23-3E2A-1447-8E9F-294DF8024509}"/>
    <hyperlink ref="C51" r:id="rId13" tooltip="Fiat Panda" display="https://en.wikipedia.org/wiki/Fiat_Panda" xr:uid="{785C3A70-213D-004F-8A8B-2FFE3C2A7100}"/>
    <hyperlink ref="B52" r:id="rId14" tooltip="Volkswagen" display="https://en.wikipedia.org/wiki/Volkswagen" xr:uid="{59B9DD78-74FD-194F-847C-CDFE32A33503}"/>
    <hyperlink ref="C52" r:id="rId15" tooltip="Volkswagen up!" display="https://en.wikipedia.org/wiki/Volkswagen_up!" xr:uid="{A5FAAB35-63F4-604F-B529-8EC85AAFB38B}"/>
    <hyperlink ref="B53" r:id="rId16" tooltip="Hyundai Motor Company" display="https://en.wikipedia.org/wiki/Hyundai_Motor_Company" xr:uid="{5AB765C2-B829-9040-B81D-017C4A3C6F16}"/>
    <hyperlink ref="C53" r:id="rId17" tooltip="Hyundai i10" display="https://en.wikipedia.org/wiki/Hyundai_i10" xr:uid="{202E9446-127A-2743-9B5E-2CCFC4160AF8}"/>
    <hyperlink ref="B54" r:id="rId18" tooltip="Toyota" display="https://en.wikipedia.org/wiki/Toyota" xr:uid="{20A83E28-BA49-EF4E-8A4F-A6E3CC3A4B47}"/>
    <hyperlink ref="C54" r:id="rId19" tooltip="Toyota Aygo" display="https://en.wikipedia.org/wiki/Toyota_Aygo" xr:uid="{8C325483-379F-6141-8120-AC12357DA604}"/>
    <hyperlink ref="B58" r:id="rId20" tooltip="Renault" display="https://en.wikipedia.org/wiki/Renault" xr:uid="{C216812A-8761-314F-9773-76ABCC650AAC}"/>
    <hyperlink ref="C58" r:id="rId21" tooltip="Renault Clio" display="https://en.wikipedia.org/wiki/Renault_Clio" xr:uid="{6F472C74-67E6-704B-A28F-E1EAEE9B6200}"/>
    <hyperlink ref="B59" r:id="rId22" tooltip="Volkswagen" display="https://en.wikipedia.org/wiki/Volkswagen" xr:uid="{90869418-F6C5-8444-94F3-900FC68FB759}"/>
    <hyperlink ref="C59" r:id="rId23" tooltip="Volkswagen Polo" display="https://en.wikipedia.org/wiki/Volkswagen_Polo" xr:uid="{27F9FC19-3EC8-B34B-8514-8A27B9317618}"/>
    <hyperlink ref="B60" r:id="rId24" tooltip="Ford" display="https://en.wikipedia.org/wiki/Ford" xr:uid="{99F1F670-C8AC-0745-B016-CE885E10FEE7}"/>
    <hyperlink ref="C60" r:id="rId25" tooltip="Ford Fiesta" display="https://en.wikipedia.org/wiki/Ford_Fiesta" xr:uid="{7AF8E7E0-D362-4649-914F-CD1DA39DB4A2}"/>
    <hyperlink ref="B61" r:id="rId26" tooltip="Peugeot" display="https://en.wikipedia.org/wiki/Peugeot" xr:uid="{A76B816A-3E4C-C24A-87D6-09A16058ACD8}"/>
    <hyperlink ref="C61" r:id="rId27" tooltip="Peugeot 208" display="https://en.wikipedia.org/wiki/Peugeot_208" xr:uid="{F72FD7AA-54A3-654B-BE1C-9614EFA7A18F}"/>
    <hyperlink ref="C62" r:id="rId28" tooltip="Opel Corsa" display="https://en.wikipedia.org/wiki/Opel_Corsa" xr:uid="{33CC2A6F-BFD5-7A42-A8CA-CA610434ED75}"/>
    <hyperlink ref="B78" r:id="rId29" tooltip="Volkswagen" display="https://en.wikipedia.org/wiki/Volkswagen" xr:uid="{1C8BA4D3-5669-F04E-B9EE-E653CCC45E49}"/>
    <hyperlink ref="C78" r:id="rId30" tooltip="Volkswagen Passat" display="https://en.wikipedia.org/wiki/Volkswagen_Passat" xr:uid="{3F63A0D0-0991-E843-A8AF-6CAD4006FD19}"/>
    <hyperlink ref="B79" r:id="rId31" tooltip="Škoda Auto" display="https://en.wikipedia.org/wiki/%C5%A0koda_Auto" xr:uid="{CAD05812-A0A2-5040-967E-9044960709E0}"/>
    <hyperlink ref="C79" r:id="rId32" tooltip="Škoda Superb" display="https://en.wikipedia.org/wiki/%C5%A0koda_Superb" xr:uid="{8D48DA44-322C-624A-9D4F-0D6672135FD4}"/>
    <hyperlink ref="C80" r:id="rId33" tooltip="Opel Insignia" display="https://en.wikipedia.org/wiki/Opel_Insignia" xr:uid="{91AA6210-9E3B-5746-B9D8-2040D7E041D0}"/>
    <hyperlink ref="B81" r:id="rId34" tooltip="Ford" display="https://en.wikipedia.org/wiki/Ford" xr:uid="{D649BE9E-7E5B-524E-B03A-02D3BD355419}"/>
    <hyperlink ref="C81" r:id="rId35" tooltip="Ford Mondeo" display="https://en.wikipedia.org/wiki/Ford_Mondeo" xr:uid="{706B38CC-5AB7-EC42-BCAD-008FB09188A6}"/>
    <hyperlink ref="B82" r:id="rId36" tooltip="Renault" display="https://en.wikipedia.org/wiki/Renault" xr:uid="{29D52A36-8AAF-384E-B335-372820AC844E}"/>
    <hyperlink ref="C82" r:id="rId37" tooltip="Renault Talisman" display="https://en.wikipedia.org/wiki/Renault_Talisman" xr:uid="{BC956891-C66F-5343-9713-AA16F2DA9B15}"/>
    <hyperlink ref="B87" r:id="rId38" tooltip="Mercedes-Benz" display="https://en.wikipedia.org/wiki/Mercedes-Benz" xr:uid="{6DE7E317-308F-1F46-848C-4E7C85744481}"/>
    <hyperlink ref="C87" r:id="rId39" tooltip="Mercedes-Benz E-Class" display="https://en.wikipedia.org/wiki/Mercedes-Benz_E-Class" xr:uid="{A2852707-0A1E-BE48-BDD1-99AF164AB47E}"/>
    <hyperlink ref="B88" r:id="rId40" tooltip="BMW" display="https://en.wikipedia.org/wiki/BMW" xr:uid="{49651A19-C255-E645-B44F-53B3F2444478}"/>
    <hyperlink ref="C88" r:id="rId41" tooltip="BMW 5 Series" display="https://en.wikipedia.org/wiki/BMW_5_Series" xr:uid="{A87C8402-6C8F-CF4A-9DC8-62879B3EDE3D}"/>
    <hyperlink ref="B89" r:id="rId42" tooltip="Audi" display="https://en.wikipedia.org/wiki/Audi" xr:uid="{4E520D91-F2F5-434D-97C2-D1C779080473}"/>
    <hyperlink ref="B90" r:id="rId43" tooltip="Volvo Cars" display="https://en.wikipedia.org/wiki/Volvo_Cars" xr:uid="{D024375A-4BEA-654D-BFDB-70ADC803ACAF}"/>
    <hyperlink ref="B91" r:id="rId44" tooltip="Tesla, Inc." display="https://en.wikipedia.org/wiki/Tesla,_Inc." xr:uid="{DBBBA355-5640-1E46-98B7-9E605EB35F66}"/>
    <hyperlink ref="C91" r:id="rId45" tooltip="Tesla Model S" display="https://en.wikipedia.org/wiki/Tesla_Model_S" xr:uid="{FFEE7F4E-03E5-A744-80F4-0968CB762503}"/>
    <hyperlink ref="B96" r:id="rId46" tooltip="Mercedes-Benz" display="https://en.wikipedia.org/wiki/Mercedes-Benz" xr:uid="{3BCE87A1-F803-8348-A226-4D91163A4DC0}"/>
    <hyperlink ref="C96" r:id="rId47" tooltip="Mercedes-Benz S-Class" display="https://en.wikipedia.org/wiki/Mercedes-Benz_S-Class" xr:uid="{4F841757-7A4B-6748-89D9-D185F7DDA70D}"/>
    <hyperlink ref="B97" r:id="rId48" tooltip="BMW" display="https://en.wikipedia.org/wiki/BMW" xr:uid="{15756593-4A01-284F-9ED3-E0054FD49B53}"/>
    <hyperlink ref="C97" r:id="rId49" tooltip="BMW 7 Series" display="https://en.wikipedia.org/wiki/BMW_7_Series" xr:uid="{3A4A078C-0D1B-F547-9C15-378A9754259D}"/>
    <hyperlink ref="B98" r:id="rId50" tooltip="Porsche" display="https://en.wikipedia.org/wiki/Porsche" xr:uid="{8E289F85-D3D3-0343-951F-03B580DF5E65}"/>
    <hyperlink ref="C98" r:id="rId51" tooltip="Porsche Panamera" display="https://en.wikipedia.org/wiki/Porsche_Panamera" xr:uid="{CE750FE1-0F20-4B40-9644-5F26DB39123E}"/>
    <hyperlink ref="B99" r:id="rId52" tooltip="Audi" display="https://en.wikipedia.org/wiki/Audi" xr:uid="{83C9822F-139B-FE4D-8BEF-8D44C5D493AD}"/>
    <hyperlink ref="B100" r:id="rId53" tooltip="Jaguar Cars" display="https://en.wikipedia.org/wiki/Jaguar_Cars" xr:uid="{75253256-6484-5544-832F-B5344E813CCE}"/>
    <hyperlink ref="C100" r:id="rId54" tooltip="Jaguar XJ" display="https://en.wikipedia.org/wiki/Jaguar_XJ" xr:uid="{2DF1B8DA-9F9B-4648-8E24-200820DD5B66}"/>
    <hyperlink ref="B104" r:id="rId55" tooltip="Renault" display="https://en.wikipedia.org/wiki/Renault" xr:uid="{C3E70325-84F7-6944-9ECE-172C4D5AFF19}"/>
    <hyperlink ref="C104" r:id="rId56" tooltip="Renault Captur" display="https://en.wikipedia.org/wiki/Renault_Captur" xr:uid="{43498343-6431-684A-83C3-51DF653EB13D}"/>
    <hyperlink ref="B105" r:id="rId57" tooltip="Peugeot" display="https://en.wikipedia.org/wiki/Peugeot" xr:uid="{87452ADC-5F1B-3C49-992C-EEEAAE246900}"/>
    <hyperlink ref="C105" r:id="rId58" tooltip="Peugeot 2008" display="https://en.wikipedia.org/wiki/Peugeot_2008" xr:uid="{2B07055E-40FA-344E-B6D1-E780C679D2CE}"/>
    <hyperlink ref="C106" r:id="rId59" tooltip="Opel Mokka" display="https://en.wikipedia.org/wiki/Opel_Mokka" xr:uid="{79EC96DF-C0E5-6345-9F39-1AC9D9A0D4CC}"/>
    <hyperlink ref="B107" r:id="rId60" tooltip="Automobile Dacia" display="https://en.wikipedia.org/wiki/Automobile_Dacia" xr:uid="{F148172E-4EB5-BD4C-ADC0-F2027F26F5EB}"/>
    <hyperlink ref="C107" r:id="rId61" tooltip="Dacia Duster" display="https://en.wikipedia.org/wiki/Dacia_Duster" xr:uid="{A4B7AB41-92D4-DF48-92B4-4E9DC24BB54F}"/>
    <hyperlink ref="B108" r:id="rId62" tooltip="Nissan" display="https://en.wikipedia.org/wiki/Nissan" xr:uid="{DCFB15F9-5DF9-D841-9867-36F87BC30D14}"/>
    <hyperlink ref="C108" r:id="rId63" tooltip="Nissan Juke" display="https://en.wikipedia.org/wiki/Nissan_Juke" xr:uid="{63B8117F-6214-B042-8C2F-86E7EE3F9A24}"/>
    <hyperlink ref="C112" r:id="rId64" display="http://carsalesbase.com/european-car-sales-data/Nissan/Nissan-Qashqai/" xr:uid="{CF1B89CB-0855-E44C-8EB4-E56CBAA3B5D4}"/>
    <hyperlink ref="C113" r:id="rId65" display="http://carsalesbase.com/european-car-sales-data/Volkswagen/Volkswagen-Tiguan/" xr:uid="{28D46CD8-0470-4143-933B-991BA59E3784}"/>
    <hyperlink ref="C114" r:id="rId66" display="http://carsalesbase.com/european-car-sales-data/Peugeot/Peugeot-3008/" xr:uid="{BA6CC992-9416-4443-8117-86DB4DBBE2E5}"/>
    <hyperlink ref="C115" r:id="rId67" display="http://carsalesbase.com/european-car-sales-data/Hyundai/Hyundai-tucson/" xr:uid="{FADCBCC9-0E02-E346-8988-2E84BF58F396}"/>
    <hyperlink ref="C116" r:id="rId68" display="http://carsalesbase.com/european-car-sales-data/Ford/Ford-Kuga/" xr:uid="{B4020092-C715-3B40-93CE-DC7BBAA5593F}"/>
    <hyperlink ref="A119" r:id="rId69" tooltip="Premium large SUV segment" display="http://carsalesbase.com/car-sales-europe/car-sales-segments/premium-large-suv-segment/" xr:uid="{6AD4CEC9-9059-AD41-BEB8-F2163E5FA5D7}"/>
    <hyperlink ref="B120" r:id="rId70" display="http://carsalesbase.com/european-car-sales-data/BMW/BMW-X5/" xr:uid="{EDDE7F22-ADD4-6E46-BFCB-F43A53BB22C3}"/>
    <hyperlink ref="B121" r:id="rId71" display="http://carsalesbase.com/european-car-sales-data/Volvo/Volvo-XC90/" xr:uid="{A60347EF-5E6C-3D42-B656-BD9781DB0094}"/>
    <hyperlink ref="B122" r:id="rId72" display="http://carsalesbase.com/european-car-sales-data/Audi/Audi-Q7/" xr:uid="{B781CA45-9B85-4C4D-B5C8-B7ACE1421C96}"/>
    <hyperlink ref="B123" r:id="rId73" display="http://carsalesbase.com/european-car-sales-data/Mercedes-Benz/Mercedes-Benz-GLE/" xr:uid="{EBEB5FA8-FF57-784E-A574-154020085017}"/>
    <hyperlink ref="B124" r:id="rId74" display="http://carsalesbase.com/european-car-sales-data/Land-Rover/Range-Rover-Sport/" xr:uid="{497450C8-6F7D-3D4E-A902-2F8DDEF427E2}"/>
  </hyperlinks>
  <pageMargins left="0.7" right="0.7" top="0.75" bottom="0.75" header="0.3" footer="0.3"/>
  <drawing r:id="rId7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2903C-73BC-D94A-9C1C-C0B989B82A1D}">
  <sheetPr codeName="Sheet1">
    <tabColor theme="7"/>
    <pageSetUpPr fitToPage="1"/>
  </sheetPr>
  <dimension ref="A1:O74"/>
  <sheetViews>
    <sheetView showGridLines="0" zoomScale="80" zoomScaleNormal="80" workbookViewId="0">
      <selection activeCell="F6" sqref="F6"/>
    </sheetView>
  </sheetViews>
  <sheetFormatPr baseColWidth="10" defaultColWidth="11" defaultRowHeight="16"/>
  <cols>
    <col min="1" max="1" width="3.83203125" style="396" customWidth="1"/>
    <col min="2" max="2" width="6" style="396" customWidth="1"/>
    <col min="3" max="3" width="19.83203125" style="396" customWidth="1"/>
    <col min="4" max="4" width="37.83203125" style="396" customWidth="1"/>
    <col min="5" max="14" width="19.1640625" style="396" customWidth="1"/>
    <col min="15" max="15" width="16" style="396" customWidth="1"/>
    <col min="16" max="16384" width="11" style="396"/>
  </cols>
  <sheetData>
    <row r="1" spans="1:15" ht="20" customHeight="1" thickBot="1">
      <c r="A1" s="83"/>
      <c r="B1" s="83"/>
      <c r="C1" s="83"/>
      <c r="D1" s="83"/>
      <c r="E1" s="83"/>
      <c r="F1" s="83"/>
      <c r="G1" s="83"/>
      <c r="H1" s="83"/>
      <c r="I1" s="83"/>
      <c r="J1" s="83"/>
      <c r="K1" s="83"/>
      <c r="L1" s="83"/>
      <c r="M1" s="83"/>
      <c r="N1" s="83"/>
      <c r="O1" s="83"/>
    </row>
    <row r="2" spans="1:15" ht="29" thickBot="1">
      <c r="A2" s="83"/>
      <c r="B2" s="1251" t="s">
        <v>1329</v>
      </c>
      <c r="C2" s="1262" t="s">
        <v>0</v>
      </c>
      <c r="D2" s="1263"/>
      <c r="E2" s="1259" t="s">
        <v>1</v>
      </c>
      <c r="F2" s="1260"/>
      <c r="G2" s="1260"/>
      <c r="H2" s="1260"/>
      <c r="I2" s="1261"/>
      <c r="J2" s="1264" t="s">
        <v>2</v>
      </c>
      <c r="K2" s="1265"/>
      <c r="L2" s="1265"/>
      <c r="M2" s="1265"/>
      <c r="N2" s="1266"/>
      <c r="O2" s="74" t="s">
        <v>868</v>
      </c>
    </row>
    <row r="3" spans="1:15" ht="35" customHeight="1" thickBot="1">
      <c r="A3" s="83"/>
      <c r="B3" s="1252"/>
      <c r="C3" s="397"/>
      <c r="D3" s="398" t="s">
        <v>4</v>
      </c>
      <c r="E3" s="399" t="s">
        <v>5</v>
      </c>
      <c r="F3" s="399" t="s">
        <v>4324</v>
      </c>
      <c r="G3" s="399" t="s">
        <v>4325</v>
      </c>
      <c r="H3" s="399" t="s">
        <v>4326</v>
      </c>
      <c r="I3" s="399" t="s">
        <v>746</v>
      </c>
      <c r="J3" s="399" t="s">
        <v>4327</v>
      </c>
      <c r="K3" s="399" t="s">
        <v>4324</v>
      </c>
      <c r="L3" s="399" t="s">
        <v>4325</v>
      </c>
      <c r="M3" s="399" t="s">
        <v>4326</v>
      </c>
      <c r="N3" s="400" t="s">
        <v>747</v>
      </c>
      <c r="O3" s="401"/>
    </row>
    <row r="4" spans="1:15" ht="35" customHeight="1">
      <c r="A4" s="83"/>
      <c r="B4" s="1269" t="s">
        <v>1330</v>
      </c>
      <c r="C4" s="402" t="s">
        <v>7</v>
      </c>
      <c r="D4" s="403" t="s">
        <v>688</v>
      </c>
      <c r="E4" s="40">
        <v>0</v>
      </c>
      <c r="F4" s="41">
        <v>0</v>
      </c>
      <c r="G4" s="41">
        <v>0</v>
      </c>
      <c r="H4" s="41">
        <v>0</v>
      </c>
      <c r="I4" s="41">
        <v>0</v>
      </c>
      <c r="J4" s="48" t="s">
        <v>9</v>
      </c>
      <c r="K4" s="49" t="s">
        <v>9</v>
      </c>
      <c r="L4" s="72" t="s">
        <v>9</v>
      </c>
      <c r="M4" s="71" t="s">
        <v>9</v>
      </c>
      <c r="N4" s="158" t="s">
        <v>9</v>
      </c>
      <c r="O4" s="163">
        <f>SUM(E4:I4)</f>
        <v>0</v>
      </c>
    </row>
    <row r="5" spans="1:15" ht="35" customHeight="1">
      <c r="A5" s="83"/>
      <c r="B5" s="1270"/>
      <c r="C5" s="404" t="s">
        <v>12</v>
      </c>
      <c r="D5" s="405" t="s">
        <v>686</v>
      </c>
      <c r="E5" s="40">
        <v>0</v>
      </c>
      <c r="F5" s="41">
        <v>0</v>
      </c>
      <c r="G5" s="41">
        <v>0</v>
      </c>
      <c r="H5" s="41">
        <v>0</v>
      </c>
      <c r="I5" s="41">
        <v>0</v>
      </c>
      <c r="J5" s="40">
        <v>0</v>
      </c>
      <c r="K5" s="41">
        <v>0</v>
      </c>
      <c r="L5" s="41">
        <v>0</v>
      </c>
      <c r="M5" s="41">
        <v>0</v>
      </c>
      <c r="N5" s="152">
        <v>0</v>
      </c>
      <c r="O5" s="163">
        <f>SUM(E5:N5)</f>
        <v>0</v>
      </c>
    </row>
    <row r="6" spans="1:15" ht="35" customHeight="1">
      <c r="A6" s="83"/>
      <c r="B6" s="1270"/>
      <c r="C6" s="406" t="s">
        <v>15</v>
      </c>
      <c r="D6" s="407" t="s">
        <v>687</v>
      </c>
      <c r="E6" s="40">
        <v>0</v>
      </c>
      <c r="F6" s="41">
        <v>0</v>
      </c>
      <c r="G6" s="41">
        <v>0</v>
      </c>
      <c r="H6" s="41">
        <v>0</v>
      </c>
      <c r="I6" s="41">
        <v>0</v>
      </c>
      <c r="J6" s="40">
        <v>0</v>
      </c>
      <c r="K6" s="41">
        <v>0</v>
      </c>
      <c r="L6" s="41">
        <v>0</v>
      </c>
      <c r="M6" s="41">
        <v>0</v>
      </c>
      <c r="N6" s="152">
        <v>0</v>
      </c>
      <c r="O6" s="163">
        <f t="shared" ref="O6:O13" si="0">SUM(E6:N6)</f>
        <v>0</v>
      </c>
    </row>
    <row r="7" spans="1:15" ht="35" customHeight="1">
      <c r="A7" s="83"/>
      <c r="B7" s="1270"/>
      <c r="C7" s="404" t="s">
        <v>18</v>
      </c>
      <c r="D7" s="405" t="s">
        <v>682</v>
      </c>
      <c r="E7" s="40">
        <v>0</v>
      </c>
      <c r="F7" s="41">
        <v>0</v>
      </c>
      <c r="G7" s="41">
        <v>0</v>
      </c>
      <c r="H7" s="41">
        <v>0</v>
      </c>
      <c r="I7" s="41">
        <v>0</v>
      </c>
      <c r="J7" s="40">
        <v>0</v>
      </c>
      <c r="K7" s="41">
        <v>0</v>
      </c>
      <c r="L7" s="41">
        <v>0</v>
      </c>
      <c r="M7" s="41">
        <v>0</v>
      </c>
      <c r="N7" s="152">
        <v>0</v>
      </c>
      <c r="O7" s="163">
        <f t="shared" si="0"/>
        <v>0</v>
      </c>
    </row>
    <row r="8" spans="1:15" ht="35" customHeight="1">
      <c r="A8" s="83"/>
      <c r="B8" s="1270"/>
      <c r="C8" s="404" t="s">
        <v>21</v>
      </c>
      <c r="D8" s="405" t="s">
        <v>681</v>
      </c>
      <c r="E8" s="40">
        <v>0</v>
      </c>
      <c r="F8" s="41">
        <v>0</v>
      </c>
      <c r="G8" s="41">
        <v>0</v>
      </c>
      <c r="H8" s="41">
        <v>0</v>
      </c>
      <c r="I8" s="41">
        <v>0</v>
      </c>
      <c r="J8" s="40">
        <v>0</v>
      </c>
      <c r="K8" s="41">
        <v>0</v>
      </c>
      <c r="L8" s="41">
        <v>0</v>
      </c>
      <c r="M8" s="41">
        <v>0</v>
      </c>
      <c r="N8" s="152">
        <v>0</v>
      </c>
      <c r="O8" s="163">
        <f t="shared" si="0"/>
        <v>0</v>
      </c>
    </row>
    <row r="9" spans="1:15" ht="35" customHeight="1">
      <c r="A9" s="83"/>
      <c r="B9" s="1270"/>
      <c r="C9" s="404" t="s">
        <v>25</v>
      </c>
      <c r="D9" s="405" t="s">
        <v>683</v>
      </c>
      <c r="E9" s="40">
        <v>0</v>
      </c>
      <c r="F9" s="41">
        <v>0</v>
      </c>
      <c r="G9" s="41">
        <v>0</v>
      </c>
      <c r="H9" s="41">
        <v>0</v>
      </c>
      <c r="I9" s="41">
        <v>0</v>
      </c>
      <c r="J9" s="40">
        <v>0</v>
      </c>
      <c r="K9" s="41">
        <v>0</v>
      </c>
      <c r="L9" s="41">
        <v>0</v>
      </c>
      <c r="M9" s="41">
        <v>0</v>
      </c>
      <c r="N9" s="152">
        <v>0</v>
      </c>
      <c r="O9" s="163">
        <f t="shared" si="0"/>
        <v>0</v>
      </c>
    </row>
    <row r="10" spans="1:15" ht="34" customHeight="1">
      <c r="A10" s="83"/>
      <c r="B10" s="1270"/>
      <c r="C10" s="404" t="s">
        <v>159</v>
      </c>
      <c r="D10" s="405" t="s">
        <v>312</v>
      </c>
      <c r="E10" s="40">
        <v>0</v>
      </c>
      <c r="F10" s="41">
        <v>0</v>
      </c>
      <c r="G10" s="41">
        <v>0</v>
      </c>
      <c r="H10" s="41">
        <v>0</v>
      </c>
      <c r="I10" s="41">
        <v>0</v>
      </c>
      <c r="J10" s="40">
        <v>0</v>
      </c>
      <c r="K10" s="41">
        <v>0</v>
      </c>
      <c r="L10" s="41">
        <v>0</v>
      </c>
      <c r="M10" s="41">
        <v>0</v>
      </c>
      <c r="N10" s="152">
        <v>0</v>
      </c>
      <c r="O10" s="163">
        <f t="shared" si="0"/>
        <v>0</v>
      </c>
    </row>
    <row r="11" spans="1:15" ht="35" hidden="1" customHeight="1">
      <c r="A11" s="83"/>
      <c r="B11" s="1270"/>
      <c r="C11" s="404" t="s">
        <v>896</v>
      </c>
      <c r="D11" s="405" t="s">
        <v>897</v>
      </c>
      <c r="E11" s="40">
        <v>0</v>
      </c>
      <c r="F11" s="41">
        <v>0</v>
      </c>
      <c r="G11" s="41">
        <v>0</v>
      </c>
      <c r="H11" s="41">
        <v>0</v>
      </c>
      <c r="I11" s="41">
        <v>0</v>
      </c>
      <c r="J11" s="40">
        <v>0</v>
      </c>
      <c r="K11" s="41">
        <v>0</v>
      </c>
      <c r="L11" s="41">
        <v>0</v>
      </c>
      <c r="M11" s="41">
        <v>0</v>
      </c>
      <c r="N11" s="152">
        <v>0</v>
      </c>
      <c r="O11" s="163">
        <f t="shared" si="0"/>
        <v>0</v>
      </c>
    </row>
    <row r="12" spans="1:15" ht="35" customHeight="1">
      <c r="A12" s="83"/>
      <c r="B12" s="1270"/>
      <c r="C12" s="404" t="s">
        <v>28</v>
      </c>
      <c r="D12" s="405" t="s">
        <v>684</v>
      </c>
      <c r="E12" s="40">
        <v>0</v>
      </c>
      <c r="F12" s="41">
        <v>0</v>
      </c>
      <c r="G12" s="41">
        <v>0</v>
      </c>
      <c r="H12" s="41">
        <v>0</v>
      </c>
      <c r="I12" s="41">
        <v>0</v>
      </c>
      <c r="J12" s="40">
        <v>0</v>
      </c>
      <c r="K12" s="41">
        <v>0</v>
      </c>
      <c r="L12" s="41">
        <v>0</v>
      </c>
      <c r="M12" s="41">
        <v>0</v>
      </c>
      <c r="N12" s="152">
        <v>0</v>
      </c>
      <c r="O12" s="163">
        <f t="shared" si="0"/>
        <v>0</v>
      </c>
    </row>
    <row r="13" spans="1:15" ht="35" customHeight="1" thickBot="1">
      <c r="A13" s="83"/>
      <c r="B13" s="1271"/>
      <c r="C13" s="408" t="s">
        <v>32</v>
      </c>
      <c r="D13" s="409" t="s">
        <v>685</v>
      </c>
      <c r="E13" s="40">
        <v>0</v>
      </c>
      <c r="F13" s="41">
        <v>0</v>
      </c>
      <c r="G13" s="41">
        <v>0</v>
      </c>
      <c r="H13" s="41">
        <v>0</v>
      </c>
      <c r="I13" s="41">
        <v>0</v>
      </c>
      <c r="J13" s="40">
        <v>0</v>
      </c>
      <c r="K13" s="41">
        <v>0</v>
      </c>
      <c r="L13" s="41">
        <v>0</v>
      </c>
      <c r="M13" s="41">
        <v>0</v>
      </c>
      <c r="N13" s="152">
        <v>0</v>
      </c>
      <c r="O13" s="163">
        <f t="shared" si="0"/>
        <v>0</v>
      </c>
    </row>
    <row r="14" spans="1:15" ht="24" customHeight="1" thickBot="1">
      <c r="A14" s="83"/>
      <c r="B14" s="410"/>
      <c r="C14" s="411"/>
      <c r="D14" s="412"/>
      <c r="E14" s="413"/>
      <c r="F14" s="413"/>
      <c r="G14" s="413"/>
      <c r="H14" s="413"/>
      <c r="I14" s="413"/>
      <c r="J14" s="414"/>
      <c r="K14" s="414"/>
      <c r="L14" s="414"/>
      <c r="M14" s="414"/>
      <c r="N14" s="414"/>
      <c r="O14" s="415"/>
    </row>
    <row r="15" spans="1:15" ht="35" customHeight="1">
      <c r="A15" s="83"/>
      <c r="B15" s="1256" t="s">
        <v>1332</v>
      </c>
      <c r="C15" s="402" t="s">
        <v>890</v>
      </c>
      <c r="D15" s="416" t="s">
        <v>891</v>
      </c>
      <c r="E15" s="184">
        <v>0</v>
      </c>
      <c r="F15" s="186">
        <v>0</v>
      </c>
      <c r="G15" s="186">
        <v>0</v>
      </c>
      <c r="H15" s="186">
        <v>0</v>
      </c>
      <c r="I15" s="180">
        <v>0</v>
      </c>
      <c r="J15" s="179">
        <v>0</v>
      </c>
      <c r="K15" s="41">
        <v>0</v>
      </c>
      <c r="L15" s="41">
        <v>0</v>
      </c>
      <c r="M15" s="41">
        <v>0</v>
      </c>
      <c r="N15" s="152">
        <v>0</v>
      </c>
      <c r="O15" s="163">
        <f>SUM(E15:N15)</f>
        <v>0</v>
      </c>
    </row>
    <row r="16" spans="1:15" ht="35" customHeight="1">
      <c r="A16" s="83"/>
      <c r="B16" s="1257"/>
      <c r="C16" s="404" t="s">
        <v>892</v>
      </c>
      <c r="D16" s="417" t="s">
        <v>893</v>
      </c>
      <c r="E16" s="181" t="s">
        <v>9</v>
      </c>
      <c r="F16" s="71" t="s">
        <v>9</v>
      </c>
      <c r="G16" s="71" t="s">
        <v>9</v>
      </c>
      <c r="H16" s="71" t="s">
        <v>9</v>
      </c>
      <c r="I16" s="188" t="s">
        <v>9</v>
      </c>
      <c r="J16" s="179">
        <v>0</v>
      </c>
      <c r="K16" s="41">
        <v>0</v>
      </c>
      <c r="L16" s="41">
        <v>0</v>
      </c>
      <c r="M16" s="41">
        <v>0</v>
      </c>
      <c r="N16" s="152">
        <v>0</v>
      </c>
      <c r="O16" s="163">
        <f>SUM(E16:N16)</f>
        <v>0</v>
      </c>
    </row>
    <row r="17" spans="1:15" ht="35" customHeight="1" thickBot="1">
      <c r="A17" s="83"/>
      <c r="B17" s="1258"/>
      <c r="C17" s="408" t="s">
        <v>120</v>
      </c>
      <c r="D17" s="418" t="s">
        <v>894</v>
      </c>
      <c r="E17" s="183" t="s">
        <v>9</v>
      </c>
      <c r="F17" s="187" t="s">
        <v>9</v>
      </c>
      <c r="G17" s="187" t="s">
        <v>9</v>
      </c>
      <c r="H17" s="187" t="s">
        <v>9</v>
      </c>
      <c r="I17" s="189" t="s">
        <v>9</v>
      </c>
      <c r="J17" s="179">
        <v>0</v>
      </c>
      <c r="K17" s="41">
        <v>0</v>
      </c>
      <c r="L17" s="41">
        <v>0</v>
      </c>
      <c r="M17" s="41">
        <v>0</v>
      </c>
      <c r="N17" s="152">
        <v>0</v>
      </c>
      <c r="O17" s="163">
        <f>SUM(E17:N17)</f>
        <v>0</v>
      </c>
    </row>
    <row r="18" spans="1:15" ht="24" hidden="1" customHeight="1" thickBot="1">
      <c r="A18" s="83"/>
      <c r="B18" s="410"/>
      <c r="C18" s="411"/>
      <c r="D18" s="412"/>
      <c r="E18" s="419"/>
      <c r="F18" s="419"/>
      <c r="G18" s="419"/>
      <c r="H18" s="419"/>
      <c r="I18" s="419"/>
      <c r="J18" s="414"/>
      <c r="K18" s="414"/>
      <c r="L18" s="414"/>
      <c r="M18" s="414"/>
      <c r="N18" s="414"/>
      <c r="O18" s="319"/>
    </row>
    <row r="19" spans="1:15" ht="35" hidden="1" customHeight="1">
      <c r="A19" s="83"/>
      <c r="B19" s="1256" t="s">
        <v>1331</v>
      </c>
      <c r="C19" s="402" t="s">
        <v>728</v>
      </c>
      <c r="D19" s="416" t="s">
        <v>898</v>
      </c>
      <c r="E19" s="184">
        <v>0</v>
      </c>
      <c r="F19" s="186">
        <v>0</v>
      </c>
      <c r="G19" s="186">
        <v>0</v>
      </c>
      <c r="H19" s="186">
        <v>0</v>
      </c>
      <c r="I19" s="180">
        <v>0</v>
      </c>
      <c r="J19" s="179">
        <v>0</v>
      </c>
      <c r="K19" s="41">
        <v>0</v>
      </c>
      <c r="L19" s="41">
        <v>0</v>
      </c>
      <c r="M19" s="41">
        <v>0</v>
      </c>
      <c r="N19" s="152">
        <v>0</v>
      </c>
      <c r="O19" s="163">
        <f>SUM(E19:N19)</f>
        <v>0</v>
      </c>
    </row>
    <row r="20" spans="1:15" ht="35" hidden="1" customHeight="1">
      <c r="A20" s="83"/>
      <c r="B20" s="1257"/>
      <c r="C20" s="404" t="s">
        <v>850</v>
      </c>
      <c r="D20" s="417" t="s">
        <v>899</v>
      </c>
      <c r="E20" s="181" t="s">
        <v>9</v>
      </c>
      <c r="F20" s="71" t="s">
        <v>9</v>
      </c>
      <c r="G20" s="71" t="s">
        <v>9</v>
      </c>
      <c r="H20" s="71" t="s">
        <v>9</v>
      </c>
      <c r="I20" s="188" t="s">
        <v>9</v>
      </c>
      <c r="J20" s="179">
        <v>0</v>
      </c>
      <c r="K20" s="41">
        <v>0</v>
      </c>
      <c r="L20" s="41">
        <v>0</v>
      </c>
      <c r="M20" s="41">
        <v>0</v>
      </c>
      <c r="N20" s="152">
        <v>0</v>
      </c>
      <c r="O20" s="163">
        <f>SUM(E20:N20)</f>
        <v>0</v>
      </c>
    </row>
    <row r="21" spans="1:15" ht="35" hidden="1" customHeight="1">
      <c r="A21" s="83"/>
      <c r="B21" s="1257"/>
      <c r="C21" s="404" t="s">
        <v>729</v>
      </c>
      <c r="D21" s="417" t="s">
        <v>744</v>
      </c>
      <c r="E21" s="181" t="s">
        <v>9</v>
      </c>
      <c r="F21" s="71" t="s">
        <v>9</v>
      </c>
      <c r="G21" s="71" t="s">
        <v>9</v>
      </c>
      <c r="H21" s="71" t="s">
        <v>9</v>
      </c>
      <c r="I21" s="188" t="s">
        <v>9</v>
      </c>
      <c r="J21" s="179">
        <v>0</v>
      </c>
      <c r="K21" s="41">
        <v>0</v>
      </c>
      <c r="L21" s="41">
        <v>0</v>
      </c>
      <c r="M21" s="41">
        <v>0</v>
      </c>
      <c r="N21" s="152">
        <v>0</v>
      </c>
      <c r="O21" s="163">
        <f>SUM(E21:N21)</f>
        <v>0</v>
      </c>
    </row>
    <row r="22" spans="1:15" ht="35" hidden="1" customHeight="1" thickBot="1">
      <c r="A22" s="83"/>
      <c r="B22" s="1258"/>
      <c r="C22" s="408" t="s">
        <v>714</v>
      </c>
      <c r="D22" s="418" t="s">
        <v>745</v>
      </c>
      <c r="E22" s="183" t="s">
        <v>9</v>
      </c>
      <c r="F22" s="187" t="s">
        <v>9</v>
      </c>
      <c r="G22" s="187" t="s">
        <v>9</v>
      </c>
      <c r="H22" s="187" t="s">
        <v>9</v>
      </c>
      <c r="I22" s="189" t="s">
        <v>9</v>
      </c>
      <c r="J22" s="179">
        <v>0</v>
      </c>
      <c r="K22" s="41">
        <v>0</v>
      </c>
      <c r="L22" s="41">
        <v>0</v>
      </c>
      <c r="M22" s="41">
        <v>0</v>
      </c>
      <c r="N22" s="152">
        <v>0</v>
      </c>
      <c r="O22" s="163">
        <f>SUM(E22:N22)</f>
        <v>0</v>
      </c>
    </row>
    <row r="23" spans="1:15" ht="24" customHeight="1" thickBot="1">
      <c r="A23" s="83"/>
      <c r="B23" s="410"/>
      <c r="C23" s="411"/>
      <c r="D23" s="412"/>
      <c r="E23" s="419"/>
      <c r="F23" s="419"/>
      <c r="G23" s="419"/>
      <c r="H23" s="419"/>
      <c r="I23" s="419"/>
      <c r="J23" s="414"/>
      <c r="K23" s="414"/>
      <c r="L23" s="414"/>
      <c r="M23" s="414"/>
      <c r="N23" s="414"/>
      <c r="O23" s="415"/>
    </row>
    <row r="24" spans="1:15" ht="35" customHeight="1">
      <c r="A24" s="83"/>
      <c r="B24" s="1256" t="s">
        <v>2045</v>
      </c>
      <c r="C24" s="402" t="s">
        <v>2044</v>
      </c>
      <c r="D24" s="403" t="s">
        <v>4225</v>
      </c>
      <c r="E24" s="181" t="s">
        <v>9</v>
      </c>
      <c r="F24" s="71" t="s">
        <v>9</v>
      </c>
      <c r="G24" s="71" t="s">
        <v>9</v>
      </c>
      <c r="H24" s="71" t="s">
        <v>9</v>
      </c>
      <c r="I24" s="188" t="s">
        <v>9</v>
      </c>
      <c r="J24" s="179">
        <v>0</v>
      </c>
      <c r="K24" s="41">
        <v>0</v>
      </c>
      <c r="L24" s="41">
        <v>0</v>
      </c>
      <c r="M24" s="41">
        <v>0</v>
      </c>
      <c r="N24" s="152">
        <v>0</v>
      </c>
      <c r="O24" s="163">
        <f>SUM(E24:N24)</f>
        <v>0</v>
      </c>
    </row>
    <row r="25" spans="1:15" ht="35" customHeight="1" thickBot="1">
      <c r="A25" s="83"/>
      <c r="B25" s="1257"/>
      <c r="C25" s="404" t="s">
        <v>4241</v>
      </c>
      <c r="D25" s="405" t="s">
        <v>4226</v>
      </c>
      <c r="E25" s="181" t="s">
        <v>9</v>
      </c>
      <c r="F25" s="71" t="s">
        <v>9</v>
      </c>
      <c r="G25" s="71" t="s">
        <v>9</v>
      </c>
      <c r="H25" s="71" t="s">
        <v>9</v>
      </c>
      <c r="I25" s="188" t="s">
        <v>9</v>
      </c>
      <c r="J25" s="179">
        <v>0</v>
      </c>
      <c r="K25" s="41">
        <v>0</v>
      </c>
      <c r="L25" s="41">
        <v>0</v>
      </c>
      <c r="M25" s="41">
        <v>0</v>
      </c>
      <c r="N25" s="152">
        <v>0</v>
      </c>
      <c r="O25" s="163">
        <f>SUM(E25:N25)</f>
        <v>0</v>
      </c>
    </row>
    <row r="26" spans="1:15" ht="35" customHeight="1" thickBot="1">
      <c r="A26" s="83"/>
      <c r="B26" s="1257"/>
      <c r="C26" s="397"/>
      <c r="D26" s="398" t="s">
        <v>4250</v>
      </c>
      <c r="E26" s="399" t="s">
        <v>4251</v>
      </c>
      <c r="F26" s="399" t="s">
        <v>4252</v>
      </c>
      <c r="G26" s="399" t="s">
        <v>4253</v>
      </c>
      <c r="H26" s="399" t="s">
        <v>4254</v>
      </c>
      <c r="I26" s="399" t="s">
        <v>4255</v>
      </c>
      <c r="J26" s="399" t="s">
        <v>4251</v>
      </c>
      <c r="K26" s="399" t="s">
        <v>4252</v>
      </c>
      <c r="L26" s="399" t="s">
        <v>4253</v>
      </c>
      <c r="M26" s="399" t="s">
        <v>4254</v>
      </c>
      <c r="N26" s="399" t="s">
        <v>4255</v>
      </c>
      <c r="O26" s="74"/>
    </row>
    <row r="27" spans="1:15" ht="35" customHeight="1" thickBot="1">
      <c r="A27" s="83"/>
      <c r="B27" s="1258"/>
      <c r="C27" s="420" t="s">
        <v>1640</v>
      </c>
      <c r="D27" s="421" t="s">
        <v>4227</v>
      </c>
      <c r="E27" s="183" t="s">
        <v>9</v>
      </c>
      <c r="F27" s="187" t="s">
        <v>9</v>
      </c>
      <c r="G27" s="187" t="s">
        <v>9</v>
      </c>
      <c r="H27" s="187" t="s">
        <v>9</v>
      </c>
      <c r="I27" s="189" t="s">
        <v>9</v>
      </c>
      <c r="J27" s="179">
        <v>0</v>
      </c>
      <c r="K27" s="41">
        <v>0</v>
      </c>
      <c r="L27" s="41">
        <v>0</v>
      </c>
      <c r="M27" s="41">
        <v>0</v>
      </c>
      <c r="N27" s="152">
        <v>0</v>
      </c>
      <c r="O27" s="163">
        <f>SUM(E27:N27)</f>
        <v>0</v>
      </c>
    </row>
    <row r="28" spans="1:15" ht="24" customHeight="1" thickBot="1">
      <c r="A28" s="83"/>
      <c r="B28" s="410"/>
      <c r="C28" s="411"/>
      <c r="D28" s="412"/>
      <c r="E28" s="419"/>
      <c r="F28" s="419"/>
      <c r="G28" s="419"/>
      <c r="H28" s="419"/>
      <c r="I28" s="419"/>
      <c r="J28" s="414"/>
      <c r="K28" s="414"/>
      <c r="L28" s="414"/>
      <c r="M28" s="414"/>
      <c r="N28" s="414"/>
      <c r="O28" s="319"/>
    </row>
    <row r="29" spans="1:15" ht="35" customHeight="1" thickBot="1">
      <c r="A29" s="83"/>
      <c r="B29" s="410"/>
      <c r="C29" s="74" t="s">
        <v>3</v>
      </c>
      <c r="D29" s="75"/>
      <c r="E29" s="73">
        <f>SUM(E4:E13)+SUM(E15:E17)+SUM(E19:E22)+SUM(E24:E27)</f>
        <v>0</v>
      </c>
      <c r="F29" s="73">
        <f t="shared" ref="F29:N29" si="1">SUM(F4:F13)+SUM(F15:F17)+SUM(F19:F22)+SUM(F24:F27)</f>
        <v>0</v>
      </c>
      <c r="G29" s="73">
        <f t="shared" si="1"/>
        <v>0</v>
      </c>
      <c r="H29" s="73">
        <f t="shared" si="1"/>
        <v>0</v>
      </c>
      <c r="I29" s="73">
        <f t="shared" si="1"/>
        <v>0</v>
      </c>
      <c r="J29" s="73">
        <f t="shared" si="1"/>
        <v>0</v>
      </c>
      <c r="K29" s="73">
        <f t="shared" si="1"/>
        <v>0</v>
      </c>
      <c r="L29" s="73">
        <f t="shared" si="1"/>
        <v>0</v>
      </c>
      <c r="M29" s="73">
        <f t="shared" si="1"/>
        <v>0</v>
      </c>
      <c r="N29" s="73">
        <f t="shared" si="1"/>
        <v>0</v>
      </c>
      <c r="O29" s="164">
        <f>SUM(O4:O13)+SUM(O15:O17)+SUM(O19:O22)+SUM(O24:O27)</f>
        <v>0</v>
      </c>
    </row>
    <row r="30" spans="1:15" ht="24" customHeight="1" thickBot="1">
      <c r="A30" s="83"/>
      <c r="B30" s="83"/>
      <c r="C30" s="83"/>
      <c r="D30" s="83"/>
      <c r="E30" s="83"/>
      <c r="F30" s="83"/>
      <c r="G30" s="83"/>
      <c r="H30" s="83"/>
      <c r="I30" s="83"/>
      <c r="J30" s="83"/>
      <c r="K30" s="83"/>
      <c r="L30" s="83"/>
      <c r="M30" s="83"/>
      <c r="N30" s="83"/>
      <c r="O30" s="83"/>
    </row>
    <row r="31" spans="1:15" ht="35" customHeight="1" thickBot="1">
      <c r="A31" s="83"/>
      <c r="B31" s="1251" t="s">
        <v>1329</v>
      </c>
      <c r="C31" s="1262" t="s">
        <v>0</v>
      </c>
      <c r="D31" s="1263"/>
      <c r="E31" s="1259" t="s">
        <v>811</v>
      </c>
      <c r="F31" s="1260"/>
      <c r="G31" s="1260"/>
      <c r="H31" s="1260"/>
      <c r="I31" s="1261"/>
      <c r="J31" s="74" t="s">
        <v>868</v>
      </c>
      <c r="K31" s="74" t="s">
        <v>3</v>
      </c>
      <c r="L31" s="1267" t="s">
        <v>693</v>
      </c>
      <c r="M31" s="1268"/>
      <c r="N31" s="1268"/>
      <c r="O31" s="1268"/>
    </row>
    <row r="32" spans="1:15" ht="35" customHeight="1" thickBot="1">
      <c r="A32" s="83"/>
      <c r="B32" s="1252"/>
      <c r="C32" s="397"/>
      <c r="D32" s="398" t="s">
        <v>4</v>
      </c>
      <c r="E32" s="399" t="s">
        <v>5</v>
      </c>
      <c r="F32" s="399" t="s">
        <v>4324</v>
      </c>
      <c r="G32" s="399" t="s">
        <v>4325</v>
      </c>
      <c r="H32" s="399" t="s">
        <v>4326</v>
      </c>
      <c r="I32" s="399" t="s">
        <v>746</v>
      </c>
      <c r="J32" s="422"/>
      <c r="K32" s="401"/>
      <c r="L32" s="1275" t="s">
        <v>900</v>
      </c>
      <c r="M32" s="1276"/>
      <c r="N32" s="1276"/>
      <c r="O32" s="1276"/>
    </row>
    <row r="33" spans="1:15" ht="35" customHeight="1" thickBot="1">
      <c r="A33" s="83"/>
      <c r="B33" s="1269" t="s">
        <v>1330</v>
      </c>
      <c r="C33" s="402" t="s">
        <v>7</v>
      </c>
      <c r="D33" s="403" t="s">
        <v>688</v>
      </c>
      <c r="E33" s="40">
        <v>0</v>
      </c>
      <c r="F33" s="41">
        <v>0</v>
      </c>
      <c r="G33" s="41">
        <v>0</v>
      </c>
      <c r="H33" s="41">
        <v>0</v>
      </c>
      <c r="I33" s="152">
        <v>0</v>
      </c>
      <c r="J33" s="156">
        <f>SUM(E33:I33)</f>
        <v>0</v>
      </c>
      <c r="K33" s="78">
        <f t="shared" ref="K33:K42" si="2">SUM(E4:N4)+SUM(E33:I33)</f>
        <v>0</v>
      </c>
      <c r="L33" s="1231" t="s">
        <v>10</v>
      </c>
      <c r="M33" s="1232"/>
      <c r="N33" s="1232"/>
      <c r="O33" s="1233"/>
    </row>
    <row r="34" spans="1:15" ht="35" customHeight="1" thickBot="1">
      <c r="A34" s="83"/>
      <c r="B34" s="1270"/>
      <c r="C34" s="404" t="s">
        <v>12</v>
      </c>
      <c r="D34" s="405" t="s">
        <v>686</v>
      </c>
      <c r="E34" s="40">
        <v>0</v>
      </c>
      <c r="F34" s="41">
        <v>0</v>
      </c>
      <c r="G34" s="41">
        <v>0</v>
      </c>
      <c r="H34" s="41">
        <v>0</v>
      </c>
      <c r="I34" s="152">
        <v>0</v>
      </c>
      <c r="J34" s="157">
        <f>E34+F34+G34+H34+I34</f>
        <v>0</v>
      </c>
      <c r="K34" s="78">
        <f t="shared" si="2"/>
        <v>0</v>
      </c>
      <c r="L34" s="1220" t="s">
        <v>908</v>
      </c>
      <c r="M34" s="1221"/>
      <c r="N34" s="1221"/>
      <c r="O34" s="1222"/>
    </row>
    <row r="35" spans="1:15" ht="35" customHeight="1" thickBot="1">
      <c r="A35" s="83"/>
      <c r="B35" s="1270"/>
      <c r="C35" s="404" t="s">
        <v>15</v>
      </c>
      <c r="D35" s="405" t="s">
        <v>687</v>
      </c>
      <c r="E35" s="40">
        <v>0</v>
      </c>
      <c r="F35" s="41">
        <v>0</v>
      </c>
      <c r="G35" s="41">
        <v>0</v>
      </c>
      <c r="H35" s="41">
        <v>0</v>
      </c>
      <c r="I35" s="152">
        <v>0</v>
      </c>
      <c r="J35" s="157">
        <f>SUM(E35:I35)</f>
        <v>0</v>
      </c>
      <c r="K35" s="78">
        <f t="shared" si="2"/>
        <v>0</v>
      </c>
      <c r="L35" s="1220" t="s">
        <v>17</v>
      </c>
      <c r="M35" s="1221"/>
      <c r="N35" s="1221"/>
      <c r="O35" s="1222"/>
    </row>
    <row r="36" spans="1:15" ht="35" customHeight="1" thickBot="1">
      <c r="A36" s="83"/>
      <c r="B36" s="1270"/>
      <c r="C36" s="404" t="s">
        <v>18</v>
      </c>
      <c r="D36" s="405" t="s">
        <v>682</v>
      </c>
      <c r="E36" s="40">
        <v>0</v>
      </c>
      <c r="F36" s="41">
        <v>0</v>
      </c>
      <c r="G36" s="41">
        <v>0</v>
      </c>
      <c r="H36" s="41">
        <v>0</v>
      </c>
      <c r="I36" s="152">
        <v>0</v>
      </c>
      <c r="J36" s="157">
        <f t="shared" ref="J36:J51" si="3">SUM(E36:I36)</f>
        <v>0</v>
      </c>
      <c r="K36" s="78">
        <f t="shared" si="2"/>
        <v>0</v>
      </c>
      <c r="L36" s="1220" t="s">
        <v>20</v>
      </c>
      <c r="M36" s="1221"/>
      <c r="N36" s="1221"/>
      <c r="O36" s="1222"/>
    </row>
    <row r="37" spans="1:15" ht="35" customHeight="1" thickBot="1">
      <c r="A37" s="83"/>
      <c r="B37" s="1270"/>
      <c r="C37" s="404" t="s">
        <v>21</v>
      </c>
      <c r="D37" s="405" t="s">
        <v>681</v>
      </c>
      <c r="E37" s="40">
        <v>0</v>
      </c>
      <c r="F37" s="41">
        <v>0</v>
      </c>
      <c r="G37" s="41">
        <v>0</v>
      </c>
      <c r="H37" s="41">
        <v>0</v>
      </c>
      <c r="I37" s="152">
        <v>0</v>
      </c>
      <c r="J37" s="157">
        <f t="shared" si="3"/>
        <v>0</v>
      </c>
      <c r="K37" s="78">
        <f t="shared" si="2"/>
        <v>0</v>
      </c>
      <c r="L37" s="1220" t="s">
        <v>910</v>
      </c>
      <c r="M37" s="1221"/>
      <c r="N37" s="1221"/>
      <c r="O37" s="1222"/>
    </row>
    <row r="38" spans="1:15" ht="35" customHeight="1" thickBot="1">
      <c r="A38" s="83"/>
      <c r="B38" s="1270"/>
      <c r="C38" s="404" t="s">
        <v>25</v>
      </c>
      <c r="D38" s="405" t="s">
        <v>683</v>
      </c>
      <c r="E38" s="40">
        <v>0</v>
      </c>
      <c r="F38" s="41">
        <v>0</v>
      </c>
      <c r="G38" s="41">
        <v>0</v>
      </c>
      <c r="H38" s="41">
        <v>0</v>
      </c>
      <c r="I38" s="152">
        <v>0</v>
      </c>
      <c r="J38" s="157">
        <f t="shared" si="3"/>
        <v>0</v>
      </c>
      <c r="K38" s="78">
        <f t="shared" si="2"/>
        <v>0</v>
      </c>
      <c r="L38" s="1220" t="s">
        <v>911</v>
      </c>
      <c r="M38" s="1221"/>
      <c r="N38" s="1221"/>
      <c r="O38" s="1222"/>
    </row>
    <row r="39" spans="1:15" ht="35" customHeight="1" thickBot="1">
      <c r="A39" s="83"/>
      <c r="B39" s="1270"/>
      <c r="C39" s="404" t="s">
        <v>159</v>
      </c>
      <c r="D39" s="405" t="s">
        <v>312</v>
      </c>
      <c r="E39" s="40">
        <v>0</v>
      </c>
      <c r="F39" s="41">
        <v>0</v>
      </c>
      <c r="G39" s="41">
        <v>0</v>
      </c>
      <c r="H39" s="41">
        <v>0</v>
      </c>
      <c r="I39" s="152">
        <v>0</v>
      </c>
      <c r="J39" s="157">
        <f t="shared" si="3"/>
        <v>0</v>
      </c>
      <c r="K39" s="78">
        <f t="shared" si="2"/>
        <v>0</v>
      </c>
      <c r="L39" s="1220" t="s">
        <v>912</v>
      </c>
      <c r="M39" s="1221"/>
      <c r="N39" s="1221"/>
      <c r="O39" s="1222"/>
    </row>
    <row r="40" spans="1:15" ht="36" hidden="1" customHeight="1" thickBot="1">
      <c r="A40" s="83"/>
      <c r="B40" s="1270"/>
      <c r="C40" s="404" t="s">
        <v>896</v>
      </c>
      <c r="D40" s="405" t="s">
        <v>897</v>
      </c>
      <c r="E40" s="40">
        <v>0</v>
      </c>
      <c r="F40" s="41">
        <v>0</v>
      </c>
      <c r="G40" s="41">
        <v>0</v>
      </c>
      <c r="H40" s="41">
        <v>0</v>
      </c>
      <c r="I40" s="152">
        <v>0</v>
      </c>
      <c r="J40" s="157">
        <f t="shared" si="3"/>
        <v>0</v>
      </c>
      <c r="K40" s="78">
        <f t="shared" si="2"/>
        <v>0</v>
      </c>
      <c r="L40" s="1220" t="s">
        <v>902</v>
      </c>
      <c r="M40" s="1221"/>
      <c r="N40" s="1221"/>
      <c r="O40" s="1222"/>
    </row>
    <row r="41" spans="1:15" ht="36" customHeight="1" thickBot="1">
      <c r="A41" s="83"/>
      <c r="B41" s="1270"/>
      <c r="C41" s="404" t="s">
        <v>28</v>
      </c>
      <c r="D41" s="405" t="s">
        <v>684</v>
      </c>
      <c r="E41" s="40">
        <v>0</v>
      </c>
      <c r="F41" s="41">
        <v>0</v>
      </c>
      <c r="G41" s="41">
        <v>0</v>
      </c>
      <c r="H41" s="41">
        <v>0</v>
      </c>
      <c r="I41" s="152">
        <v>0</v>
      </c>
      <c r="J41" s="157">
        <f t="shared" si="3"/>
        <v>0</v>
      </c>
      <c r="K41" s="78">
        <f t="shared" si="2"/>
        <v>0</v>
      </c>
      <c r="L41" s="1220" t="s">
        <v>30</v>
      </c>
      <c r="M41" s="1221"/>
      <c r="N41" s="1221"/>
      <c r="O41" s="1222"/>
    </row>
    <row r="42" spans="1:15" ht="35" customHeight="1" thickBot="1">
      <c r="A42" s="83"/>
      <c r="B42" s="1271"/>
      <c r="C42" s="408" t="s">
        <v>32</v>
      </c>
      <c r="D42" s="409" t="s">
        <v>685</v>
      </c>
      <c r="E42" s="40">
        <v>0</v>
      </c>
      <c r="F42" s="41">
        <v>0</v>
      </c>
      <c r="G42" s="41">
        <v>0</v>
      </c>
      <c r="H42" s="41">
        <v>0</v>
      </c>
      <c r="I42" s="152">
        <v>0</v>
      </c>
      <c r="J42" s="157">
        <f t="shared" si="3"/>
        <v>0</v>
      </c>
      <c r="K42" s="78">
        <f t="shared" si="2"/>
        <v>0</v>
      </c>
      <c r="L42" s="1223" t="s">
        <v>34</v>
      </c>
      <c r="M42" s="1224"/>
      <c r="N42" s="1224"/>
      <c r="O42" s="1225"/>
    </row>
    <row r="43" spans="1:15" ht="24" customHeight="1" thickBot="1">
      <c r="A43" s="83"/>
      <c r="B43" s="410"/>
      <c r="C43" s="411"/>
      <c r="D43" s="412"/>
      <c r="E43" s="414"/>
      <c r="F43" s="414"/>
      <c r="G43" s="414"/>
      <c r="H43" s="414"/>
      <c r="I43" s="414"/>
      <c r="J43" s="414"/>
      <c r="K43" s="414"/>
      <c r="L43" s="1218"/>
      <c r="M43" s="1218"/>
      <c r="N43" s="1218"/>
      <c r="O43" s="1219"/>
    </row>
    <row r="44" spans="1:15" ht="37" customHeight="1" thickBot="1">
      <c r="A44" s="83"/>
      <c r="B44" s="1256" t="s">
        <v>1332</v>
      </c>
      <c r="C44" s="402" t="s">
        <v>890</v>
      </c>
      <c r="D44" s="403" t="s">
        <v>891</v>
      </c>
      <c r="E44" s="191">
        <v>0</v>
      </c>
      <c r="F44" s="193">
        <v>0</v>
      </c>
      <c r="G44" s="193">
        <v>0</v>
      </c>
      <c r="H44" s="193">
        <v>0</v>
      </c>
      <c r="I44" s="185">
        <v>0</v>
      </c>
      <c r="J44" s="157">
        <f t="shared" si="3"/>
        <v>0</v>
      </c>
      <c r="K44" s="78">
        <f>SUM(E15:N15)+SUM(E44:I44)</f>
        <v>0</v>
      </c>
      <c r="L44" s="1231" t="s">
        <v>4371</v>
      </c>
      <c r="M44" s="1232"/>
      <c r="N44" s="1232"/>
      <c r="O44" s="1233"/>
    </row>
    <row r="45" spans="1:15" ht="37" customHeight="1" thickBot="1">
      <c r="A45" s="83"/>
      <c r="B45" s="1257"/>
      <c r="C45" s="404" t="s">
        <v>892</v>
      </c>
      <c r="D45" s="405" t="s">
        <v>893</v>
      </c>
      <c r="E45" s="192" t="s">
        <v>9</v>
      </c>
      <c r="F45" s="194" t="s">
        <v>9</v>
      </c>
      <c r="G45" s="194" t="s">
        <v>9</v>
      </c>
      <c r="H45" s="194" t="s">
        <v>9</v>
      </c>
      <c r="I45" s="182" t="s">
        <v>9</v>
      </c>
      <c r="J45" s="157">
        <f t="shared" si="3"/>
        <v>0</v>
      </c>
      <c r="K45" s="78">
        <f>SUM(E16:N16)+SUM(E45:I45)</f>
        <v>0</v>
      </c>
      <c r="L45" s="1220" t="s">
        <v>915</v>
      </c>
      <c r="M45" s="1221"/>
      <c r="N45" s="1221"/>
      <c r="O45" s="1222"/>
    </row>
    <row r="46" spans="1:15" ht="35" customHeight="1" thickBot="1">
      <c r="A46" s="83"/>
      <c r="B46" s="1258"/>
      <c r="C46" s="408" t="s">
        <v>120</v>
      </c>
      <c r="D46" s="409" t="s">
        <v>894</v>
      </c>
      <c r="E46" s="433">
        <v>0</v>
      </c>
      <c r="F46" s="434">
        <v>0</v>
      </c>
      <c r="G46" s="434">
        <v>0</v>
      </c>
      <c r="H46" s="434">
        <v>0</v>
      </c>
      <c r="I46" s="435">
        <v>0</v>
      </c>
      <c r="J46" s="157">
        <f t="shared" si="3"/>
        <v>0</v>
      </c>
      <c r="K46" s="78">
        <f>SUM(E17:N17)+SUM(E46:I46)</f>
        <v>0</v>
      </c>
      <c r="L46" s="1223" t="s">
        <v>916</v>
      </c>
      <c r="M46" s="1224"/>
      <c r="N46" s="1224"/>
      <c r="O46" s="1225"/>
    </row>
    <row r="47" spans="1:15" ht="24" customHeight="1" thickBot="1">
      <c r="A47" s="83"/>
      <c r="B47" s="410"/>
      <c r="C47" s="411"/>
      <c r="D47" s="412"/>
      <c r="E47" s="414"/>
      <c r="F47" s="414"/>
      <c r="G47" s="414"/>
      <c r="H47" s="414"/>
      <c r="I47" s="414"/>
      <c r="J47" s="414"/>
      <c r="K47" s="77"/>
      <c r="L47" s="1239"/>
      <c r="M47" s="1239"/>
      <c r="N47" s="1239"/>
      <c r="O47" s="1240"/>
    </row>
    <row r="48" spans="1:15" ht="37" hidden="1" customHeight="1" thickBot="1">
      <c r="A48" s="83"/>
      <c r="B48" s="1256" t="s">
        <v>1331</v>
      </c>
      <c r="C48" s="402" t="s">
        <v>728</v>
      </c>
      <c r="D48" s="403" t="s">
        <v>1217</v>
      </c>
      <c r="E48" s="191">
        <v>0</v>
      </c>
      <c r="F48" s="193">
        <v>0</v>
      </c>
      <c r="G48" s="193">
        <v>0</v>
      </c>
      <c r="H48" s="193">
        <v>0</v>
      </c>
      <c r="I48" s="195">
        <v>0</v>
      </c>
      <c r="J48" s="162">
        <f t="shared" si="3"/>
        <v>0</v>
      </c>
      <c r="K48" s="78">
        <f>SUM(E19:N19)+SUM(E48:I48)</f>
        <v>0</v>
      </c>
      <c r="L48" s="1226" t="s">
        <v>907</v>
      </c>
      <c r="M48" s="1227"/>
      <c r="N48" s="1227"/>
      <c r="O48" s="1228"/>
    </row>
    <row r="49" spans="1:15" ht="35" hidden="1" customHeight="1" thickBot="1">
      <c r="A49" s="83"/>
      <c r="B49" s="1257"/>
      <c r="C49" s="404" t="s">
        <v>850</v>
      </c>
      <c r="D49" s="405" t="s">
        <v>889</v>
      </c>
      <c r="E49" s="192" t="s">
        <v>9</v>
      </c>
      <c r="F49" s="194" t="s">
        <v>9</v>
      </c>
      <c r="G49" s="194" t="s">
        <v>9</v>
      </c>
      <c r="H49" s="194" t="s">
        <v>9</v>
      </c>
      <c r="I49" s="182" t="s">
        <v>9</v>
      </c>
      <c r="J49" s="163">
        <f t="shared" si="3"/>
        <v>0</v>
      </c>
      <c r="K49" s="78">
        <f>SUM(E20:N20)+SUM(E49:I49)</f>
        <v>0</v>
      </c>
      <c r="L49" s="1229" t="s">
        <v>914</v>
      </c>
      <c r="M49" s="1221"/>
      <c r="N49" s="1221"/>
      <c r="O49" s="1230"/>
    </row>
    <row r="50" spans="1:15" ht="35" hidden="1" customHeight="1" thickBot="1">
      <c r="A50" s="83"/>
      <c r="B50" s="1257"/>
      <c r="C50" s="404" t="s">
        <v>895</v>
      </c>
      <c r="D50" s="405" t="s">
        <v>744</v>
      </c>
      <c r="E50" s="40">
        <v>0</v>
      </c>
      <c r="F50" s="41">
        <v>0</v>
      </c>
      <c r="G50" s="41">
        <v>0</v>
      </c>
      <c r="H50" s="41">
        <v>0</v>
      </c>
      <c r="I50" s="152">
        <v>0</v>
      </c>
      <c r="J50" s="163">
        <f t="shared" si="3"/>
        <v>0</v>
      </c>
      <c r="K50" s="78">
        <f>SUM(E21:N21)+SUM(E50:I50)</f>
        <v>0</v>
      </c>
      <c r="L50" s="1229" t="s">
        <v>920</v>
      </c>
      <c r="M50" s="1221"/>
      <c r="N50" s="1221"/>
      <c r="O50" s="1230"/>
    </row>
    <row r="51" spans="1:15" ht="35" hidden="1" customHeight="1" thickBot="1">
      <c r="A51" s="83"/>
      <c r="B51" s="1258"/>
      <c r="C51" s="408" t="s">
        <v>714</v>
      </c>
      <c r="D51" s="409" t="s">
        <v>918</v>
      </c>
      <c r="E51" s="40">
        <v>0</v>
      </c>
      <c r="F51" s="41">
        <v>0</v>
      </c>
      <c r="G51" s="41">
        <v>0</v>
      </c>
      <c r="H51" s="41">
        <v>0</v>
      </c>
      <c r="I51" s="152">
        <v>0</v>
      </c>
      <c r="J51" s="164">
        <f t="shared" si="3"/>
        <v>0</v>
      </c>
      <c r="K51" s="78">
        <f>SUM(E22:N22)+SUM(E51:I51)</f>
        <v>0</v>
      </c>
      <c r="L51" s="1236" t="s">
        <v>919</v>
      </c>
      <c r="M51" s="1237"/>
      <c r="N51" s="1237"/>
      <c r="O51" s="1238"/>
    </row>
    <row r="52" spans="1:15" ht="24" hidden="1" customHeight="1" thickBot="1">
      <c r="A52" s="83"/>
      <c r="B52" s="410"/>
      <c r="C52" s="411"/>
      <c r="D52" s="412"/>
      <c r="E52" s="414"/>
      <c r="F52" s="414"/>
      <c r="G52" s="414"/>
      <c r="H52" s="414"/>
      <c r="I52" s="414"/>
      <c r="J52" s="414"/>
      <c r="K52" s="414"/>
      <c r="L52" s="1218"/>
      <c r="M52" s="1218"/>
      <c r="N52" s="1218"/>
      <c r="O52" s="1219"/>
    </row>
    <row r="53" spans="1:15" ht="37" customHeight="1" thickBot="1">
      <c r="A53" s="83"/>
      <c r="B53" s="1256" t="s">
        <v>2045</v>
      </c>
      <c r="C53" s="402" t="s">
        <v>2044</v>
      </c>
      <c r="D53" s="403" t="s">
        <v>4225</v>
      </c>
      <c r="E53" s="192" t="s">
        <v>9</v>
      </c>
      <c r="F53" s="194" t="s">
        <v>9</v>
      </c>
      <c r="G53" s="194" t="s">
        <v>9</v>
      </c>
      <c r="H53" s="194" t="s">
        <v>9</v>
      </c>
      <c r="I53" s="182" t="s">
        <v>9</v>
      </c>
      <c r="J53" s="157">
        <f>SUM(E53:I53)</f>
        <v>0</v>
      </c>
      <c r="K53" s="78">
        <f>SUM(E24:N24)+SUM(E53:I53)</f>
        <v>0</v>
      </c>
      <c r="L53" s="1231" t="s">
        <v>4228</v>
      </c>
      <c r="M53" s="1232"/>
      <c r="N53" s="1232"/>
      <c r="O53" s="1233"/>
    </row>
    <row r="54" spans="1:15" ht="37" customHeight="1" thickBot="1">
      <c r="A54" s="83"/>
      <c r="B54" s="1257"/>
      <c r="C54" s="404" t="s">
        <v>4241</v>
      </c>
      <c r="D54" s="405" t="s">
        <v>4226</v>
      </c>
      <c r="E54" s="192" t="s">
        <v>9</v>
      </c>
      <c r="F54" s="194" t="s">
        <v>9</v>
      </c>
      <c r="G54" s="194" t="s">
        <v>9</v>
      </c>
      <c r="H54" s="194" t="s">
        <v>9</v>
      </c>
      <c r="I54" s="182" t="s">
        <v>9</v>
      </c>
      <c r="J54" s="157">
        <f t="shared" ref="J54:J56" si="4">SUM(E54:I54)</f>
        <v>0</v>
      </c>
      <c r="K54" s="78">
        <f>SUM(E25:N25)+SUM(E54:I54)</f>
        <v>0</v>
      </c>
      <c r="L54" s="1220" t="s">
        <v>4229</v>
      </c>
      <c r="M54" s="1234"/>
      <c r="N54" s="1234"/>
      <c r="O54" s="1235"/>
    </row>
    <row r="55" spans="1:15" ht="37" customHeight="1" thickBot="1">
      <c r="A55" s="83"/>
      <c r="B55" s="1257"/>
      <c r="C55" s="1283" t="s">
        <v>4250</v>
      </c>
      <c r="D55" s="1284"/>
      <c r="E55" s="399" t="s">
        <v>4251</v>
      </c>
      <c r="F55" s="399" t="s">
        <v>4252</v>
      </c>
      <c r="G55" s="399" t="s">
        <v>4253</v>
      </c>
      <c r="H55" s="399" t="s">
        <v>4254</v>
      </c>
      <c r="I55" s="399" t="s">
        <v>4255</v>
      </c>
      <c r="J55" s="1264"/>
      <c r="K55" s="1277"/>
      <c r="L55" s="355"/>
      <c r="M55" s="356"/>
      <c r="N55" s="356"/>
      <c r="O55" s="357"/>
    </row>
    <row r="56" spans="1:15" ht="35" customHeight="1" thickBot="1">
      <c r="A56" s="83"/>
      <c r="B56" s="1258"/>
      <c r="C56" s="420" t="s">
        <v>1640</v>
      </c>
      <c r="D56" s="421" t="s">
        <v>4227</v>
      </c>
      <c r="E56" s="192" t="s">
        <v>9</v>
      </c>
      <c r="F56" s="194" t="s">
        <v>9</v>
      </c>
      <c r="G56" s="194" t="s">
        <v>9</v>
      </c>
      <c r="H56" s="194" t="s">
        <v>9</v>
      </c>
      <c r="I56" s="182" t="s">
        <v>9</v>
      </c>
      <c r="J56" s="157">
        <f t="shared" si="4"/>
        <v>0</v>
      </c>
      <c r="K56" s="78">
        <f>SUM(E27:N27)+SUM(E56:I56)</f>
        <v>0</v>
      </c>
      <c r="L56" s="1223" t="s">
        <v>4230</v>
      </c>
      <c r="M56" s="1224"/>
      <c r="N56" s="1224"/>
      <c r="O56" s="1225"/>
    </row>
    <row r="57" spans="1:15" ht="35" customHeight="1" thickBot="1">
      <c r="A57" s="83"/>
      <c r="B57" s="410"/>
      <c r="C57" s="74" t="s">
        <v>3</v>
      </c>
      <c r="D57" s="75"/>
      <c r="E57" s="73">
        <f>SUM(E33:E42)+SUM(E48:E51)</f>
        <v>0</v>
      </c>
      <c r="F57" s="73">
        <f>SUM(F33:F42)+SUM(F48:F51)</f>
        <v>0</v>
      </c>
      <c r="G57" s="73">
        <f>SUM(G33:G42)+SUM(G48:G51)</f>
        <v>0</v>
      </c>
      <c r="H57" s="73">
        <f>SUM(H33:H42)+SUM(H48:H51)</f>
        <v>0</v>
      </c>
      <c r="I57" s="73">
        <f>SUM(I33:I42)+SUM(I48:I51)</f>
        <v>0</v>
      </c>
      <c r="J57" s="74">
        <f>SUM(J33:J56)</f>
        <v>0</v>
      </c>
      <c r="K57" s="358">
        <f>SUM(K33:K56)</f>
        <v>0</v>
      </c>
      <c r="L57" s="423"/>
      <c r="M57" s="423"/>
    </row>
    <row r="58" spans="1:15" ht="25" customHeight="1" thickBot="1">
      <c r="A58" s="83"/>
      <c r="B58" s="83"/>
      <c r="C58" s="424"/>
      <c r="D58" s="424"/>
      <c r="E58" s="424"/>
      <c r="F58" s="424"/>
      <c r="G58" s="424"/>
      <c r="H58" s="424"/>
      <c r="I58" s="424"/>
      <c r="J58" s="424"/>
      <c r="K58" s="424"/>
      <c r="L58" s="423"/>
      <c r="M58" s="423"/>
      <c r="N58" s="425"/>
      <c r="O58" s="426"/>
    </row>
    <row r="59" spans="1:15" ht="41" thickBot="1">
      <c r="A59" s="83"/>
      <c r="B59" s="83"/>
      <c r="C59" s="1272" t="s">
        <v>36</v>
      </c>
      <c r="D59" s="1273"/>
      <c r="E59" s="1273"/>
      <c r="F59" s="1273"/>
      <c r="G59" s="1273"/>
      <c r="H59" s="1273"/>
      <c r="I59" s="1273"/>
      <c r="J59" s="1273"/>
      <c r="K59" s="1273"/>
      <c r="L59" s="1273"/>
      <c r="M59" s="1273"/>
      <c r="N59" s="1273"/>
      <c r="O59" s="1274"/>
    </row>
    <row r="60" spans="1:15" ht="24" thickBot="1">
      <c r="A60" s="83"/>
      <c r="B60" s="83"/>
      <c r="C60" s="1253" t="s">
        <v>4374</v>
      </c>
      <c r="D60" s="1254"/>
      <c r="E60" s="1254"/>
      <c r="F60" s="1254"/>
      <c r="G60" s="1254"/>
      <c r="H60" s="1254"/>
      <c r="I60" s="1254"/>
      <c r="J60" s="1254"/>
      <c r="K60" s="1254"/>
      <c r="L60" s="1254"/>
      <c r="M60" s="1254"/>
      <c r="N60" s="1254"/>
      <c r="O60" s="1255"/>
    </row>
    <row r="61" spans="1:15" ht="141" customHeight="1" thickBot="1">
      <c r="A61" s="83"/>
      <c r="B61" s="83"/>
      <c r="C61" s="1253" t="s">
        <v>4442</v>
      </c>
      <c r="D61" s="1254"/>
      <c r="E61" s="1254"/>
      <c r="F61" s="1254"/>
      <c r="G61" s="1254"/>
      <c r="H61" s="1254"/>
      <c r="I61" s="1254"/>
      <c r="J61" s="1254"/>
      <c r="K61" s="1254"/>
      <c r="L61" s="1254"/>
      <c r="M61" s="1254"/>
      <c r="N61" s="1254"/>
      <c r="O61" s="1255"/>
    </row>
    <row r="62" spans="1:15" ht="84" customHeight="1" thickBot="1">
      <c r="A62" s="83"/>
      <c r="B62" s="83"/>
      <c r="C62" s="1253" t="s">
        <v>4366</v>
      </c>
      <c r="D62" s="1254"/>
      <c r="E62" s="1254"/>
      <c r="F62" s="1254"/>
      <c r="G62" s="1254"/>
      <c r="H62" s="1254"/>
      <c r="I62" s="1254"/>
      <c r="J62" s="1254"/>
      <c r="K62" s="1254"/>
      <c r="L62" s="1254"/>
      <c r="M62" s="1254"/>
      <c r="N62" s="1254"/>
      <c r="O62" s="1255"/>
    </row>
    <row r="63" spans="1:15" ht="56" customHeight="1" thickBot="1">
      <c r="A63" s="83"/>
      <c r="B63" s="83"/>
      <c r="C63" s="1253" t="s">
        <v>4367</v>
      </c>
      <c r="D63" s="1254"/>
      <c r="E63" s="1254"/>
      <c r="F63" s="1254"/>
      <c r="G63" s="1254"/>
      <c r="H63" s="1254"/>
      <c r="I63" s="1254"/>
      <c r="J63" s="1254"/>
      <c r="K63" s="1254"/>
      <c r="L63" s="1254"/>
      <c r="M63" s="1254"/>
      <c r="N63" s="1254"/>
      <c r="O63" s="1255"/>
    </row>
    <row r="64" spans="1:15" ht="36" customHeight="1">
      <c r="A64" s="100"/>
      <c r="B64" s="100"/>
      <c r="C64" s="1281" t="s">
        <v>680</v>
      </c>
      <c r="D64" s="1282"/>
      <c r="E64" s="1278" t="s">
        <v>37</v>
      </c>
      <c r="F64" s="1279"/>
      <c r="G64" s="1279"/>
      <c r="H64" s="1279"/>
      <c r="I64" s="1279"/>
      <c r="J64" s="1279"/>
      <c r="K64" s="1279"/>
      <c r="L64" s="1279"/>
      <c r="M64" s="1279"/>
      <c r="N64" s="1279"/>
      <c r="O64" s="1280"/>
    </row>
    <row r="65" spans="1:15" ht="36" customHeight="1">
      <c r="A65" s="100"/>
      <c r="B65" s="100"/>
      <c r="C65" s="427" t="s">
        <v>4368</v>
      </c>
      <c r="D65" s="428"/>
      <c r="E65" s="429" t="s">
        <v>1333</v>
      </c>
      <c r="F65" s="430"/>
      <c r="G65" s="430"/>
      <c r="H65" s="430"/>
      <c r="I65" s="430"/>
      <c r="J65" s="430"/>
      <c r="K65" s="430"/>
      <c r="L65" s="430"/>
      <c r="M65" s="430"/>
      <c r="N65" s="430"/>
      <c r="O65" s="431"/>
    </row>
    <row r="66" spans="1:15" ht="36" customHeight="1">
      <c r="A66" s="100"/>
      <c r="B66" s="100"/>
      <c r="C66" s="1243" t="s">
        <v>4369</v>
      </c>
      <c r="D66" s="1244"/>
      <c r="E66" s="1245" t="s">
        <v>38</v>
      </c>
      <c r="F66" s="1246"/>
      <c r="G66" s="1246"/>
      <c r="H66" s="1246"/>
      <c r="I66" s="1246"/>
      <c r="J66" s="1246"/>
      <c r="K66" s="1246"/>
      <c r="L66" s="1246"/>
      <c r="M66" s="1246"/>
      <c r="N66" s="1246"/>
      <c r="O66" s="1247"/>
    </row>
    <row r="67" spans="1:15" ht="36" customHeight="1">
      <c r="A67" s="100"/>
      <c r="B67" s="100"/>
      <c r="C67" s="1243" t="s">
        <v>694</v>
      </c>
      <c r="D67" s="1244"/>
      <c r="E67" s="1245" t="s">
        <v>695</v>
      </c>
      <c r="F67" s="1246"/>
      <c r="G67" s="1246"/>
      <c r="H67" s="1246"/>
      <c r="I67" s="1246"/>
      <c r="J67" s="1246"/>
      <c r="K67" s="1246"/>
      <c r="L67" s="1246"/>
      <c r="M67" s="1246"/>
      <c r="N67" s="1246"/>
      <c r="O67" s="1247"/>
    </row>
    <row r="68" spans="1:15" ht="36" customHeight="1">
      <c r="A68" s="100"/>
      <c r="B68" s="100"/>
      <c r="C68" s="427" t="s">
        <v>1587</v>
      </c>
      <c r="D68" s="428"/>
      <c r="E68" s="429" t="s">
        <v>1586</v>
      </c>
      <c r="F68" s="430"/>
      <c r="G68" s="430"/>
      <c r="H68" s="430"/>
      <c r="I68" s="430"/>
      <c r="J68" s="430"/>
      <c r="K68" s="430"/>
      <c r="L68" s="430"/>
      <c r="M68" s="430"/>
      <c r="N68" s="430"/>
      <c r="O68" s="431"/>
    </row>
    <row r="69" spans="1:15" ht="36" customHeight="1">
      <c r="A69" s="100"/>
      <c r="B69" s="100"/>
      <c r="C69" s="427" t="s">
        <v>1588</v>
      </c>
      <c r="D69" s="428"/>
      <c r="E69" s="429" t="s">
        <v>690</v>
      </c>
      <c r="F69" s="430"/>
      <c r="G69" s="430"/>
      <c r="H69" s="430"/>
      <c r="I69" s="430"/>
      <c r="J69" s="430"/>
      <c r="K69" s="430"/>
      <c r="L69" s="430"/>
      <c r="M69" s="430"/>
      <c r="N69" s="430"/>
      <c r="O69" s="431"/>
    </row>
    <row r="70" spans="1:15" ht="36" customHeight="1" thickBot="1">
      <c r="A70" s="100"/>
      <c r="B70" s="100"/>
      <c r="C70" s="1241" t="s">
        <v>4370</v>
      </c>
      <c r="D70" s="1242"/>
      <c r="E70" s="1248" t="s">
        <v>40</v>
      </c>
      <c r="F70" s="1249"/>
      <c r="G70" s="1249"/>
      <c r="H70" s="1249"/>
      <c r="I70" s="1249"/>
      <c r="J70" s="1249"/>
      <c r="K70" s="1249"/>
      <c r="L70" s="1249"/>
      <c r="M70" s="1249"/>
      <c r="N70" s="1249"/>
      <c r="O70" s="1250"/>
    </row>
    <row r="74" spans="1:15" ht="23">
      <c r="C74" s="432"/>
    </row>
  </sheetData>
  <sheetProtection algorithmName="SHA-512" hashValue="Uk/k76W5jfSEqoWk4dNkE/FMgOcC3N1fRR7Mp9Q6eI5QZUGnQbun3WuWCBXEglD9O/XegQPklifQzx9GyPBy8g==" saltValue="PN5J6gwYCYF9lBmiu2KNtw==" spinCount="100000" sheet="1" objects="1" scenarios="1"/>
  <mergeCells count="55">
    <mergeCell ref="C63:O63"/>
    <mergeCell ref="J55:K55"/>
    <mergeCell ref="E64:O64"/>
    <mergeCell ref="C64:D64"/>
    <mergeCell ref="C61:O61"/>
    <mergeCell ref="C55:D55"/>
    <mergeCell ref="B4:B13"/>
    <mergeCell ref="B19:B22"/>
    <mergeCell ref="B15:B17"/>
    <mergeCell ref="B33:B42"/>
    <mergeCell ref="C59:O59"/>
    <mergeCell ref="B44:B46"/>
    <mergeCell ref="L32:O32"/>
    <mergeCell ref="L33:O33"/>
    <mergeCell ref="L39:O39"/>
    <mergeCell ref="L40:O40"/>
    <mergeCell ref="L41:O41"/>
    <mergeCell ref="L42:O42"/>
    <mergeCell ref="L44:O44"/>
    <mergeCell ref="B24:B27"/>
    <mergeCell ref="L52:O52"/>
    <mergeCell ref="B53:B56"/>
    <mergeCell ref="B2:B3"/>
    <mergeCell ref="B31:B32"/>
    <mergeCell ref="C62:O62"/>
    <mergeCell ref="B48:B51"/>
    <mergeCell ref="C60:O60"/>
    <mergeCell ref="E2:I2"/>
    <mergeCell ref="C2:D2"/>
    <mergeCell ref="C31:D31"/>
    <mergeCell ref="E31:I31"/>
    <mergeCell ref="J2:N2"/>
    <mergeCell ref="L31:O31"/>
    <mergeCell ref="L34:O34"/>
    <mergeCell ref="L35:O35"/>
    <mergeCell ref="L36:O36"/>
    <mergeCell ref="L37:O37"/>
    <mergeCell ref="L38:O38"/>
    <mergeCell ref="C70:D70"/>
    <mergeCell ref="C66:D66"/>
    <mergeCell ref="C67:D67"/>
    <mergeCell ref="E67:O67"/>
    <mergeCell ref="E70:O70"/>
    <mergeCell ref="E66:O66"/>
    <mergeCell ref="L53:O53"/>
    <mergeCell ref="L54:O54"/>
    <mergeCell ref="L56:O56"/>
    <mergeCell ref="L51:O51"/>
    <mergeCell ref="L47:O47"/>
    <mergeCell ref="L50:O50"/>
    <mergeCell ref="L43:O43"/>
    <mergeCell ref="L45:O45"/>
    <mergeCell ref="L46:O46"/>
    <mergeCell ref="L48:O48"/>
    <mergeCell ref="L49:O49"/>
  </mergeCells>
  <dataValidations count="2">
    <dataValidation type="whole" allowBlank="1" showInputMessage="1" showErrorMessage="1" sqref="K30:O30 L57:O58 E18:H18 K58 E19:I19 E46:I48 E50:I52 I4:I14 E33:I44 E4:H15 E28:H28 E23:H23 K56 O26 J5:O25 J27:O28 K33:K54 J33:J58" xr:uid="{87E36385-FB73-9D4A-899E-50622E7846BE}">
      <formula1>0</formula1>
      <formula2>200</formula2>
    </dataValidation>
    <dataValidation type="whole" allowBlank="1" showInputMessage="1" showErrorMessage="1" sqref="K57" xr:uid="{AA137663-D453-9145-9D26-30F43548ED8C}">
      <formula1>0</formula1>
      <formula2>500</formula2>
    </dataValidation>
  </dataValidations>
  <hyperlinks>
    <hyperlink ref="E70" r:id="rId1" xr:uid="{0CB122EC-FB0E-8F47-A11D-9F6DFC63EBD3}"/>
    <hyperlink ref="E64" r:id="rId2" xr:uid="{64CFFF2B-E312-894B-8893-95A349E0C52E}"/>
    <hyperlink ref="E70:M70" r:id="rId3" tooltip="ANWB, Top 10 elektrische bestelauto's" display="https://www.anwb.nl/zakelijk/nieuws/2017/juli/top10-elektrische-bestelautos-2017" xr:uid="{ED818D04-F9F4-334E-99F8-099B1E765ECA}"/>
    <hyperlink ref="E66" r:id="rId4" xr:uid="{278752E3-30A6-8844-A457-D54789ED54DE}"/>
    <hyperlink ref="E66:M66" r:id="rId5" tooltip="ANWB, Overzicht elektrische voertuigen" display="https://www.anwb.nl/auto/themas/elektrisch-rijden/elektrische-autos/welke-autos-zijn-er/welke-autos-zijn-er" xr:uid="{F31E7B06-3A44-C649-A420-F233D4807AD8}"/>
    <hyperlink ref="E64:M64" r:id="rId6" tooltip="AutoRai, Autosegmenten" display="https://autorai.nl/duidelijkheid-over-autosegmenten/" xr:uid="{1D1975FC-95F8-1845-8ECF-1FD0603F7A10}"/>
    <hyperlink ref="E67" r:id="rId7" xr:uid="{1AD3C674-B98B-0641-8976-0106E015C683}"/>
    <hyperlink ref="E67:M67" r:id="rId8" tooltip="Mobiliteit in cijfers: Auto's 2017 - 2018" display="https://bovagrai.info/auto/2017/" xr:uid="{0AE5260F-2DE9-E44F-AFC8-C1E64AF5A3B7}"/>
    <hyperlink ref="E65" r:id="rId9" xr:uid="{3C343EE5-C59E-D64C-85A7-4C87D1D72DC9}"/>
    <hyperlink ref="E68" r:id="rId10" xr:uid="{9263A965-4281-C74F-9614-472811CCE558}"/>
    <hyperlink ref="E69" r:id="rId11" xr:uid="{BAB3392B-E9CC-EE48-A8E1-1B021B02D08A}"/>
  </hyperlinks>
  <pageMargins left="0.7" right="0.7" top="0.75" bottom="0.75" header="0.3" footer="0.3"/>
  <pageSetup paperSize="9" scale="22"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C7750-EB6D-4848-B974-7CED6CC55B8F}">
  <sheetPr codeName="Sheet7">
    <tabColor theme="7"/>
    <pageSetUpPr fitToPage="1"/>
  </sheetPr>
  <dimension ref="A1:P69"/>
  <sheetViews>
    <sheetView showGridLines="0" zoomScale="80" zoomScaleNormal="80" workbookViewId="0">
      <selection activeCell="E7" sqref="E7"/>
    </sheetView>
  </sheetViews>
  <sheetFormatPr baseColWidth="10" defaultColWidth="11" defaultRowHeight="16"/>
  <cols>
    <col min="1" max="1" width="3.6640625" style="396" customWidth="1"/>
    <col min="2" max="2" width="6" style="396" customWidth="1"/>
    <col min="3" max="3" width="19.83203125" style="396" customWidth="1"/>
    <col min="4" max="4" width="37.83203125" style="396" customWidth="1"/>
    <col min="5" max="14" width="19.1640625" style="396" customWidth="1"/>
    <col min="15" max="16" width="16" style="396" customWidth="1"/>
    <col min="17" max="16384" width="11" style="396"/>
  </cols>
  <sheetData>
    <row r="1" spans="1:16" ht="20" customHeight="1" thickBot="1"/>
    <row r="2" spans="1:16" ht="74" customHeight="1" thickBot="1">
      <c r="B2" s="1356" t="s">
        <v>4323</v>
      </c>
      <c r="C2" s="1357"/>
      <c r="D2" s="1358"/>
      <c r="E2" s="1359" t="s">
        <v>4372</v>
      </c>
      <c r="F2" s="1360"/>
      <c r="G2" s="1360"/>
      <c r="H2" s="1360"/>
      <c r="I2" s="1360"/>
      <c r="J2" s="1360"/>
      <c r="K2" s="1360"/>
      <c r="L2" s="1360"/>
      <c r="M2" s="1360"/>
      <c r="N2" s="1360"/>
      <c r="O2" s="1360"/>
      <c r="P2" s="1361"/>
    </row>
    <row r="3" spans="1:16" ht="20" customHeight="1" thickBot="1">
      <c r="A3" s="83"/>
      <c r="B3" s="83"/>
      <c r="C3" s="83"/>
      <c r="D3" s="83"/>
      <c r="E3" s="83"/>
      <c r="F3" s="83"/>
      <c r="G3" s="83"/>
      <c r="H3" s="83"/>
      <c r="I3" s="83"/>
      <c r="J3" s="83"/>
      <c r="K3" s="83"/>
      <c r="L3" s="83"/>
      <c r="M3" s="83"/>
      <c r="N3" s="83"/>
      <c r="O3" s="83"/>
    </row>
    <row r="4" spans="1:16" ht="82" thickBot="1">
      <c r="A4" s="83"/>
      <c r="B4" s="1354" t="s">
        <v>1329</v>
      </c>
      <c r="C4" s="1262" t="s">
        <v>0</v>
      </c>
      <c r="D4" s="1263"/>
      <c r="E4" s="1259" t="s">
        <v>1437</v>
      </c>
      <c r="F4" s="1260"/>
      <c r="G4" s="1260"/>
      <c r="H4" s="1260"/>
      <c r="I4" s="1261"/>
      <c r="J4" s="1264" t="s">
        <v>1534</v>
      </c>
      <c r="K4" s="1265"/>
      <c r="L4" s="1265"/>
      <c r="M4" s="1265"/>
      <c r="N4" s="1266"/>
      <c r="O4" s="320" t="s">
        <v>1535</v>
      </c>
      <c r="P4" s="320" t="s">
        <v>1536</v>
      </c>
    </row>
    <row r="5" spans="1:16" ht="35" customHeight="1" thickBot="1">
      <c r="A5" s="83"/>
      <c r="B5" s="1355"/>
      <c r="C5" s="397"/>
      <c r="D5" s="398" t="s">
        <v>4</v>
      </c>
      <c r="E5" s="399" t="s">
        <v>5</v>
      </c>
      <c r="F5" s="399" t="s">
        <v>4324</v>
      </c>
      <c r="G5" s="399" t="s">
        <v>4325</v>
      </c>
      <c r="H5" s="399" t="s">
        <v>4326</v>
      </c>
      <c r="I5" s="399" t="s">
        <v>746</v>
      </c>
      <c r="J5" s="399" t="s">
        <v>5</v>
      </c>
      <c r="K5" s="399" t="s">
        <v>4324</v>
      </c>
      <c r="L5" s="399" t="s">
        <v>4325</v>
      </c>
      <c r="M5" s="399" t="s">
        <v>4326</v>
      </c>
      <c r="N5" s="399" t="s">
        <v>746</v>
      </c>
      <c r="O5" s="321"/>
      <c r="P5" s="321"/>
    </row>
    <row r="6" spans="1:16" ht="35" customHeight="1">
      <c r="A6" s="83"/>
      <c r="B6" s="1289" t="s">
        <v>1330</v>
      </c>
      <c r="C6" s="402" t="s">
        <v>7</v>
      </c>
      <c r="D6" s="416" t="s">
        <v>688</v>
      </c>
      <c r="E6" s="184">
        <f>SUM('1a. Invoer - BESTAAND'!E4,'1a. Invoer - BESTAAND'!J4,'1a. Invoer - BESTAAND'!E33)</f>
        <v>0</v>
      </c>
      <c r="F6" s="186">
        <f>SUM('1a. Invoer - BESTAAND'!F4,'1a. Invoer - BESTAAND'!K4,'1a. Invoer - BESTAAND'!F33)</f>
        <v>0</v>
      </c>
      <c r="G6" s="186">
        <f>SUM('1a. Invoer - BESTAAND'!G4,'1a. Invoer - BESTAAND'!L4,'1a. Invoer - BESTAAND'!G33)</f>
        <v>0</v>
      </c>
      <c r="H6" s="202">
        <f>SUM('1a. Invoer - BESTAAND'!H4,'1a. Invoer - BESTAAND'!M4,'1a. Invoer - BESTAAND'!H33)</f>
        <v>0</v>
      </c>
      <c r="I6" s="180">
        <f>SUM('1a. Invoer - BESTAAND'!I4,'1a. Invoer - BESTAAND'!N4,'1a. Invoer - BESTAAND'!I33)</f>
        <v>0</v>
      </c>
      <c r="J6" s="533" t="s">
        <v>9</v>
      </c>
      <c r="K6" s="534" t="s">
        <v>9</v>
      </c>
      <c r="L6" s="535" t="s">
        <v>9</v>
      </c>
      <c r="M6" s="158" t="s">
        <v>9</v>
      </c>
      <c r="N6" s="536" t="s">
        <v>9</v>
      </c>
      <c r="O6" s="360">
        <f t="shared" ref="O6:O12" si="0">SUM(E6:N6)</f>
        <v>0</v>
      </c>
      <c r="P6" s="322">
        <f>'1a. Invoer - BESTAAND'!K33</f>
        <v>0</v>
      </c>
    </row>
    <row r="7" spans="1:16" ht="35" customHeight="1">
      <c r="A7" s="83"/>
      <c r="B7" s="1290"/>
      <c r="C7" s="404" t="s">
        <v>12</v>
      </c>
      <c r="D7" s="417" t="s">
        <v>686</v>
      </c>
      <c r="E7" s="206">
        <f>SUM('1a. Invoer - BESTAAND'!E5,'1a. Invoer - BESTAAND'!J5,'1a. Invoer - BESTAAND'!E34)</f>
        <v>0</v>
      </c>
      <c r="F7" s="152">
        <f>SUM('1a. Invoer - BESTAAND'!F5,'1a. Invoer - BESTAAND'!K5,'1a. Invoer - BESTAAND'!F34)</f>
        <v>0</v>
      </c>
      <c r="G7" s="152">
        <f>SUM('1a. Invoer - BESTAAND'!G5,'1a. Invoer - BESTAAND'!L5,'1a. Invoer - BESTAAND'!G34)</f>
        <v>0</v>
      </c>
      <c r="H7" s="41">
        <f>SUM('1a. Invoer - BESTAAND'!H5,'1a. Invoer - BESTAAND'!M5,'1a. Invoer - BESTAAND'!H34)</f>
        <v>0</v>
      </c>
      <c r="I7" s="203">
        <f>SUM('1a. Invoer - BESTAAND'!I5,'1a. Invoer - BESTAAND'!N5,'1a. Invoer - BESTAAND'!I34)</f>
        <v>0</v>
      </c>
      <c r="J7" s="181" t="s">
        <v>9</v>
      </c>
      <c r="K7" s="71" t="s">
        <v>9</v>
      </c>
      <c r="L7" s="71" t="s">
        <v>9</v>
      </c>
      <c r="M7" s="71" t="s">
        <v>9</v>
      </c>
      <c r="N7" s="188" t="s">
        <v>9</v>
      </c>
      <c r="O7" s="360">
        <f t="shared" si="0"/>
        <v>0</v>
      </c>
      <c r="P7" s="322">
        <f>'1a. Invoer - BESTAAND'!K34</f>
        <v>0</v>
      </c>
    </row>
    <row r="8" spans="1:16" ht="35" customHeight="1">
      <c r="A8" s="83"/>
      <c r="B8" s="1290"/>
      <c r="C8" s="406" t="s">
        <v>15</v>
      </c>
      <c r="D8" s="436" t="s">
        <v>687</v>
      </c>
      <c r="E8" s="206">
        <f>SUM('1a. Invoer - BESTAAND'!E6,'1a. Invoer - BESTAAND'!J6,'1a. Invoer - BESTAAND'!E35)</f>
        <v>0</v>
      </c>
      <c r="F8" s="152">
        <f>SUM('1a. Invoer - BESTAAND'!F6,'1a. Invoer - BESTAAND'!K6,'1a. Invoer - BESTAAND'!F35)</f>
        <v>0</v>
      </c>
      <c r="G8" s="152">
        <f>SUM('1a. Invoer - BESTAAND'!G6,'1a. Invoer - BESTAAND'!L6,'1a. Invoer - BESTAAND'!G35)</f>
        <v>0</v>
      </c>
      <c r="H8" s="41">
        <f>SUM('1a. Invoer - BESTAAND'!H6,'1a. Invoer - BESTAAND'!M6,'1a. Invoer - BESTAAND'!H35)</f>
        <v>0</v>
      </c>
      <c r="I8" s="203">
        <f>SUM('1a. Invoer - BESTAAND'!I6,'1a. Invoer - BESTAAND'!N6,'1a. Invoer - BESTAAND'!I35)</f>
        <v>0</v>
      </c>
      <c r="J8" s="181" t="s">
        <v>9</v>
      </c>
      <c r="K8" s="71" t="s">
        <v>9</v>
      </c>
      <c r="L8" s="71" t="s">
        <v>9</v>
      </c>
      <c r="M8" s="71" t="s">
        <v>9</v>
      </c>
      <c r="N8" s="188" t="s">
        <v>9</v>
      </c>
      <c r="O8" s="360">
        <f t="shared" si="0"/>
        <v>0</v>
      </c>
      <c r="P8" s="322">
        <f>'1a. Invoer - BESTAAND'!K35</f>
        <v>0</v>
      </c>
    </row>
    <row r="9" spans="1:16" ht="35" customHeight="1">
      <c r="A9" s="83"/>
      <c r="B9" s="1290"/>
      <c r="C9" s="404" t="s">
        <v>18</v>
      </c>
      <c r="D9" s="417" t="s">
        <v>682</v>
      </c>
      <c r="E9" s="206">
        <f>SUM('1a. Invoer - BESTAAND'!E7,'1a. Invoer - BESTAAND'!J7,'1a. Invoer - BESTAAND'!E36)</f>
        <v>0</v>
      </c>
      <c r="F9" s="152">
        <f>SUM('1a. Invoer - BESTAAND'!F7,'1a. Invoer - BESTAAND'!K7,'1a. Invoer - BESTAAND'!F36)</f>
        <v>0</v>
      </c>
      <c r="G9" s="152">
        <f>SUM('1a. Invoer - BESTAAND'!G7,'1a. Invoer - BESTAAND'!L7,'1a. Invoer - BESTAAND'!G36)</f>
        <v>0</v>
      </c>
      <c r="H9" s="41">
        <f>SUM('1a. Invoer - BESTAAND'!H7,'1a. Invoer - BESTAAND'!M7,'1a. Invoer - BESTAAND'!H36)</f>
        <v>0</v>
      </c>
      <c r="I9" s="203">
        <f>SUM('1a. Invoer - BESTAAND'!I7,'1a. Invoer - BESTAAND'!N7,'1a. Invoer - BESTAAND'!I36)</f>
        <v>0</v>
      </c>
      <c r="J9" s="40">
        <v>0</v>
      </c>
      <c r="K9" s="41">
        <v>0</v>
      </c>
      <c r="L9" s="41">
        <v>0</v>
      </c>
      <c r="M9" s="41">
        <v>0</v>
      </c>
      <c r="N9" s="203">
        <v>0</v>
      </c>
      <c r="O9" s="360">
        <f t="shared" si="0"/>
        <v>0</v>
      </c>
      <c r="P9" s="322">
        <f>'1a. Invoer - BESTAAND'!K36</f>
        <v>0</v>
      </c>
    </row>
    <row r="10" spans="1:16" ht="35" customHeight="1">
      <c r="A10" s="83"/>
      <c r="B10" s="1290"/>
      <c r="C10" s="404" t="s">
        <v>21</v>
      </c>
      <c r="D10" s="417" t="s">
        <v>681</v>
      </c>
      <c r="E10" s="152">
        <f>SUM('1a. Invoer - BESTAAND'!E8,'1a. Invoer - BESTAAND'!J8,'1a. Invoer - BESTAAND'!E37)</f>
        <v>0</v>
      </c>
      <c r="F10" s="152">
        <f>SUM('1a. Invoer - BESTAAND'!F8,'1a. Invoer - BESTAAND'!K8,'1a. Invoer - BESTAAND'!F37)</f>
        <v>0</v>
      </c>
      <c r="G10" s="152">
        <f>SUM('1a. Invoer - BESTAAND'!G8,'1a. Invoer - BESTAAND'!L8,'1a. Invoer - BESTAAND'!G37)</f>
        <v>0</v>
      </c>
      <c r="H10" s="41">
        <f>SUM('1a. Invoer - BESTAAND'!H8,'1a. Invoer - BESTAAND'!M8,'1a. Invoer - BESTAAND'!H37)</f>
        <v>0</v>
      </c>
      <c r="I10" s="203">
        <f>SUM('1a. Invoer - BESTAAND'!I8,'1a. Invoer - BESTAAND'!N8,'1a. Invoer - BESTAAND'!I37)</f>
        <v>0</v>
      </c>
      <c r="J10" s="40">
        <v>0</v>
      </c>
      <c r="K10" s="41">
        <v>0</v>
      </c>
      <c r="L10" s="41">
        <v>0</v>
      </c>
      <c r="M10" s="41">
        <v>0</v>
      </c>
      <c r="N10" s="203">
        <v>0</v>
      </c>
      <c r="O10" s="360">
        <f t="shared" si="0"/>
        <v>0</v>
      </c>
      <c r="P10" s="322">
        <f>'1a. Invoer - BESTAAND'!K37</f>
        <v>0</v>
      </c>
    </row>
    <row r="11" spans="1:16" ht="35" customHeight="1">
      <c r="A11" s="83"/>
      <c r="B11" s="1290"/>
      <c r="C11" s="404" t="s">
        <v>25</v>
      </c>
      <c r="D11" s="417" t="s">
        <v>683</v>
      </c>
      <c r="E11" s="206">
        <f>SUM('1a. Invoer - BESTAAND'!E9,'1a. Invoer - BESTAAND'!J9,'1a. Invoer - BESTAAND'!E38)</f>
        <v>0</v>
      </c>
      <c r="F11" s="152">
        <f>SUM('1a. Invoer - BESTAAND'!F9,'1a. Invoer - BESTAAND'!K9,'1a. Invoer - BESTAAND'!F38)</f>
        <v>0</v>
      </c>
      <c r="G11" s="152">
        <f>SUM('1a. Invoer - BESTAAND'!G9,'1a. Invoer - BESTAAND'!L9,'1a. Invoer - BESTAAND'!G38)</f>
        <v>0</v>
      </c>
      <c r="H11" s="41">
        <f>SUM('1a. Invoer - BESTAAND'!H9,'1a. Invoer - BESTAAND'!M9,'1a. Invoer - BESTAAND'!H38)</f>
        <v>0</v>
      </c>
      <c r="I11" s="203">
        <f>SUM('1a. Invoer - BESTAAND'!I9,'1a. Invoer - BESTAAND'!N9,'1a. Invoer - BESTAAND'!I38)</f>
        <v>0</v>
      </c>
      <c r="J11" s="181" t="s">
        <v>9</v>
      </c>
      <c r="K11" s="71" t="s">
        <v>9</v>
      </c>
      <c r="L11" s="71" t="s">
        <v>9</v>
      </c>
      <c r="M11" s="71" t="s">
        <v>9</v>
      </c>
      <c r="N11" s="188" t="s">
        <v>9</v>
      </c>
      <c r="O11" s="360">
        <f t="shared" si="0"/>
        <v>0</v>
      </c>
      <c r="P11" s="322">
        <f>'1a. Invoer - BESTAAND'!K38</f>
        <v>0</v>
      </c>
    </row>
    <row r="12" spans="1:16" ht="36" customHeight="1">
      <c r="A12" s="83"/>
      <c r="B12" s="1290"/>
      <c r="C12" s="404" t="s">
        <v>159</v>
      </c>
      <c r="D12" s="417" t="s">
        <v>312</v>
      </c>
      <c r="E12" s="152">
        <f>SUM('1a. Invoer - BESTAAND'!E10,'1a. Invoer - BESTAAND'!J10,'1a. Invoer - BESTAAND'!E39)</f>
        <v>0</v>
      </c>
      <c r="F12" s="152">
        <f>SUM('1a. Invoer - BESTAAND'!F10,'1a. Invoer - BESTAAND'!K10,'1a. Invoer - BESTAAND'!F39)</f>
        <v>0</v>
      </c>
      <c r="G12" s="152">
        <f>SUM('1a. Invoer - BESTAAND'!G10,'1a. Invoer - BESTAAND'!L10,'1a. Invoer - BESTAAND'!G39)</f>
        <v>0</v>
      </c>
      <c r="H12" s="41">
        <f>SUM('1a. Invoer - BESTAAND'!H10,'1a. Invoer - BESTAAND'!M10,'1a. Invoer - BESTAAND'!H39)</f>
        <v>0</v>
      </c>
      <c r="I12" s="203">
        <f>SUM('1a. Invoer - BESTAAND'!I10,'1a. Invoer - BESTAAND'!N10,'1a. Invoer - BESTAAND'!I39)</f>
        <v>0</v>
      </c>
      <c r="J12" s="181" t="s">
        <v>9</v>
      </c>
      <c r="K12" s="71" t="s">
        <v>9</v>
      </c>
      <c r="L12" s="71" t="s">
        <v>9</v>
      </c>
      <c r="M12" s="71" t="s">
        <v>9</v>
      </c>
      <c r="N12" s="188" t="s">
        <v>9</v>
      </c>
      <c r="O12" s="360">
        <f t="shared" si="0"/>
        <v>0</v>
      </c>
      <c r="P12" s="322">
        <f>'1a. Invoer - BESTAAND'!K42</f>
        <v>0</v>
      </c>
    </row>
    <row r="13" spans="1:16" ht="35" hidden="1" customHeight="1">
      <c r="A13" s="83"/>
      <c r="B13" s="1290"/>
      <c r="C13" s="404" t="s">
        <v>896</v>
      </c>
      <c r="D13" s="417" t="s">
        <v>897</v>
      </c>
      <c r="E13" s="206">
        <f>SUM('1a. Invoer - BESTAAND'!E11,'1a. Invoer - BESTAAND'!J11,'1a. Invoer - BESTAAND'!E40)</f>
        <v>0</v>
      </c>
      <c r="F13" s="152">
        <f>SUM('1a. Invoer - BESTAAND'!F11,'1a. Invoer - BESTAAND'!K11,'1a. Invoer - BESTAAND'!F40)</f>
        <v>0</v>
      </c>
      <c r="G13" s="152">
        <f>SUM('1a. Invoer - BESTAAND'!G11,'1a. Invoer - BESTAAND'!L11,'1a. Invoer - BESTAAND'!G40)</f>
        <v>0</v>
      </c>
      <c r="H13" s="41">
        <f>SUM('1a. Invoer - BESTAAND'!H11,'1a. Invoer - BESTAAND'!M11,'1a. Invoer - BESTAAND'!H40)</f>
        <v>0</v>
      </c>
      <c r="I13" s="203">
        <v>0</v>
      </c>
      <c r="J13" s="537" t="s">
        <v>9</v>
      </c>
      <c r="K13" s="458" t="s">
        <v>9</v>
      </c>
      <c r="L13" s="458" t="s">
        <v>9</v>
      </c>
      <c r="M13" s="458" t="s">
        <v>9</v>
      </c>
      <c r="N13" s="459" t="s">
        <v>9</v>
      </c>
      <c r="O13" s="360">
        <f t="shared" ref="O13" si="1">SUM(E13:N13)</f>
        <v>0</v>
      </c>
      <c r="P13" s="322">
        <f>'1a. Invoer - BESTAAND'!K43</f>
        <v>0</v>
      </c>
    </row>
    <row r="14" spans="1:16" ht="35" customHeight="1">
      <c r="A14" s="83"/>
      <c r="B14" s="1290"/>
      <c r="C14" s="404" t="s">
        <v>28</v>
      </c>
      <c r="D14" s="417" t="s">
        <v>684</v>
      </c>
      <c r="E14" s="206">
        <f>SUM('1a. Invoer - BESTAAND'!E12,'1a. Invoer - BESTAAND'!J12,'1a. Invoer - BESTAAND'!E41)</f>
        <v>0</v>
      </c>
      <c r="F14" s="152">
        <f>SUM('1a. Invoer - BESTAAND'!F12,'1a. Invoer - BESTAAND'!K12,'1a. Invoer - BESTAAND'!F41)</f>
        <v>0</v>
      </c>
      <c r="G14" s="152">
        <f>SUM('1a. Invoer - BESTAAND'!G12,'1a. Invoer - BESTAAND'!L12,'1a. Invoer - BESTAAND'!G41)</f>
        <v>0</v>
      </c>
      <c r="H14" s="41">
        <f>SUM('1a. Invoer - BESTAAND'!H12,'1a. Invoer - BESTAAND'!M12,'1a. Invoer - BESTAAND'!H41)</f>
        <v>0</v>
      </c>
      <c r="I14" s="203">
        <f>SUM('1a. Invoer - BESTAAND'!I12,'1a. Invoer - BESTAAND'!N12,'1a. Invoer - BESTAAND'!I41)</f>
        <v>0</v>
      </c>
      <c r="J14" s="40">
        <v>0</v>
      </c>
      <c r="K14" s="41">
        <v>0</v>
      </c>
      <c r="L14" s="41">
        <v>0</v>
      </c>
      <c r="M14" s="41">
        <v>0</v>
      </c>
      <c r="N14" s="203">
        <v>0</v>
      </c>
      <c r="O14" s="360">
        <f>SUM(E14:N14)</f>
        <v>0</v>
      </c>
      <c r="P14" s="322">
        <f>'1a. Invoer - BESTAAND'!K44</f>
        <v>0</v>
      </c>
    </row>
    <row r="15" spans="1:16" ht="35" customHeight="1" thickBot="1">
      <c r="A15" s="83"/>
      <c r="B15" s="1353"/>
      <c r="C15" s="408" t="s">
        <v>32</v>
      </c>
      <c r="D15" s="418" t="s">
        <v>685</v>
      </c>
      <c r="E15" s="207">
        <f>SUM('1a. Invoer - BESTAAND'!E13,'1a. Invoer - BESTAAND'!J13,'1a. Invoer - BESTAAND'!E42)</f>
        <v>0</v>
      </c>
      <c r="F15" s="208">
        <f>SUM('1a. Invoer - BESTAAND'!F13,'1a. Invoer - BESTAAND'!K13,'1a. Invoer - BESTAAND'!F42)</f>
        <v>0</v>
      </c>
      <c r="G15" s="208">
        <f>SUM('1a. Invoer - BESTAAND'!G13,'1a. Invoer - BESTAAND'!L13,'1a. Invoer - BESTAAND'!G42)</f>
        <v>0</v>
      </c>
      <c r="H15" s="204">
        <f>SUM('1a. Invoer - BESTAAND'!H13,'1a. Invoer - BESTAAND'!M13,'1a. Invoer - BESTAAND'!H42)</f>
        <v>0</v>
      </c>
      <c r="I15" s="205">
        <f>SUM('1a. Invoer - BESTAAND'!I13,'1a. Invoer - BESTAAND'!N13,'1a. Invoer - BESTAAND'!I42)</f>
        <v>0</v>
      </c>
      <c r="J15" s="362">
        <v>0</v>
      </c>
      <c r="K15" s="204">
        <v>0</v>
      </c>
      <c r="L15" s="204">
        <v>0</v>
      </c>
      <c r="M15" s="204">
        <v>0</v>
      </c>
      <c r="N15" s="205">
        <v>0</v>
      </c>
      <c r="O15" s="360">
        <f>SUM(E15:N15)</f>
        <v>0</v>
      </c>
      <c r="P15" s="322">
        <f>'1a. Invoer - BESTAAND'!K45</f>
        <v>0</v>
      </c>
    </row>
    <row r="16" spans="1:16" ht="24" customHeight="1" thickBot="1">
      <c r="A16" s="83"/>
      <c r="B16" s="437"/>
      <c r="C16" s="411"/>
      <c r="D16" s="412"/>
      <c r="E16" s="438"/>
      <c r="F16" s="438"/>
      <c r="G16" s="438"/>
      <c r="H16" s="438"/>
      <c r="I16" s="438"/>
      <c r="J16" s="414"/>
      <c r="K16" s="414"/>
      <c r="L16" s="414"/>
      <c r="M16" s="414"/>
      <c r="N16" s="414"/>
      <c r="O16" s="414"/>
      <c r="P16" s="414"/>
    </row>
    <row r="17" spans="1:16" ht="35" customHeight="1">
      <c r="A17" s="83"/>
      <c r="B17" s="1289" t="s">
        <v>1332</v>
      </c>
      <c r="C17" s="402" t="s">
        <v>890</v>
      </c>
      <c r="D17" s="416" t="s">
        <v>891</v>
      </c>
      <c r="E17" s="184">
        <f>SUM('1a. Invoer - BESTAAND'!E15,'1a. Invoer - BESTAAND'!J15,'1a. Invoer - BESTAAND'!E44)</f>
        <v>0</v>
      </c>
      <c r="F17" s="186">
        <f>SUM('1a. Invoer - BESTAAND'!F15,'1a. Invoer - BESTAAND'!K15,'1a. Invoer - BESTAAND'!F44)</f>
        <v>0</v>
      </c>
      <c r="G17" s="186">
        <f>SUM('1a. Invoer - BESTAAND'!G15,'1a. Invoer - BESTAAND'!L15,'1a. Invoer - BESTAAND'!G44)</f>
        <v>0</v>
      </c>
      <c r="H17" s="202">
        <f>SUM('1a. Invoer - BESTAAND'!H15,'1a. Invoer - BESTAAND'!M15,'1a. Invoer - BESTAAND'!H44)</f>
        <v>0</v>
      </c>
      <c r="I17" s="180">
        <f>SUM('1a. Invoer - BESTAAND'!I15,'1a. Invoer - BESTAAND'!N15,'1a. Invoer - BESTAAND'!I44)</f>
        <v>0</v>
      </c>
      <c r="J17" s="179">
        <v>0</v>
      </c>
      <c r="K17" s="41">
        <v>0</v>
      </c>
      <c r="L17" s="41">
        <v>0</v>
      </c>
      <c r="M17" s="41">
        <v>0</v>
      </c>
      <c r="N17" s="152">
        <v>0</v>
      </c>
      <c r="O17" s="322">
        <f>SUM(E17:N17)</f>
        <v>0</v>
      </c>
      <c r="P17" s="322">
        <f>'1a. Invoer - BESTAAND'!K44</f>
        <v>0</v>
      </c>
    </row>
    <row r="18" spans="1:16" ht="35" customHeight="1">
      <c r="A18" s="83"/>
      <c r="B18" s="1290"/>
      <c r="C18" s="404" t="s">
        <v>892</v>
      </c>
      <c r="D18" s="417" t="s">
        <v>893</v>
      </c>
      <c r="E18" s="206">
        <f>SUM('1a. Invoer - BESTAAND'!E16,'1a. Invoer - BESTAAND'!J16,'1a. Invoer - BESTAAND'!E45)</f>
        <v>0</v>
      </c>
      <c r="F18" s="152">
        <f>SUM('1a. Invoer - BESTAAND'!F16,'1a. Invoer - BESTAAND'!K16,'1a. Invoer - BESTAAND'!F45)</f>
        <v>0</v>
      </c>
      <c r="G18" s="152">
        <f>SUM('1a. Invoer - BESTAAND'!G16,'1a. Invoer - BESTAAND'!L16,'1a. Invoer - BESTAAND'!G45)</f>
        <v>0</v>
      </c>
      <c r="H18" s="41">
        <f>SUM('1a. Invoer - BESTAAND'!H16,'1a. Invoer - BESTAAND'!M16,'1a. Invoer - BESTAAND'!H45)</f>
        <v>0</v>
      </c>
      <c r="I18" s="203">
        <f>SUM('1a. Invoer - BESTAAND'!I16,'1a. Invoer - BESTAAND'!N16,'1a. Invoer - BESTAAND'!I45)</f>
        <v>0</v>
      </c>
      <c r="J18" s="72" t="s">
        <v>9</v>
      </c>
      <c r="K18" s="71" t="s">
        <v>9</v>
      </c>
      <c r="L18" s="71" t="s">
        <v>9</v>
      </c>
      <c r="M18" s="71" t="s">
        <v>9</v>
      </c>
      <c r="N18" s="188" t="s">
        <v>9</v>
      </c>
      <c r="O18" s="322">
        <f>SUM(E18:N18)</f>
        <v>0</v>
      </c>
      <c r="P18" s="322">
        <f>'1a. Invoer - BESTAAND'!K45</f>
        <v>0</v>
      </c>
    </row>
    <row r="19" spans="1:16" ht="35" customHeight="1" thickBot="1">
      <c r="A19" s="83"/>
      <c r="B19" s="1353"/>
      <c r="C19" s="408" t="s">
        <v>120</v>
      </c>
      <c r="D19" s="418" t="s">
        <v>894</v>
      </c>
      <c r="E19" s="207">
        <f>SUM('1a. Invoer - BESTAAND'!E17,'1a. Invoer - BESTAAND'!J17,'1a. Invoer - BESTAAND'!E46)</f>
        <v>0</v>
      </c>
      <c r="F19" s="208">
        <f>SUM('1a. Invoer - BESTAAND'!F17,'1a. Invoer - BESTAAND'!K17,'1a. Invoer - BESTAAND'!F46)</f>
        <v>0</v>
      </c>
      <c r="G19" s="208">
        <f>SUM('1a. Invoer - BESTAAND'!G17,'1a. Invoer - BESTAAND'!L17,'1a. Invoer - BESTAAND'!G46)</f>
        <v>0</v>
      </c>
      <c r="H19" s="204">
        <f>SUM('1a. Invoer - BESTAAND'!H17,'1a. Invoer - BESTAAND'!M17,'1a. Invoer - BESTAAND'!H46)</f>
        <v>0</v>
      </c>
      <c r="I19" s="205">
        <f>SUM('1a. Invoer - BESTAAND'!I17,'1a. Invoer - BESTAAND'!N17,'1a. Invoer - BESTAAND'!I46)</f>
        <v>0</v>
      </c>
      <c r="J19" s="179">
        <v>0</v>
      </c>
      <c r="K19" s="41">
        <v>0</v>
      </c>
      <c r="L19" s="41">
        <v>0</v>
      </c>
      <c r="M19" s="41">
        <v>0</v>
      </c>
      <c r="N19" s="152">
        <v>0</v>
      </c>
      <c r="O19" s="322">
        <f>SUM(E19:N19)</f>
        <v>0</v>
      </c>
      <c r="P19" s="322">
        <f>'1a. Invoer - BESTAAND'!K46</f>
        <v>0</v>
      </c>
    </row>
    <row r="20" spans="1:16" ht="24" hidden="1" customHeight="1" thickBot="1">
      <c r="A20" s="83"/>
      <c r="B20" s="437"/>
      <c r="C20" s="411"/>
      <c r="D20" s="412"/>
      <c r="E20" s="414"/>
      <c r="F20" s="414"/>
      <c r="G20" s="414"/>
      <c r="H20" s="414"/>
      <c r="I20" s="414"/>
      <c r="J20" s="414"/>
      <c r="K20" s="414"/>
      <c r="L20" s="414"/>
      <c r="M20" s="414"/>
      <c r="N20" s="414"/>
      <c r="O20" s="414"/>
      <c r="P20" s="414"/>
    </row>
    <row r="21" spans="1:16" ht="35" hidden="1" customHeight="1">
      <c r="A21" s="83"/>
      <c r="B21" s="1289" t="s">
        <v>1331</v>
      </c>
      <c r="C21" s="402" t="s">
        <v>728</v>
      </c>
      <c r="D21" s="416" t="s">
        <v>898</v>
      </c>
      <c r="E21" s="184">
        <f>SUM('1a. Invoer - BESTAAND'!E19,'1a. Invoer - BESTAAND'!J19,'1a. Invoer - BESTAAND'!E48)</f>
        <v>0</v>
      </c>
      <c r="F21" s="186">
        <f>SUM('1a. Invoer - BESTAAND'!F19,'1a. Invoer - BESTAAND'!K19,'1a. Invoer - BESTAAND'!F48)</f>
        <v>0</v>
      </c>
      <c r="G21" s="202">
        <f>SUM('1a. Invoer - BESTAAND'!G19,'1a. Invoer - BESTAAND'!L19,'1a. Invoer - BESTAAND'!G48)</f>
        <v>0</v>
      </c>
      <c r="H21" s="186">
        <f>SUM('1a. Invoer - BESTAAND'!H19,'1a. Invoer - BESTAAND'!M19,'1a. Invoer - BESTAAND'!H48)</f>
        <v>0</v>
      </c>
      <c r="I21" s="180">
        <f>SUM('1a. Invoer - BESTAAND'!I19,'1a. Invoer - BESTAAND'!N19,'1a. Invoer - BESTAAND'!I48)</f>
        <v>0</v>
      </c>
      <c r="J21" s="72" t="s">
        <v>9</v>
      </c>
      <c r="K21" s="71" t="s">
        <v>9</v>
      </c>
      <c r="L21" s="71" t="s">
        <v>9</v>
      </c>
      <c r="M21" s="71" t="s">
        <v>9</v>
      </c>
      <c r="N21" s="188" t="s">
        <v>9</v>
      </c>
      <c r="O21" s="322">
        <f>SUM(E21:N21)</f>
        <v>0</v>
      </c>
      <c r="P21" s="322">
        <f>'1a. Invoer - BESTAAND'!K48</f>
        <v>0</v>
      </c>
    </row>
    <row r="22" spans="1:16" ht="35" hidden="1" customHeight="1">
      <c r="A22" s="83"/>
      <c r="B22" s="1290"/>
      <c r="C22" s="404" t="s">
        <v>850</v>
      </c>
      <c r="D22" s="417" t="s">
        <v>899</v>
      </c>
      <c r="E22" s="206">
        <f>SUM('1a. Invoer - BESTAAND'!E20,'1a. Invoer - BESTAAND'!J20,'1a. Invoer - BESTAAND'!E49)</f>
        <v>0</v>
      </c>
      <c r="F22" s="152">
        <f>SUM('1a. Invoer - BESTAAND'!F20,'1a. Invoer - BESTAAND'!K20,'1a. Invoer - BESTAAND'!F49)</f>
        <v>0</v>
      </c>
      <c r="G22" s="41">
        <f>SUM('1a. Invoer - BESTAAND'!G20,'1a. Invoer - BESTAAND'!L20,'1a. Invoer - BESTAAND'!G49)</f>
        <v>0</v>
      </c>
      <c r="H22" s="152">
        <f>SUM('1a. Invoer - BESTAAND'!H20,'1a. Invoer - BESTAAND'!M20,'1a. Invoer - BESTAAND'!H49)</f>
        <v>0</v>
      </c>
      <c r="I22" s="203">
        <f>SUM('1a. Invoer - BESTAAND'!I20,'1a. Invoer - BESTAAND'!N20,'1a. Invoer - BESTAAND'!I49)</f>
        <v>0</v>
      </c>
      <c r="J22" s="72" t="s">
        <v>9</v>
      </c>
      <c r="K22" s="71" t="s">
        <v>9</v>
      </c>
      <c r="L22" s="71" t="s">
        <v>9</v>
      </c>
      <c r="M22" s="71" t="s">
        <v>9</v>
      </c>
      <c r="N22" s="188" t="s">
        <v>9</v>
      </c>
      <c r="O22" s="322">
        <f>SUM(E22:N22)</f>
        <v>0</v>
      </c>
      <c r="P22" s="322">
        <f>'1a. Invoer - BESTAAND'!K49</f>
        <v>0</v>
      </c>
    </row>
    <row r="23" spans="1:16" ht="35" hidden="1" customHeight="1">
      <c r="A23" s="83"/>
      <c r="B23" s="1290"/>
      <c r="C23" s="404" t="s">
        <v>729</v>
      </c>
      <c r="D23" s="417" t="s">
        <v>744</v>
      </c>
      <c r="E23" s="206">
        <f>SUM('1a. Invoer - BESTAAND'!E21,'1a. Invoer - BESTAAND'!J21,'1a. Invoer - BESTAAND'!E50)</f>
        <v>0</v>
      </c>
      <c r="F23" s="152">
        <f>SUM('1a. Invoer - BESTAAND'!F21,'1a. Invoer - BESTAAND'!K21,'1a. Invoer - BESTAAND'!F50)</f>
        <v>0</v>
      </c>
      <c r="G23" s="152">
        <f>SUM('1a. Invoer - BESTAAND'!G21,'1a. Invoer - BESTAAND'!L21,'1a. Invoer - BESTAAND'!G50)</f>
        <v>0</v>
      </c>
      <c r="H23" s="152">
        <f>SUM('1a. Invoer - BESTAAND'!H21,'1a. Invoer - BESTAAND'!M21,'1a. Invoer - BESTAAND'!H50)</f>
        <v>0</v>
      </c>
      <c r="I23" s="203">
        <f>SUM('1a. Invoer - BESTAAND'!I21,'1a. Invoer - BESTAAND'!N21,'1a. Invoer - BESTAAND'!I50)</f>
        <v>0</v>
      </c>
      <c r="J23" s="179">
        <v>0</v>
      </c>
      <c r="K23" s="41">
        <v>0</v>
      </c>
      <c r="L23" s="41">
        <v>0</v>
      </c>
      <c r="M23" s="41">
        <v>0</v>
      </c>
      <c r="N23" s="152">
        <v>0</v>
      </c>
      <c r="O23" s="322">
        <f>SUM(E23:N23)</f>
        <v>0</v>
      </c>
      <c r="P23" s="322">
        <f>'1a. Invoer - BESTAAND'!K50</f>
        <v>0</v>
      </c>
    </row>
    <row r="24" spans="1:16" ht="35" hidden="1" customHeight="1" thickBot="1">
      <c r="A24" s="83"/>
      <c r="B24" s="1353"/>
      <c r="C24" s="408" t="s">
        <v>714</v>
      </c>
      <c r="D24" s="439" t="s">
        <v>745</v>
      </c>
      <c r="E24" s="207">
        <f>SUM('1a. Invoer - BESTAAND'!E22,'1a. Invoer - BESTAAND'!J22,'1a. Invoer - BESTAAND'!E51)</f>
        <v>0</v>
      </c>
      <c r="F24" s="208">
        <f>SUM('1a. Invoer - BESTAAND'!F22,'1a. Invoer - BESTAAND'!K22,'1a. Invoer - BESTAAND'!F51)</f>
        <v>0</v>
      </c>
      <c r="G24" s="204">
        <f>SUM('1a. Invoer - BESTAAND'!G22,'1a. Invoer - BESTAAND'!L22,'1a. Invoer - BESTAAND'!G51)</f>
        <v>0</v>
      </c>
      <c r="H24" s="208">
        <f>SUM('1a. Invoer - BESTAAND'!H22,'1a. Invoer - BESTAAND'!M22,'1a. Invoer - BESTAAND'!H51)</f>
        <v>0</v>
      </c>
      <c r="I24" s="205">
        <f>SUM('1a. Invoer - BESTAAND'!I22,'1a. Invoer - BESTAAND'!N22,'1a. Invoer - BESTAAND'!I51)</f>
        <v>0</v>
      </c>
      <c r="J24" s="179">
        <v>0</v>
      </c>
      <c r="K24" s="41">
        <v>0</v>
      </c>
      <c r="L24" s="41">
        <v>0</v>
      </c>
      <c r="M24" s="41">
        <v>0</v>
      </c>
      <c r="N24" s="152">
        <v>0</v>
      </c>
      <c r="O24" s="322">
        <f>SUM(E24:N24)</f>
        <v>0</v>
      </c>
      <c r="P24" s="322">
        <f>'1a. Invoer - BESTAAND'!K51</f>
        <v>0</v>
      </c>
    </row>
    <row r="25" spans="1:16" ht="24" customHeight="1" thickBot="1">
      <c r="A25" s="83"/>
      <c r="B25" s="437"/>
      <c r="C25" s="411"/>
      <c r="D25" s="412"/>
      <c r="E25" s="438"/>
      <c r="F25" s="438"/>
      <c r="G25" s="438"/>
      <c r="H25" s="438"/>
      <c r="I25" s="438"/>
      <c r="J25" s="414"/>
      <c r="K25" s="414"/>
      <c r="L25" s="414"/>
      <c r="M25" s="414"/>
      <c r="N25" s="414"/>
      <c r="O25" s="414"/>
      <c r="P25" s="440"/>
    </row>
    <row r="26" spans="1:16" ht="35" customHeight="1">
      <c r="A26" s="83"/>
      <c r="B26" s="1289" t="s">
        <v>2045</v>
      </c>
      <c r="C26" s="402" t="s">
        <v>2044</v>
      </c>
      <c r="D26" s="416" t="s">
        <v>4225</v>
      </c>
      <c r="E26" s="460">
        <f>'1a. Invoer - BESTAAND'!J24</f>
        <v>0</v>
      </c>
      <c r="F26" s="460">
        <f>'1a. Invoer - BESTAAND'!K24</f>
        <v>0</v>
      </c>
      <c r="G26" s="460">
        <f>'1a. Invoer - BESTAAND'!L24</f>
        <v>0</v>
      </c>
      <c r="H26" s="461">
        <f>'1a. Invoer - BESTAAND'!M24</f>
        <v>0</v>
      </c>
      <c r="I26" s="462">
        <f>'1a. Invoer - BESTAAND'!N24</f>
        <v>0</v>
      </c>
      <c r="J26" s="361">
        <v>0</v>
      </c>
      <c r="K26" s="202">
        <v>0</v>
      </c>
      <c r="L26" s="202">
        <v>0</v>
      </c>
      <c r="M26" s="202">
        <v>0</v>
      </c>
      <c r="N26" s="180">
        <v>0</v>
      </c>
      <c r="O26" s="360">
        <f>SUM(E26:N26)</f>
        <v>0</v>
      </c>
      <c r="P26" s="322">
        <f>'1a. Invoer - BESTAAND'!K53</f>
        <v>0</v>
      </c>
    </row>
    <row r="27" spans="1:16" ht="35" customHeight="1" thickBot="1">
      <c r="A27" s="83"/>
      <c r="B27" s="1290"/>
      <c r="C27" s="404" t="s">
        <v>4241</v>
      </c>
      <c r="D27" s="417" t="s">
        <v>4226</v>
      </c>
      <c r="E27" s="463">
        <f>'1a. Invoer - BESTAAND'!J25</f>
        <v>0</v>
      </c>
      <c r="F27" s="463">
        <f>'1a. Invoer - BESTAAND'!K25</f>
        <v>0</v>
      </c>
      <c r="G27" s="463">
        <f>'1a. Invoer - BESTAAND'!L25</f>
        <v>0</v>
      </c>
      <c r="H27" s="464">
        <f>'1a. Invoer - BESTAAND'!M25</f>
        <v>0</v>
      </c>
      <c r="I27" s="465">
        <f>'1a. Invoer - BESTAAND'!N25</f>
        <v>0</v>
      </c>
      <c r="J27" s="40">
        <v>0</v>
      </c>
      <c r="K27" s="41">
        <v>0</v>
      </c>
      <c r="L27" s="41">
        <v>0</v>
      </c>
      <c r="M27" s="41">
        <v>0</v>
      </c>
      <c r="N27" s="203">
        <v>0</v>
      </c>
      <c r="O27" s="360">
        <f>SUM(E27:N27)</f>
        <v>0</v>
      </c>
      <c r="P27" s="322">
        <f>'1a. Invoer - BESTAAND'!K54</f>
        <v>0</v>
      </c>
    </row>
    <row r="28" spans="1:16" ht="35" customHeight="1" thickBot="1">
      <c r="A28" s="83"/>
      <c r="B28" s="1290"/>
      <c r="C28" s="1283" t="s">
        <v>4250</v>
      </c>
      <c r="D28" s="1362"/>
      <c r="E28" s="441" t="s">
        <v>4251</v>
      </c>
      <c r="F28" s="441" t="s">
        <v>4252</v>
      </c>
      <c r="G28" s="441" t="s">
        <v>4253</v>
      </c>
      <c r="H28" s="442" t="s">
        <v>4254</v>
      </c>
      <c r="I28" s="443" t="s">
        <v>4255</v>
      </c>
      <c r="J28" s="399" t="s">
        <v>4251</v>
      </c>
      <c r="K28" s="399" t="s">
        <v>4252</v>
      </c>
      <c r="L28" s="399" t="s">
        <v>4253</v>
      </c>
      <c r="M28" s="399" t="s">
        <v>4254</v>
      </c>
      <c r="N28" s="399" t="s">
        <v>4255</v>
      </c>
      <c r="O28" s="73"/>
      <c r="P28" s="359"/>
    </row>
    <row r="29" spans="1:16" ht="35" customHeight="1" thickBot="1">
      <c r="A29" s="83"/>
      <c r="B29" s="1353"/>
      <c r="C29" s="408" t="s">
        <v>1640</v>
      </c>
      <c r="D29" s="439" t="s">
        <v>4227</v>
      </c>
      <c r="E29" s="466">
        <f>'1a. Invoer - BESTAAND'!J27</f>
        <v>0</v>
      </c>
      <c r="F29" s="467">
        <f>'1a. Invoer - BESTAAND'!K27</f>
        <v>0</v>
      </c>
      <c r="G29" s="467">
        <f>'1a. Invoer - BESTAAND'!L27</f>
        <v>0</v>
      </c>
      <c r="H29" s="467">
        <f>'1a. Invoer - BESTAAND'!M27</f>
        <v>0</v>
      </c>
      <c r="I29" s="468">
        <f>'1a. Invoer - BESTAAND'!N27</f>
        <v>0</v>
      </c>
      <c r="J29" s="362">
        <v>0</v>
      </c>
      <c r="K29" s="204">
        <v>0</v>
      </c>
      <c r="L29" s="204">
        <v>0</v>
      </c>
      <c r="M29" s="204">
        <v>0</v>
      </c>
      <c r="N29" s="205">
        <v>0</v>
      </c>
      <c r="O29" s="360">
        <f>SUM(E29:N29)</f>
        <v>0</v>
      </c>
      <c r="P29" s="322">
        <f>'1a. Invoer - BESTAAND'!K56</f>
        <v>0</v>
      </c>
    </row>
    <row r="30" spans="1:16" ht="24" customHeight="1" thickBot="1">
      <c r="A30" s="83"/>
      <c r="B30" s="437"/>
      <c r="C30" s="411"/>
      <c r="D30" s="412"/>
      <c r="E30" s="419"/>
      <c r="F30" s="419"/>
      <c r="G30" s="419"/>
      <c r="H30" s="419"/>
      <c r="I30" s="419"/>
      <c r="J30" s="414"/>
      <c r="K30" s="414"/>
      <c r="L30" s="414"/>
      <c r="M30" s="414"/>
      <c r="N30" s="414"/>
      <c r="O30" s="414"/>
      <c r="P30" s="414"/>
    </row>
    <row r="31" spans="1:16" ht="35" customHeight="1" thickBot="1">
      <c r="A31" s="83"/>
      <c r="B31" s="437"/>
      <c r="C31" s="164" t="s">
        <v>3</v>
      </c>
      <c r="D31" s="210"/>
      <c r="E31" s="198">
        <f>SUM(E6:E15)+SUM(E17:E19)+SUM(E21:E24)+SUM(E26:E29)</f>
        <v>0</v>
      </c>
      <c r="F31" s="198">
        <f t="shared" ref="F31:N31" si="2">SUM(F6:F15)+SUM(F17:F19)+SUM(F21:F24)+SUM(F26:F29)</f>
        <v>0</v>
      </c>
      <c r="G31" s="198">
        <f t="shared" si="2"/>
        <v>0</v>
      </c>
      <c r="H31" s="198">
        <f t="shared" si="2"/>
        <v>0</v>
      </c>
      <c r="I31" s="198">
        <f t="shared" si="2"/>
        <v>0</v>
      </c>
      <c r="J31" s="198">
        <f>SUM(J6:J15)+SUM(J17:J19)+SUM(J21:J24)+SUM(J26:J29)</f>
        <v>0</v>
      </c>
      <c r="K31" s="198">
        <f t="shared" si="2"/>
        <v>0</v>
      </c>
      <c r="L31" s="198">
        <f t="shared" si="2"/>
        <v>0</v>
      </c>
      <c r="M31" s="198">
        <f>SUM(M6:M15)+SUM(M17:M19)+SUM(M21:M24)+SUM(M26:M29)</f>
        <v>0</v>
      </c>
      <c r="N31" s="198">
        <f t="shared" si="2"/>
        <v>0</v>
      </c>
      <c r="O31" s="323">
        <f>SUM(O6:O15)+SUM(O17:O19)+SUM(O21:O24)+SUM(O26:O29)</f>
        <v>0</v>
      </c>
      <c r="P31" s="323">
        <f>'1a. Invoer - BESTAAND'!K57</f>
        <v>0</v>
      </c>
    </row>
    <row r="32" spans="1:16" ht="24" customHeight="1" thickBot="1">
      <c r="A32" s="83"/>
      <c r="B32" s="83"/>
      <c r="C32" s="83"/>
      <c r="D32" s="83"/>
      <c r="E32" s="83"/>
      <c r="F32" s="83"/>
      <c r="G32" s="83"/>
      <c r="H32" s="83"/>
      <c r="I32" s="83"/>
      <c r="J32" s="83"/>
      <c r="K32" s="83"/>
      <c r="L32" s="83"/>
      <c r="M32" s="83"/>
      <c r="N32" s="83"/>
      <c r="O32" s="83"/>
    </row>
    <row r="33" spans="2:10" ht="29" thickBot="1">
      <c r="B33" s="1354" t="s">
        <v>1329</v>
      </c>
      <c r="C33" s="1328" t="s">
        <v>0</v>
      </c>
      <c r="D33" s="1329"/>
      <c r="E33" s="1267" t="s">
        <v>693</v>
      </c>
      <c r="F33" s="1268"/>
      <c r="G33" s="1268"/>
      <c r="H33" s="1268"/>
      <c r="I33" s="1268"/>
      <c r="J33" s="1333"/>
    </row>
    <row r="34" spans="2:10" ht="29" thickBot="1">
      <c r="B34" s="1355"/>
      <c r="C34" s="444"/>
      <c r="D34" s="445" t="s">
        <v>4</v>
      </c>
      <c r="E34" s="1330" t="s">
        <v>1438</v>
      </c>
      <c r="F34" s="1331"/>
      <c r="G34" s="1332"/>
      <c r="H34" s="1267" t="s">
        <v>1439</v>
      </c>
      <c r="I34" s="1268"/>
      <c r="J34" s="1333"/>
    </row>
    <row r="35" spans="2:10" ht="43" customHeight="1" thickBot="1">
      <c r="B35" s="1289" t="s">
        <v>1330</v>
      </c>
      <c r="C35" s="402" t="s">
        <v>7</v>
      </c>
      <c r="D35" s="416" t="s">
        <v>688</v>
      </c>
      <c r="E35" s="1337" t="s">
        <v>1745</v>
      </c>
      <c r="F35" s="1338"/>
      <c r="G35" s="1339"/>
      <c r="H35" s="1340" t="s">
        <v>1932</v>
      </c>
      <c r="I35" s="1341"/>
      <c r="J35" s="1342"/>
    </row>
    <row r="36" spans="2:10" ht="44" customHeight="1" thickBot="1">
      <c r="B36" s="1290"/>
      <c r="C36" s="404" t="s">
        <v>12</v>
      </c>
      <c r="D36" s="417" t="s">
        <v>686</v>
      </c>
      <c r="E36" s="1334" t="s">
        <v>1744</v>
      </c>
      <c r="F36" s="1335"/>
      <c r="G36" s="1336"/>
      <c r="H36" s="1343" t="s">
        <v>1932</v>
      </c>
      <c r="I36" s="1344"/>
      <c r="J36" s="1345"/>
    </row>
    <row r="37" spans="2:10" ht="44" customHeight="1" thickBot="1">
      <c r="B37" s="1290"/>
      <c r="C37" s="404" t="s">
        <v>15</v>
      </c>
      <c r="D37" s="417" t="s">
        <v>687</v>
      </c>
      <c r="E37" s="1334" t="s">
        <v>1743</v>
      </c>
      <c r="F37" s="1335"/>
      <c r="G37" s="1336"/>
      <c r="H37" s="1343" t="s">
        <v>1932</v>
      </c>
      <c r="I37" s="1344"/>
      <c r="J37" s="1345"/>
    </row>
    <row r="38" spans="2:10" ht="39" customHeight="1" thickBot="1">
      <c r="B38" s="1290"/>
      <c r="C38" s="404" t="s">
        <v>18</v>
      </c>
      <c r="D38" s="417" t="s">
        <v>682</v>
      </c>
      <c r="E38" s="1334" t="s">
        <v>901</v>
      </c>
      <c r="F38" s="1335"/>
      <c r="G38" s="1336"/>
      <c r="H38" s="1334" t="s">
        <v>1444</v>
      </c>
      <c r="I38" s="1335"/>
      <c r="J38" s="1336"/>
    </row>
    <row r="39" spans="2:10" ht="40" customHeight="1" thickBot="1">
      <c r="B39" s="1290"/>
      <c r="C39" s="404" t="s">
        <v>21</v>
      </c>
      <c r="D39" s="417" t="s">
        <v>681</v>
      </c>
      <c r="E39" s="1220" t="s">
        <v>24</v>
      </c>
      <c r="F39" s="1221"/>
      <c r="G39" s="1222"/>
      <c r="H39" s="1220" t="s">
        <v>1444</v>
      </c>
      <c r="I39" s="1221"/>
      <c r="J39" s="1222"/>
    </row>
    <row r="40" spans="2:10" ht="43" customHeight="1" thickBot="1">
      <c r="B40" s="1290"/>
      <c r="C40" s="404" t="s">
        <v>25</v>
      </c>
      <c r="D40" s="417" t="s">
        <v>683</v>
      </c>
      <c r="E40" s="1220" t="s">
        <v>24</v>
      </c>
      <c r="F40" s="1221"/>
      <c r="G40" s="1222"/>
      <c r="H40" s="1350" t="s">
        <v>1932</v>
      </c>
      <c r="I40" s="1221"/>
      <c r="J40" s="1222"/>
    </row>
    <row r="41" spans="2:10" ht="44" customHeight="1" thickBot="1">
      <c r="B41" s="1290"/>
      <c r="C41" s="404" t="s">
        <v>159</v>
      </c>
      <c r="D41" s="417" t="s">
        <v>312</v>
      </c>
      <c r="E41" s="1220" t="s">
        <v>906</v>
      </c>
      <c r="F41" s="1221"/>
      <c r="G41" s="1222"/>
      <c r="H41" s="1350" t="s">
        <v>1932</v>
      </c>
      <c r="I41" s="1221"/>
      <c r="J41" s="1222"/>
    </row>
    <row r="42" spans="2:10" ht="38" hidden="1" customHeight="1" thickBot="1">
      <c r="B42" s="1290"/>
      <c r="C42" s="404" t="s">
        <v>896</v>
      </c>
      <c r="D42" s="417" t="s">
        <v>897</v>
      </c>
      <c r="E42" s="1310" t="s">
        <v>903</v>
      </c>
      <c r="F42" s="1311"/>
      <c r="G42" s="1312"/>
      <c r="H42" s="1310"/>
      <c r="I42" s="1311"/>
      <c r="J42" s="1312"/>
    </row>
    <row r="43" spans="2:10" ht="43" customHeight="1" thickBot="1">
      <c r="B43" s="1290"/>
      <c r="C43" s="404" t="s">
        <v>28</v>
      </c>
      <c r="D43" s="417" t="s">
        <v>684</v>
      </c>
      <c r="E43" s="1313" t="s">
        <v>1746</v>
      </c>
      <c r="F43" s="1314"/>
      <c r="G43" s="1315"/>
      <c r="H43" s="1313" t="s">
        <v>1450</v>
      </c>
      <c r="I43" s="1314"/>
      <c r="J43" s="1315"/>
    </row>
    <row r="44" spans="2:10" ht="43" customHeight="1" thickBot="1">
      <c r="B44" s="1353"/>
      <c r="C44" s="408" t="s">
        <v>32</v>
      </c>
      <c r="D44" s="418" t="s">
        <v>685</v>
      </c>
      <c r="E44" s="1316" t="s">
        <v>1747</v>
      </c>
      <c r="F44" s="1317"/>
      <c r="G44" s="1318"/>
      <c r="H44" s="1316" t="s">
        <v>1450</v>
      </c>
      <c r="I44" s="1317"/>
      <c r="J44" s="1318"/>
    </row>
    <row r="45" spans="2:10" ht="24" thickBot="1">
      <c r="B45" s="437"/>
      <c r="C45" s="1346"/>
      <c r="D45" s="1347"/>
      <c r="E45" s="1348"/>
      <c r="F45" s="1348"/>
      <c r="G45" s="1348"/>
      <c r="H45" s="1347"/>
      <c r="I45" s="1347"/>
      <c r="J45" s="1349"/>
    </row>
    <row r="46" spans="2:10" ht="43" customHeight="1" thickBot="1">
      <c r="B46" s="1289" t="s">
        <v>1332</v>
      </c>
      <c r="C46" s="406" t="s">
        <v>890</v>
      </c>
      <c r="D46" s="407" t="s">
        <v>891</v>
      </c>
      <c r="E46" s="1226" t="s">
        <v>1440</v>
      </c>
      <c r="F46" s="1227"/>
      <c r="G46" s="1319"/>
      <c r="H46" s="1226" t="s">
        <v>1447</v>
      </c>
      <c r="I46" s="1227"/>
      <c r="J46" s="1319"/>
    </row>
    <row r="47" spans="2:10" ht="43" customHeight="1" thickBot="1">
      <c r="B47" s="1290"/>
      <c r="C47" s="404" t="s">
        <v>892</v>
      </c>
      <c r="D47" s="405" t="s">
        <v>893</v>
      </c>
      <c r="E47" s="1229" t="s">
        <v>4373</v>
      </c>
      <c r="F47" s="1221"/>
      <c r="G47" s="1222"/>
      <c r="H47" s="1320" t="s">
        <v>1932</v>
      </c>
      <c r="I47" s="1221"/>
      <c r="J47" s="1222"/>
    </row>
    <row r="48" spans="2:10" ht="43" customHeight="1" thickBot="1">
      <c r="B48" s="1291"/>
      <c r="C48" s="446" t="s">
        <v>120</v>
      </c>
      <c r="D48" s="447" t="s">
        <v>894</v>
      </c>
      <c r="E48" s="1324" t="s">
        <v>917</v>
      </c>
      <c r="F48" s="1311"/>
      <c r="G48" s="1312"/>
      <c r="H48" s="1324" t="s">
        <v>1449</v>
      </c>
      <c r="I48" s="1311"/>
      <c r="J48" s="1312"/>
    </row>
    <row r="49" spans="2:16" ht="24" thickBot="1">
      <c r="B49" s="448"/>
      <c r="C49" s="1285"/>
      <c r="D49" s="1286"/>
      <c r="E49" s="1287"/>
      <c r="F49" s="1287"/>
      <c r="G49" s="1287"/>
      <c r="H49" s="1287"/>
      <c r="I49" s="1287"/>
      <c r="J49" s="1288"/>
    </row>
    <row r="50" spans="2:16" ht="43" hidden="1" customHeight="1" thickBot="1">
      <c r="B50" s="1351" t="s">
        <v>1331</v>
      </c>
      <c r="C50" s="449" t="s">
        <v>728</v>
      </c>
      <c r="D50" s="450" t="s">
        <v>1217</v>
      </c>
      <c r="E50" s="1231" t="s">
        <v>1446</v>
      </c>
      <c r="F50" s="1232"/>
      <c r="G50" s="1233"/>
      <c r="H50" s="1321" t="s">
        <v>1932</v>
      </c>
      <c r="I50" s="1322"/>
      <c r="J50" s="1323"/>
    </row>
    <row r="51" spans="2:16" ht="43" hidden="1" customHeight="1" thickBot="1">
      <c r="B51" s="1352"/>
      <c r="C51" s="451" t="s">
        <v>850</v>
      </c>
      <c r="D51" s="436" t="s">
        <v>889</v>
      </c>
      <c r="E51" s="1313" t="s">
        <v>1442</v>
      </c>
      <c r="F51" s="1314"/>
      <c r="G51" s="1315"/>
      <c r="H51" s="1325" t="s">
        <v>1932</v>
      </c>
      <c r="I51" s="1326"/>
      <c r="J51" s="1327"/>
    </row>
    <row r="52" spans="2:16" ht="43" hidden="1" customHeight="1" thickBot="1">
      <c r="B52" s="1352"/>
      <c r="C52" s="452" t="s">
        <v>895</v>
      </c>
      <c r="D52" s="417" t="s">
        <v>744</v>
      </c>
      <c r="E52" s="1220" t="s">
        <v>1445</v>
      </c>
      <c r="F52" s="1221"/>
      <c r="G52" s="1222"/>
      <c r="H52" s="1220" t="s">
        <v>1448</v>
      </c>
      <c r="I52" s="1221"/>
      <c r="J52" s="1222"/>
    </row>
    <row r="53" spans="2:16" ht="43" hidden="1" customHeight="1" thickBot="1">
      <c r="B53" s="1291"/>
      <c r="C53" s="453" t="s">
        <v>714</v>
      </c>
      <c r="D53" s="454" t="s">
        <v>918</v>
      </c>
      <c r="E53" s="1316" t="s">
        <v>1445</v>
      </c>
      <c r="F53" s="1317"/>
      <c r="G53" s="1318"/>
      <c r="H53" s="1223" t="s">
        <v>1449</v>
      </c>
      <c r="I53" s="1224"/>
      <c r="J53" s="1225"/>
    </row>
    <row r="54" spans="2:16" ht="24" hidden="1" thickBot="1">
      <c r="B54" s="448"/>
      <c r="C54" s="1285"/>
      <c r="D54" s="1286"/>
      <c r="E54" s="1287"/>
      <c r="F54" s="1287"/>
      <c r="G54" s="1287"/>
      <c r="H54" s="1287"/>
      <c r="I54" s="1287"/>
      <c r="J54" s="1288"/>
    </row>
    <row r="55" spans="2:16" ht="43" customHeight="1" thickBot="1">
      <c r="B55" s="1289" t="s">
        <v>2045</v>
      </c>
      <c r="C55" s="402" t="s">
        <v>2044</v>
      </c>
      <c r="D55" s="403" t="s">
        <v>4225</v>
      </c>
      <c r="E55" s="1226" t="s">
        <v>4231</v>
      </c>
      <c r="F55" s="1292"/>
      <c r="G55" s="1293"/>
      <c r="H55" s="1294" t="s">
        <v>4232</v>
      </c>
      <c r="I55" s="1292"/>
      <c r="J55" s="1295"/>
    </row>
    <row r="56" spans="2:16" ht="43" customHeight="1" thickBot="1">
      <c r="B56" s="1290"/>
      <c r="C56" s="404" t="s">
        <v>4241</v>
      </c>
      <c r="D56" s="405" t="s">
        <v>4226</v>
      </c>
      <c r="E56" s="1229" t="s">
        <v>4233</v>
      </c>
      <c r="F56" s="1234"/>
      <c r="G56" s="1235"/>
      <c r="H56" s="1220" t="s">
        <v>4234</v>
      </c>
      <c r="I56" s="1234"/>
      <c r="J56" s="1296"/>
    </row>
    <row r="57" spans="2:16" ht="43" customHeight="1" thickBot="1">
      <c r="B57" s="1291"/>
      <c r="C57" s="420" t="s">
        <v>1640</v>
      </c>
      <c r="D57" s="421" t="s">
        <v>4227</v>
      </c>
      <c r="E57" s="1236" t="s">
        <v>4235</v>
      </c>
      <c r="F57" s="1297"/>
      <c r="G57" s="1298"/>
      <c r="H57" s="1299" t="s">
        <v>4236</v>
      </c>
      <c r="I57" s="1297"/>
      <c r="J57" s="1300"/>
    </row>
    <row r="59" spans="2:16" ht="17" thickBot="1"/>
    <row r="60" spans="2:16" ht="41" thickBot="1">
      <c r="C60" s="1301" t="s">
        <v>36</v>
      </c>
      <c r="D60" s="1302"/>
      <c r="E60" s="1302"/>
      <c r="F60" s="1302"/>
      <c r="G60" s="1302"/>
      <c r="H60" s="1302"/>
      <c r="I60" s="1302"/>
      <c r="J60" s="1303"/>
      <c r="K60" s="455"/>
      <c r="L60" s="455"/>
      <c r="M60" s="455"/>
      <c r="N60" s="455"/>
      <c r="O60" s="455"/>
      <c r="P60" s="456"/>
    </row>
    <row r="61" spans="2:16" ht="46" customHeight="1" thickBot="1">
      <c r="C61" s="1304" t="s">
        <v>4374</v>
      </c>
      <c r="D61" s="1305"/>
      <c r="E61" s="1305"/>
      <c r="F61" s="1305"/>
      <c r="G61" s="1305"/>
      <c r="H61" s="1305"/>
      <c r="I61" s="1305"/>
      <c r="J61" s="1306"/>
      <c r="K61" s="457"/>
      <c r="L61" s="457"/>
      <c r="M61" s="457"/>
      <c r="N61" s="457"/>
      <c r="O61" s="457"/>
      <c r="P61" s="456"/>
    </row>
    <row r="62" spans="2:16" ht="178" customHeight="1" thickBot="1">
      <c r="C62" s="1307" t="s">
        <v>4443</v>
      </c>
      <c r="D62" s="1308"/>
      <c r="E62" s="1308"/>
      <c r="F62" s="1308"/>
      <c r="G62" s="1308"/>
      <c r="H62" s="1308"/>
      <c r="I62" s="1308"/>
      <c r="J62" s="1309"/>
      <c r="K62" s="457"/>
      <c r="L62" s="457"/>
      <c r="M62" s="457"/>
      <c r="N62" s="457"/>
      <c r="O62" s="457"/>
      <c r="P62" s="456"/>
    </row>
    <row r="63" spans="2:16">
      <c r="K63" s="456"/>
      <c r="L63" s="456"/>
      <c r="M63" s="456"/>
      <c r="N63" s="456"/>
      <c r="O63" s="456"/>
      <c r="P63" s="456"/>
    </row>
    <row r="64" spans="2:16">
      <c r="K64" s="456"/>
      <c r="L64" s="456"/>
      <c r="M64" s="456"/>
      <c r="N64" s="456"/>
      <c r="O64" s="456"/>
      <c r="P64" s="456"/>
    </row>
    <row r="65" spans="11:16">
      <c r="K65" s="456"/>
      <c r="L65" s="456"/>
      <c r="M65" s="456"/>
      <c r="N65" s="456"/>
      <c r="O65" s="456"/>
      <c r="P65" s="456"/>
    </row>
    <row r="66" spans="11:16">
      <c r="K66" s="456"/>
      <c r="L66" s="456"/>
      <c r="M66" s="456"/>
      <c r="N66" s="456"/>
      <c r="O66" s="456"/>
      <c r="P66" s="456"/>
    </row>
    <row r="67" spans="11:16">
      <c r="K67" s="456"/>
      <c r="L67" s="456"/>
      <c r="M67" s="456"/>
      <c r="N67" s="456"/>
      <c r="O67" s="456"/>
      <c r="P67" s="456"/>
    </row>
    <row r="68" spans="11:16">
      <c r="K68" s="456"/>
      <c r="L68" s="456"/>
      <c r="M68" s="456"/>
      <c r="N68" s="456"/>
      <c r="O68" s="456"/>
      <c r="P68" s="456"/>
    </row>
    <row r="69" spans="11:16">
      <c r="K69" s="456"/>
      <c r="L69" s="456"/>
      <c r="M69" s="456"/>
      <c r="N69" s="456"/>
      <c r="O69" s="456"/>
      <c r="P69" s="456"/>
    </row>
  </sheetData>
  <sheetProtection algorithmName="SHA-512" hashValue="1JydklPwf0UgWQawfd4GWCS3hPIEyV8fOCbdDbXi8HI0HIAfslQfkFQiVa1x6Wp8YiIJ4AHnTgF0SVv/pIhmKg==" saltValue="d/VnsUIWMdnY/dmwpsNgbw==" spinCount="100000" sheet="1" objects="1" scenarios="1"/>
  <mergeCells count="66">
    <mergeCell ref="B2:D2"/>
    <mergeCell ref="E2:P2"/>
    <mergeCell ref="C28:D28"/>
    <mergeCell ref="C4:D4"/>
    <mergeCell ref="E4:I4"/>
    <mergeCell ref="J4:N4"/>
    <mergeCell ref="B6:B15"/>
    <mergeCell ref="B17:B19"/>
    <mergeCell ref="B50:B53"/>
    <mergeCell ref="B46:B48"/>
    <mergeCell ref="B35:B44"/>
    <mergeCell ref="B21:B24"/>
    <mergeCell ref="B4:B5"/>
    <mergeCell ref="B33:B34"/>
    <mergeCell ref="B26:B29"/>
    <mergeCell ref="E43:G43"/>
    <mergeCell ref="E44:G44"/>
    <mergeCell ref="C45:J45"/>
    <mergeCell ref="H41:J41"/>
    <mergeCell ref="E38:G38"/>
    <mergeCell ref="E39:G39"/>
    <mergeCell ref="E40:G40"/>
    <mergeCell ref="E41:G41"/>
    <mergeCell ref="H40:J40"/>
    <mergeCell ref="E42:G42"/>
    <mergeCell ref="H38:J38"/>
    <mergeCell ref="H39:J39"/>
    <mergeCell ref="C33:D33"/>
    <mergeCell ref="E34:G34"/>
    <mergeCell ref="H34:J34"/>
    <mergeCell ref="E33:J33"/>
    <mergeCell ref="E37:G37"/>
    <mergeCell ref="E35:G35"/>
    <mergeCell ref="E36:G36"/>
    <mergeCell ref="H35:J35"/>
    <mergeCell ref="H36:J36"/>
    <mergeCell ref="H37:J37"/>
    <mergeCell ref="E48:G48"/>
    <mergeCell ref="E50:G50"/>
    <mergeCell ref="E51:G51"/>
    <mergeCell ref="C49:J49"/>
    <mergeCell ref="H51:J51"/>
    <mergeCell ref="C60:J60"/>
    <mergeCell ref="C61:J61"/>
    <mergeCell ref="C62:J62"/>
    <mergeCell ref="H42:J42"/>
    <mergeCell ref="H43:J43"/>
    <mergeCell ref="H44:J44"/>
    <mergeCell ref="H46:J46"/>
    <mergeCell ref="H47:J47"/>
    <mergeCell ref="H50:J50"/>
    <mergeCell ref="H48:J48"/>
    <mergeCell ref="E52:G52"/>
    <mergeCell ref="E53:G53"/>
    <mergeCell ref="H52:J52"/>
    <mergeCell ref="H53:J53"/>
    <mergeCell ref="E46:G46"/>
    <mergeCell ref="E47:G47"/>
    <mergeCell ref="C54:J54"/>
    <mergeCell ref="B55:B57"/>
    <mergeCell ref="E55:G55"/>
    <mergeCell ref="H55:J55"/>
    <mergeCell ref="E56:G56"/>
    <mergeCell ref="H56:J56"/>
    <mergeCell ref="E57:G57"/>
    <mergeCell ref="H57:J57"/>
  </mergeCells>
  <dataValidations count="1">
    <dataValidation type="whole" allowBlank="1" showInputMessage="1" showErrorMessage="1" sqref="K32:O32 J29:N30 J9:N10 J19:N20 E6:E25 J14:N17 F20:H25 J23:N27 O7:O30 F6:I19 E30:H30 I21:I24" xr:uid="{9B1B75CE-00A8-A444-A6EB-71BE314D2DCD}">
      <formula1>0</formula1>
      <formula2>200</formula2>
    </dataValidation>
  </dataValidations>
  <pageMargins left="0.7" right="0.7" top="0.75" bottom="0.75" header="0.3" footer="0.3"/>
  <pageSetup paperSize="9" scale="22" fitToHeight="0" orientation="portrait" horizontalDpi="0" verticalDpi="0"/>
  <ignoredErrors>
    <ignoredError sqref="E7:I7 E20:I20 E15:I16 E14 I14 E13 I13 E11 G9:I9 G10:H10 G11:I12 E8 G8:I8 F6:I6 E18:I18 G17:I17 F19:I19 F21:I21"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39A39-944A-8648-AC37-FD978487E779}">
  <sheetPr codeName="Sheet2">
    <tabColor theme="5"/>
  </sheetPr>
  <dimension ref="A1:M395"/>
  <sheetViews>
    <sheetView showGridLines="0" zoomScaleNormal="100" workbookViewId="0">
      <selection activeCell="B5" sqref="B5"/>
    </sheetView>
  </sheetViews>
  <sheetFormatPr baseColWidth="10" defaultColWidth="10.83203125" defaultRowHeight="16"/>
  <cols>
    <col min="1" max="1" width="4" style="83" customWidth="1"/>
    <col min="2" max="2" width="78.1640625" style="83" customWidth="1"/>
    <col min="3" max="3" width="19.5" style="83" customWidth="1"/>
    <col min="4" max="4" width="13.5" style="83" customWidth="1"/>
    <col min="5" max="5" width="1.83203125" style="83" customWidth="1"/>
    <col min="6" max="6" width="81.33203125" style="83" customWidth="1"/>
    <col min="7" max="7" width="10.83203125" style="83" customWidth="1"/>
    <col min="8" max="8" width="20.1640625" style="83" customWidth="1"/>
    <col min="9" max="9" width="4.5" style="83" customWidth="1"/>
    <col min="10" max="10" width="2.33203125" style="83" customWidth="1"/>
    <col min="11" max="11" width="10.83203125" style="83" customWidth="1"/>
    <col min="12" max="16384" width="10.83203125" style="83"/>
  </cols>
  <sheetData>
    <row r="1" spans="2:9" ht="21" customHeight="1" thickBot="1"/>
    <row r="2" spans="2:9" ht="29" customHeight="1">
      <c r="B2" s="1373" t="s">
        <v>41</v>
      </c>
      <c r="C2" s="1374"/>
      <c r="D2" s="1375"/>
      <c r="F2" s="1376" t="s">
        <v>113</v>
      </c>
      <c r="G2" s="1377"/>
      <c r="H2" s="1377"/>
      <c r="I2" s="1378"/>
    </row>
    <row r="3" spans="2:9" ht="47" customHeight="1" thickBot="1">
      <c r="B3" s="1382" t="s">
        <v>4330</v>
      </c>
      <c r="C3" s="1383"/>
      <c r="D3" s="1384"/>
      <c r="F3" s="509"/>
      <c r="G3" s="510"/>
      <c r="H3" s="510"/>
      <c r="I3" s="511"/>
    </row>
    <row r="4" spans="2:9" ht="23" customHeight="1">
      <c r="B4" s="504" t="s">
        <v>1418</v>
      </c>
      <c r="C4" s="151">
        <v>2020</v>
      </c>
      <c r="D4" s="84" t="s">
        <v>42</v>
      </c>
      <c r="F4" s="1379" t="s">
        <v>4377</v>
      </c>
      <c r="G4" s="1380"/>
      <c r="H4" s="1380"/>
      <c r="I4" s="1381"/>
    </row>
    <row r="5" spans="2:9" s="85" customFormat="1" ht="24" customHeight="1">
      <c r="B5" s="86" t="s">
        <v>676</v>
      </c>
      <c r="C5" s="506">
        <v>5</v>
      </c>
      <c r="D5" s="507" t="s">
        <v>42</v>
      </c>
      <c r="F5" s="1364" t="s">
        <v>4378</v>
      </c>
      <c r="G5" s="1365"/>
      <c r="H5" s="1365"/>
      <c r="I5" s="1366"/>
    </row>
    <row r="6" spans="2:9" s="85" customFormat="1" ht="24" customHeight="1">
      <c r="B6" s="505" t="s">
        <v>677</v>
      </c>
      <c r="C6" s="82" t="s">
        <v>302</v>
      </c>
      <c r="D6" s="87"/>
      <c r="F6" s="1364"/>
      <c r="G6" s="1365"/>
      <c r="H6" s="1365"/>
      <c r="I6" s="1366"/>
    </row>
    <row r="7" spans="2:9" s="85" customFormat="1" ht="24" customHeight="1">
      <c r="B7" s="505" t="s">
        <v>1487</v>
      </c>
      <c r="C7" s="82" t="s">
        <v>790</v>
      </c>
      <c r="D7" s="87"/>
      <c r="F7" s="1364" t="s">
        <v>853</v>
      </c>
      <c r="G7" s="1365"/>
      <c r="H7" s="1365"/>
      <c r="I7" s="1366"/>
    </row>
    <row r="8" spans="2:9" s="85" customFormat="1" ht="24" customHeight="1">
      <c r="B8" s="505" t="s">
        <v>1488</v>
      </c>
      <c r="C8" s="82" t="s">
        <v>1495</v>
      </c>
      <c r="D8" s="87"/>
      <c r="F8" s="1364" t="s">
        <v>1489</v>
      </c>
      <c r="G8" s="1365"/>
      <c r="H8" s="1365"/>
      <c r="I8" s="1366"/>
    </row>
    <row r="9" spans="2:9" s="85" customFormat="1" ht="24" customHeight="1">
      <c r="B9" s="86" t="s">
        <v>786</v>
      </c>
      <c r="C9" s="508" t="s">
        <v>848</v>
      </c>
      <c r="D9" s="87"/>
      <c r="F9" s="1364"/>
      <c r="G9" s="1365"/>
      <c r="H9" s="1365"/>
      <c r="I9" s="1366"/>
    </row>
    <row r="10" spans="2:9" s="85" customFormat="1" ht="24" customHeight="1">
      <c r="B10" s="86" t="s">
        <v>793</v>
      </c>
      <c r="C10" s="506" t="s">
        <v>848</v>
      </c>
      <c r="D10" s="87"/>
      <c r="F10" s="1364" t="s">
        <v>847</v>
      </c>
      <c r="G10" s="1365"/>
      <c r="H10" s="1365"/>
      <c r="I10" s="1366"/>
    </row>
    <row r="11" spans="2:9" s="85" customFormat="1" ht="44" customHeight="1">
      <c r="B11" s="86" t="s">
        <v>787</v>
      </c>
      <c r="C11" s="506" t="s">
        <v>848</v>
      </c>
      <c r="D11" s="87"/>
      <c r="F11" s="1364" t="s">
        <v>4379</v>
      </c>
      <c r="G11" s="1365"/>
      <c r="H11" s="1365"/>
      <c r="I11" s="1366"/>
    </row>
    <row r="12" spans="2:9" s="85" customFormat="1" ht="41" customHeight="1">
      <c r="B12" s="86" t="s">
        <v>1314</v>
      </c>
      <c r="C12" s="506" t="s">
        <v>848</v>
      </c>
      <c r="D12" s="87"/>
      <c r="F12" s="1364" t="s">
        <v>4380</v>
      </c>
      <c r="G12" s="1365"/>
      <c r="H12" s="1365"/>
      <c r="I12" s="1366"/>
    </row>
    <row r="13" spans="2:9" s="85" customFormat="1" ht="27" customHeight="1">
      <c r="B13" s="86" t="s">
        <v>1406</v>
      </c>
      <c r="C13" s="506" t="s">
        <v>849</v>
      </c>
      <c r="D13" s="87"/>
      <c r="F13" s="1364" t="s">
        <v>1672</v>
      </c>
      <c r="G13" s="1365"/>
      <c r="H13" s="1365"/>
      <c r="I13" s="1366"/>
    </row>
    <row r="14" spans="2:9" s="85" customFormat="1" ht="14" customHeight="1">
      <c r="B14" s="86"/>
      <c r="C14" s="1177"/>
      <c r="D14" s="87"/>
      <c r="F14" s="1364"/>
      <c r="G14" s="1365"/>
      <c r="H14" s="1365"/>
      <c r="I14" s="1366"/>
    </row>
    <row r="15" spans="2:9" s="85" customFormat="1" ht="24" customHeight="1">
      <c r="B15" s="218" t="s">
        <v>1667</v>
      </c>
      <c r="C15" s="82"/>
      <c r="D15" s="87"/>
      <c r="F15" s="1364"/>
      <c r="G15" s="1365"/>
      <c r="H15" s="1365"/>
      <c r="I15" s="1366"/>
    </row>
    <row r="16" spans="2:9" s="85" customFormat="1" ht="24" customHeight="1">
      <c r="B16" s="86" t="s">
        <v>4321</v>
      </c>
      <c r="C16" s="506">
        <v>0.12</v>
      </c>
      <c r="D16" s="507" t="s">
        <v>4319</v>
      </c>
      <c r="F16" s="487" t="s">
        <v>4320</v>
      </c>
      <c r="G16" s="488"/>
      <c r="H16" s="488"/>
      <c r="I16" s="489"/>
    </row>
    <row r="17" spans="2:13" s="85" customFormat="1" ht="46" customHeight="1">
      <c r="B17" s="86" t="s">
        <v>1729</v>
      </c>
      <c r="C17" s="528">
        <v>0.4</v>
      </c>
      <c r="D17" s="507" t="s">
        <v>674</v>
      </c>
      <c r="F17" s="1364" t="s">
        <v>1730</v>
      </c>
      <c r="G17" s="1365"/>
      <c r="H17" s="1365"/>
      <c r="I17" s="1366"/>
      <c r="M17" s="221"/>
    </row>
    <row r="18" spans="2:13" s="85" customFormat="1" ht="24" customHeight="1">
      <c r="B18" s="86" t="s">
        <v>1304</v>
      </c>
      <c r="C18" s="528">
        <v>0.05</v>
      </c>
      <c r="D18" s="507" t="s">
        <v>674</v>
      </c>
      <c r="F18" s="1364"/>
      <c r="G18" s="1365"/>
      <c r="H18" s="1365"/>
      <c r="I18" s="1366"/>
      <c r="M18" s="221"/>
    </row>
    <row r="19" spans="2:13" s="85" customFormat="1" ht="24" customHeight="1">
      <c r="B19" s="88" t="s">
        <v>4444</v>
      </c>
      <c r="C19" s="528">
        <v>0.25</v>
      </c>
      <c r="D19" s="529" t="s">
        <v>674</v>
      </c>
      <c r="F19" s="1364"/>
      <c r="G19" s="1365"/>
      <c r="H19" s="1365"/>
      <c r="I19" s="1366"/>
    </row>
    <row r="20" spans="2:13" s="85" customFormat="1" ht="24" customHeight="1">
      <c r="B20" s="88" t="s">
        <v>1727</v>
      </c>
      <c r="C20" s="528">
        <v>0.3</v>
      </c>
      <c r="D20" s="529" t="s">
        <v>674</v>
      </c>
      <c r="F20" s="1364"/>
      <c r="G20" s="1365"/>
      <c r="H20" s="1365"/>
      <c r="I20" s="1366"/>
    </row>
    <row r="21" spans="2:13" s="85" customFormat="1" ht="24" customHeight="1">
      <c r="B21" s="88" t="s">
        <v>1728</v>
      </c>
      <c r="C21" s="539" t="str">
        <f>IF((C17+C18+C19+C20)=100%,"COMPLEET","ERROR")</f>
        <v>COMPLEET</v>
      </c>
      <c r="D21" s="89"/>
      <c r="F21" s="1364" t="s">
        <v>4313</v>
      </c>
      <c r="G21" s="1365"/>
      <c r="H21" s="1365"/>
      <c r="I21" s="1366"/>
    </row>
    <row r="22" spans="2:13" s="85" customFormat="1" ht="15" customHeight="1">
      <c r="B22" s="88"/>
      <c r="C22" s="539"/>
      <c r="D22" s="89"/>
      <c r="F22" s="1364"/>
      <c r="G22" s="1365"/>
      <c r="H22" s="1365"/>
      <c r="I22" s="1366"/>
    </row>
    <row r="23" spans="2:13" s="85" customFormat="1" ht="24" customHeight="1">
      <c r="B23" s="218" t="s">
        <v>1668</v>
      </c>
      <c r="C23" s="219"/>
      <c r="D23" s="89"/>
      <c r="F23" s="1364" t="s">
        <v>4381</v>
      </c>
      <c r="G23" s="1365"/>
      <c r="H23" s="1365"/>
      <c r="I23" s="1366"/>
    </row>
    <row r="24" spans="2:13" s="85" customFormat="1" ht="24" customHeight="1">
      <c r="B24" s="86" t="s">
        <v>4375</v>
      </c>
      <c r="C24" s="530" t="s">
        <v>849</v>
      </c>
      <c r="D24" s="529"/>
      <c r="F24" s="1364"/>
      <c r="G24" s="1365"/>
      <c r="H24" s="1365"/>
      <c r="I24" s="1366"/>
    </row>
    <row r="25" spans="2:13" s="85" customFormat="1" ht="38" customHeight="1">
      <c r="B25" s="86" t="s">
        <v>1673</v>
      </c>
      <c r="C25" s="506">
        <v>0</v>
      </c>
      <c r="D25" s="529" t="s">
        <v>1626</v>
      </c>
      <c r="F25" s="1364" t="s">
        <v>1930</v>
      </c>
      <c r="G25" s="1365"/>
      <c r="H25" s="1365"/>
      <c r="I25" s="1366"/>
    </row>
    <row r="26" spans="2:13" s="85" customFormat="1" ht="41" customHeight="1">
      <c r="B26" s="86" t="s">
        <v>1674</v>
      </c>
      <c r="C26" s="538">
        <f>IF(('Output TCO'!Q126+'Output TCO'!Q127)-C25&gt;=0,('Output TCO'!Q126+'Output TCO'!Q127)-C25,"ERROR")</f>
        <v>0</v>
      </c>
      <c r="D26" s="529" t="s">
        <v>1626</v>
      </c>
      <c r="F26" s="1364" t="s">
        <v>4384</v>
      </c>
      <c r="G26" s="1365"/>
      <c r="H26" s="1365"/>
      <c r="I26" s="1366"/>
    </row>
    <row r="27" spans="2:13" s="85" customFormat="1" ht="44" customHeight="1">
      <c r="B27" s="505" t="s">
        <v>1978</v>
      </c>
      <c r="C27" s="394" t="s">
        <v>848</v>
      </c>
      <c r="D27" s="89"/>
      <c r="F27" s="1364" t="s">
        <v>4382</v>
      </c>
      <c r="G27" s="1365"/>
      <c r="H27" s="1365"/>
      <c r="I27" s="1366"/>
    </row>
    <row r="28" spans="2:13" s="85" customFormat="1" ht="44" customHeight="1">
      <c r="B28" s="512" t="s">
        <v>1970</v>
      </c>
      <c r="C28" s="219" t="s">
        <v>849</v>
      </c>
      <c r="D28" s="89"/>
      <c r="F28" s="1364" t="s">
        <v>4383</v>
      </c>
      <c r="G28" s="1365"/>
      <c r="H28" s="1365"/>
      <c r="I28" s="1366"/>
    </row>
    <row r="29" spans="2:13" s="85" customFormat="1" ht="24" customHeight="1">
      <c r="B29" s="512" t="s">
        <v>1971</v>
      </c>
      <c r="C29" s="82"/>
      <c r="D29" s="89" t="s">
        <v>1626</v>
      </c>
      <c r="F29" s="1364"/>
      <c r="G29" s="1365"/>
      <c r="H29" s="1365"/>
      <c r="I29" s="1366"/>
    </row>
    <row r="30" spans="2:13" s="85" customFormat="1" ht="15" customHeight="1">
      <c r="B30" s="86"/>
      <c r="C30" s="1176"/>
      <c r="D30" s="87"/>
      <c r="F30" s="1364" t="s">
        <v>1670</v>
      </c>
      <c r="G30" s="1365"/>
      <c r="H30" s="1365"/>
      <c r="I30" s="1366"/>
    </row>
    <row r="31" spans="2:13" s="85" customFormat="1" ht="23" customHeight="1">
      <c r="B31" s="218" t="s">
        <v>1946</v>
      </c>
      <c r="C31" s="395"/>
      <c r="D31" s="87"/>
      <c r="F31" s="1364"/>
      <c r="G31" s="1365"/>
      <c r="H31" s="1365"/>
      <c r="I31" s="1366"/>
    </row>
    <row r="32" spans="2:13" s="85" customFormat="1" ht="23" customHeight="1">
      <c r="B32" s="86" t="s">
        <v>1947</v>
      </c>
      <c r="C32" s="531" t="s">
        <v>849</v>
      </c>
      <c r="D32" s="507"/>
      <c r="F32" s="1364"/>
      <c r="G32" s="1365"/>
      <c r="H32" s="1365"/>
      <c r="I32" s="1366"/>
    </row>
    <row r="33" spans="1:13" s="85" customFormat="1" ht="24" customHeight="1">
      <c r="B33" s="86" t="s">
        <v>1939</v>
      </c>
      <c r="C33" s="532">
        <v>1</v>
      </c>
      <c r="D33" s="507" t="s">
        <v>1940</v>
      </c>
      <c r="F33" s="1364" t="s">
        <v>4385</v>
      </c>
      <c r="G33" s="1365"/>
      <c r="H33" s="1365"/>
      <c r="I33" s="1366"/>
    </row>
    <row r="34" spans="1:13" s="85" customFormat="1" ht="24" customHeight="1">
      <c r="B34" s="220" t="s">
        <v>1941</v>
      </c>
      <c r="C34" s="532">
        <v>0</v>
      </c>
      <c r="D34" s="507" t="s">
        <v>1942</v>
      </c>
      <c r="F34" s="1364" t="s">
        <v>1949</v>
      </c>
      <c r="G34" s="1365"/>
      <c r="H34" s="1365"/>
      <c r="I34" s="1366"/>
    </row>
    <row r="35" spans="1:13" s="85" customFormat="1" ht="24" customHeight="1">
      <c r="B35" s="220" t="s">
        <v>1950</v>
      </c>
      <c r="C35" s="532">
        <v>260</v>
      </c>
      <c r="D35" s="507" t="s">
        <v>1943</v>
      </c>
      <c r="F35" s="1364"/>
      <c r="G35" s="1365"/>
      <c r="H35" s="1365"/>
      <c r="I35" s="1366"/>
    </row>
    <row r="36" spans="1:13" s="85" customFormat="1" ht="15" customHeight="1">
      <c r="B36" s="86"/>
      <c r="C36" s="1176"/>
      <c r="D36" s="87"/>
      <c r="F36" s="1364"/>
      <c r="G36" s="1365"/>
      <c r="H36" s="1365"/>
      <c r="I36" s="1366"/>
    </row>
    <row r="37" spans="1:13" s="85" customFormat="1" ht="24" customHeight="1">
      <c r="B37" s="505" t="s">
        <v>1935</v>
      </c>
      <c r="C37" s="81" t="s">
        <v>849</v>
      </c>
      <c r="D37" s="87"/>
      <c r="F37" s="1364"/>
      <c r="G37" s="1365"/>
      <c r="H37" s="1365"/>
      <c r="I37" s="1366"/>
    </row>
    <row r="38" spans="1:13" s="85" customFormat="1" ht="24" customHeight="1">
      <c r="B38" s="505" t="s">
        <v>1936</v>
      </c>
      <c r="C38" s="81"/>
      <c r="D38" s="87" t="s">
        <v>674</v>
      </c>
      <c r="F38" s="1364" t="s">
        <v>1419</v>
      </c>
      <c r="G38" s="1365"/>
      <c r="H38" s="1365"/>
      <c r="I38" s="1366"/>
    </row>
    <row r="39" spans="1:13" s="85" customFormat="1" ht="24" customHeight="1">
      <c r="B39" s="505" t="s">
        <v>1937</v>
      </c>
      <c r="C39" s="81"/>
      <c r="D39" s="87" t="s">
        <v>674</v>
      </c>
      <c r="F39" s="1364"/>
      <c r="G39" s="1365"/>
      <c r="H39" s="1365"/>
      <c r="I39" s="1366"/>
    </row>
    <row r="40" spans="1:13" s="85" customFormat="1" ht="14" customHeight="1">
      <c r="B40" s="86"/>
      <c r="C40" s="1175"/>
      <c r="D40" s="87"/>
      <c r="F40" s="1364"/>
      <c r="G40" s="1365"/>
      <c r="H40" s="1365"/>
      <c r="I40" s="1366"/>
    </row>
    <row r="41" spans="1:13" s="85" customFormat="1" ht="24" customHeight="1" thickBot="1">
      <c r="B41" s="90" t="s">
        <v>1938</v>
      </c>
      <c r="C41" s="1173">
        <v>0.04</v>
      </c>
      <c r="D41" s="1174"/>
      <c r="F41" s="1391" t="s">
        <v>4386</v>
      </c>
      <c r="G41" s="1392"/>
      <c r="H41" s="1392"/>
      <c r="I41" s="1393"/>
    </row>
    <row r="42" spans="1:13" s="85" customFormat="1" ht="24" customHeight="1" thickBot="1">
      <c r="B42" s="91"/>
      <c r="C42" s="92"/>
      <c r="D42" s="93"/>
      <c r="E42" s="94"/>
    </row>
    <row r="43" spans="1:13" ht="46" customHeight="1" thickBot="1">
      <c r="B43" s="1367" t="s">
        <v>44</v>
      </c>
      <c r="C43" s="1368"/>
      <c r="D43" s="1368"/>
      <c r="E43" s="1368"/>
      <c r="F43" s="1368"/>
      <c r="G43" s="1368"/>
      <c r="H43" s="1368"/>
      <c r="I43" s="1387"/>
      <c r="J43" s="495"/>
      <c r="K43" s="496"/>
    </row>
    <row r="44" spans="1:13" ht="69" customHeight="1" thickBot="1">
      <c r="A44" s="95"/>
      <c r="B44" s="1388" t="s">
        <v>696</v>
      </c>
      <c r="C44" s="1389"/>
      <c r="D44" s="1389"/>
      <c r="E44" s="1389"/>
      <c r="F44" s="1389"/>
      <c r="G44" s="1389"/>
      <c r="H44" s="1389"/>
      <c r="I44" s="1390"/>
      <c r="J44" s="497"/>
      <c r="K44" s="496"/>
      <c r="L44" s="95"/>
      <c r="M44" s="95"/>
    </row>
    <row r="45" spans="1:13" ht="24" customHeight="1" thickBot="1"/>
    <row r="46" spans="1:13" ht="39" customHeight="1" thickBot="1">
      <c r="B46" s="382" t="s">
        <v>1293</v>
      </c>
      <c r="C46" s="383"/>
      <c r="D46" s="384"/>
    </row>
    <row r="47" spans="1:13" ht="28">
      <c r="B47" s="365" t="s">
        <v>4291</v>
      </c>
      <c r="C47" s="363"/>
      <c r="D47" s="364"/>
    </row>
    <row r="48" spans="1:13" ht="24" customHeight="1">
      <c r="B48" s="106" t="s">
        <v>1297</v>
      </c>
      <c r="C48" s="366">
        <f>IF(C37="ja",$C$38,IF(looptijd=1,Rest_1,IF(looptijd=2,Rest_2,IF(looptijd=3,Rest_3,IF(looptijd=4,Rest_4,IF(looptijd=5,Rest_5,IF(looptijd=6,Rest_6,IF(looptijd=7,Rest_7,IF(looptijd=8,Rest_8,IF(looptijd=9,Rest_9,IF(looptijd=10,Rest_10,"")))))))))))</f>
        <v>0.3</v>
      </c>
      <c r="D48" s="108"/>
      <c r="F48" s="175"/>
    </row>
    <row r="49" spans="1:6" ht="24" customHeight="1">
      <c r="B49" s="106" t="s">
        <v>1290</v>
      </c>
      <c r="C49" s="366">
        <f>IF(C37="ja",$C$39,IF(looptijd=1,Rest_1,IF(looptijd=2,Rest_2,IF(looptijd=3,Rest_3,IF(looptijd=4,Rest_4,IF(looptijd=5,Rest_5,IF(looptijd=6,Rest_6,IF(looptijd=7,Rest_7,IF(looptijd=8,Rest_8,IF(looptijd=9,Rest_9,IF(looptijd=10,Rest_10,"")))))))))))</f>
        <v>0.3</v>
      </c>
      <c r="D49" s="108"/>
      <c r="F49" s="175"/>
    </row>
    <row r="50" spans="1:6" ht="24" customHeight="1">
      <c r="B50" s="106"/>
      <c r="C50" s="366"/>
      <c r="D50" s="108"/>
      <c r="F50" s="175"/>
    </row>
    <row r="51" spans="1:6" ht="24" customHeight="1">
      <c r="B51" s="367" t="s">
        <v>4290</v>
      </c>
      <c r="C51" s="366"/>
      <c r="D51" s="108"/>
      <c r="F51" s="175"/>
    </row>
    <row r="52" spans="1:6" ht="24" customHeight="1">
      <c r="B52" s="106" t="s">
        <v>4293</v>
      </c>
      <c r="C52" s="366">
        <f>Rest_perc</f>
        <v>0.3</v>
      </c>
      <c r="D52" s="108"/>
      <c r="F52" s="175"/>
    </row>
    <row r="53" spans="1:6" ht="24" customHeight="1">
      <c r="B53" s="106" t="s">
        <v>4292</v>
      </c>
      <c r="C53" s="366">
        <f>IF(looptijd=1,Rest_1_huisvuil,IF(looptijd=2,Rest_2_huisvuil,IF(looptijd=3,Rest_3_huisvuil,IF(looptijd=4,Rest_4_huisvuil,IF(looptijd=5,Rest_5_huisvuil,IF(looptijd=6,Rest_6_huisvuil,IF(looptijd=7,Rest_7_huisvuil,IF(looptijd=8,Rest_8_huisvuil,IF(looptijd=9,Rest_9_huisvuil,IF(looptijd=10,Rest_10_huisvuil,""))))))))))</f>
        <v>0.14953487812212207</v>
      </c>
      <c r="D53" s="108"/>
      <c r="F53" s="175"/>
    </row>
    <row r="54" spans="1:6" ht="24" customHeight="1" thickBot="1">
      <c r="B54" s="96" t="s">
        <v>4222</v>
      </c>
      <c r="C54" s="97">
        <f>IF(C37="ja",$C$38,IF(looptijd=1,Rest_1_veegwagen,IF(looptijd=2,Rest_2_veegwagen,IF(looptijd=3,Rest_3_veegwagen,IF(looptijd=4,Rest_4_veegwagen,IF(looptijd=5,Rest_5_veegwagen,IF(looptijd=6,Rest_6_veegwagen,IF(looptijd=7,Rest_7_veegwagen,IF(looptijd=8,Rest_8_veegwagen,IF(looptijd=9,Rest_9_veegwagen,IF(looptijd=10,Rest_10_veegwagen,"")))))))))))</f>
        <v>0.10259855680060186</v>
      </c>
      <c r="D54" s="98"/>
      <c r="F54" s="175"/>
    </row>
    <row r="55" spans="1:6" ht="24" customHeight="1"/>
    <row r="56" spans="1:6" ht="24" customHeight="1">
      <c r="B56" s="99" t="s">
        <v>56</v>
      </c>
    </row>
    <row r="57" spans="1:6" ht="24" customHeight="1">
      <c r="B57" s="100" t="s">
        <v>869</v>
      </c>
    </row>
    <row r="58" spans="1:6" ht="24" customHeight="1">
      <c r="B58" s="100" t="s">
        <v>1296</v>
      </c>
    </row>
    <row r="59" spans="1:6" ht="24" customHeight="1">
      <c r="A59" s="99"/>
      <c r="B59" s="100" t="s">
        <v>4387</v>
      </c>
    </row>
    <row r="60" spans="1:6" ht="24" customHeight="1">
      <c r="B60" s="112" t="s">
        <v>4388</v>
      </c>
    </row>
    <row r="61" spans="1:6" ht="24" customHeight="1">
      <c r="B61" s="112" t="s">
        <v>1300</v>
      </c>
    </row>
    <row r="62" spans="1:6" ht="24" customHeight="1">
      <c r="B62" s="112" t="s">
        <v>1374</v>
      </c>
    </row>
    <row r="63" spans="1:6" ht="24" customHeight="1">
      <c r="B63" s="100" t="s">
        <v>4389</v>
      </c>
    </row>
    <row r="64" spans="1:6" ht="24" customHeight="1">
      <c r="B64" s="100" t="s">
        <v>1303</v>
      </c>
    </row>
    <row r="65" spans="2:4" ht="24" customHeight="1">
      <c r="B65" s="100" t="s">
        <v>1302</v>
      </c>
    </row>
    <row r="66" spans="2:4" ht="24" customHeight="1">
      <c r="B66" s="100" t="s">
        <v>870</v>
      </c>
    </row>
    <row r="67" spans="2:4" ht="24" customHeight="1">
      <c r="B67" s="100" t="s">
        <v>4390</v>
      </c>
    </row>
    <row r="68" spans="2:4" ht="24" customHeight="1">
      <c r="B68" s="100" t="s">
        <v>4391</v>
      </c>
    </row>
    <row r="69" spans="2:4" ht="24" customHeight="1">
      <c r="B69" s="100" t="s">
        <v>4300</v>
      </c>
    </row>
    <row r="70" spans="2:4" ht="24" customHeight="1">
      <c r="B70" s="100" t="s">
        <v>4299</v>
      </c>
    </row>
    <row r="71" spans="2:4" ht="24" customHeight="1">
      <c r="B71" s="100" t="s">
        <v>4303</v>
      </c>
    </row>
    <row r="72" spans="2:4" ht="24" customHeight="1">
      <c r="B72" s="100"/>
    </row>
    <row r="73" spans="2:4" ht="24" customHeight="1">
      <c r="B73" s="101" t="s">
        <v>45</v>
      </c>
      <c r="C73" s="100"/>
    </row>
    <row r="74" spans="2:4" ht="24" customHeight="1">
      <c r="B74" s="100" t="s">
        <v>46</v>
      </c>
      <c r="C74" s="177" t="s">
        <v>47</v>
      </c>
    </row>
    <row r="75" spans="2:4" ht="24" customHeight="1">
      <c r="B75" s="174" t="s">
        <v>1298</v>
      </c>
      <c r="C75" s="177" t="s">
        <v>1299</v>
      </c>
    </row>
    <row r="76" spans="2:4" ht="24" customHeight="1">
      <c r="B76" s="174" t="s">
        <v>1301</v>
      </c>
      <c r="C76" s="177"/>
    </row>
    <row r="77" spans="2:4" ht="24" customHeight="1">
      <c r="B77" s="174" t="s">
        <v>4294</v>
      </c>
      <c r="C77" s="177"/>
    </row>
    <row r="78" spans="2:4" ht="24" customHeight="1" thickBot="1"/>
    <row r="79" spans="2:4" ht="39" customHeight="1" thickBot="1">
      <c r="B79" s="374" t="s">
        <v>196</v>
      </c>
      <c r="C79" s="375"/>
      <c r="D79" s="376"/>
    </row>
    <row r="80" spans="2:4" ht="24" customHeight="1" thickBot="1">
      <c r="B80" s="102" t="s">
        <v>48</v>
      </c>
      <c r="C80" s="379" t="s">
        <v>49</v>
      </c>
      <c r="D80" s="381"/>
    </row>
    <row r="81" spans="2:6" ht="24" customHeight="1">
      <c r="B81" s="104" t="s">
        <v>50</v>
      </c>
      <c r="C81" s="105">
        <f>Efac_benz_WTW</f>
        <v>2.74</v>
      </c>
      <c r="D81" s="103" t="s">
        <v>199</v>
      </c>
    </row>
    <row r="82" spans="2:6" ht="24" customHeight="1">
      <c r="B82" s="106" t="s">
        <v>51</v>
      </c>
      <c r="C82" s="107">
        <f>Efac_die_WTW</f>
        <v>3.23</v>
      </c>
      <c r="D82" s="108" t="s">
        <v>199</v>
      </c>
    </row>
    <row r="83" spans="2:6" ht="24" customHeight="1">
      <c r="B83" s="106" t="s">
        <v>52</v>
      </c>
      <c r="C83" s="109">
        <f>Efac_elek_mix_WTW</f>
        <v>0.41299999999999998</v>
      </c>
      <c r="D83" s="108" t="s">
        <v>201</v>
      </c>
    </row>
    <row r="84" spans="2:6" ht="24" customHeight="1">
      <c r="B84" s="106" t="s">
        <v>53</v>
      </c>
      <c r="C84" s="109">
        <f>Efac_elek_grijs_WTW</f>
        <v>0.64900000000000002</v>
      </c>
      <c r="D84" s="108" t="s">
        <v>201</v>
      </c>
    </row>
    <row r="85" spans="2:6" ht="24" customHeight="1">
      <c r="B85" s="106" t="s">
        <v>54</v>
      </c>
      <c r="C85" s="107">
        <f>Efac_elek_groen_WTW</f>
        <v>0</v>
      </c>
      <c r="D85" s="108" t="s">
        <v>201</v>
      </c>
    </row>
    <row r="86" spans="2:6" ht="24" customHeight="1">
      <c r="B86" s="106" t="s">
        <v>55</v>
      </c>
      <c r="C86" s="107">
        <f>Efac_elek_berekening_WTW</f>
        <v>0.41299999999999998</v>
      </c>
      <c r="D86" s="108" t="s">
        <v>201</v>
      </c>
    </row>
    <row r="87" spans="2:6" ht="24" customHeight="1">
      <c r="B87" s="106" t="s">
        <v>1490</v>
      </c>
      <c r="C87" s="107">
        <v>12</v>
      </c>
      <c r="D87" s="108" t="s">
        <v>1492</v>
      </c>
    </row>
    <row r="88" spans="2:6" ht="24" customHeight="1">
      <c r="B88" s="106" t="s">
        <v>1491</v>
      </c>
      <c r="C88" s="107">
        <v>0.84</v>
      </c>
      <c r="D88" s="108" t="s">
        <v>1492</v>
      </c>
    </row>
    <row r="89" spans="2:6" ht="24" customHeight="1">
      <c r="B89" s="106" t="s">
        <v>1496</v>
      </c>
      <c r="C89" s="107">
        <f>Efac_H2_berekening_WTW</f>
        <v>12</v>
      </c>
      <c r="D89" s="108" t="s">
        <v>1492</v>
      </c>
    </row>
    <row r="90" spans="2:6" ht="24" customHeight="1">
      <c r="B90" s="106" t="s">
        <v>783</v>
      </c>
      <c r="C90" s="107">
        <f>Efac_CNG_WTW</f>
        <v>2.7280000000000002</v>
      </c>
      <c r="D90" s="108" t="s">
        <v>1493</v>
      </c>
    </row>
    <row r="91" spans="2:6" ht="24" customHeight="1">
      <c r="B91" s="106" t="s">
        <v>784</v>
      </c>
      <c r="C91" s="107">
        <f>Efac_bio_CNG_WTW</f>
        <v>1.0389999999999999</v>
      </c>
      <c r="D91" s="108" t="s">
        <v>1493</v>
      </c>
    </row>
    <row r="92" spans="2:6" ht="24" customHeight="1" thickBot="1">
      <c r="B92" s="96" t="s">
        <v>785</v>
      </c>
      <c r="C92" s="110">
        <f>Efac_CNG_berekening_WTW</f>
        <v>2.7280000000000002</v>
      </c>
      <c r="D92" s="98" t="s">
        <v>1493</v>
      </c>
      <c r="F92" s="111"/>
    </row>
    <row r="93" spans="2:6" ht="24" customHeight="1">
      <c r="B93" s="99" t="s">
        <v>56</v>
      </c>
    </row>
    <row r="94" spans="2:6" ht="24" customHeight="1">
      <c r="B94" s="112" t="s">
        <v>57</v>
      </c>
    </row>
    <row r="95" spans="2:6" ht="24" customHeight="1">
      <c r="B95" s="112" t="s">
        <v>58</v>
      </c>
    </row>
    <row r="96" spans="2:6" ht="24" customHeight="1">
      <c r="B96" s="112" t="s">
        <v>4392</v>
      </c>
    </row>
    <row r="97" spans="2:8" ht="24" customHeight="1">
      <c r="B97" s="112"/>
    </row>
    <row r="98" spans="2:8" ht="24" customHeight="1">
      <c r="B98" s="101" t="s">
        <v>45</v>
      </c>
    </row>
    <row r="99" spans="2:8" ht="24" customHeight="1">
      <c r="B99" s="100" t="s">
        <v>59</v>
      </c>
      <c r="C99" s="177" t="s">
        <v>60</v>
      </c>
    </row>
    <row r="100" spans="2:8" ht="24" customHeight="1" thickBot="1"/>
    <row r="101" spans="2:8" ht="39" customHeight="1" thickBot="1">
      <c r="B101" s="1367" t="s">
        <v>61</v>
      </c>
      <c r="C101" s="1368"/>
      <c r="D101" s="1368"/>
      <c r="E101" s="1368"/>
      <c r="F101" s="1368"/>
      <c r="G101" s="1368"/>
      <c r="H101" s="1368"/>
    </row>
    <row r="102" spans="2:8" ht="40" customHeight="1" thickBot="1">
      <c r="B102" s="113" t="s">
        <v>62</v>
      </c>
      <c r="C102" s="379" t="s">
        <v>1982</v>
      </c>
      <c r="D102" s="380"/>
      <c r="E102" s="380"/>
      <c r="F102" s="381"/>
      <c r="G102" s="379" t="s">
        <v>1998</v>
      </c>
      <c r="H102" s="381"/>
    </row>
    <row r="103" spans="2:8" ht="24" customHeight="1" thickBot="1">
      <c r="B103" s="371" t="s">
        <v>1989</v>
      </c>
      <c r="C103" s="372"/>
      <c r="D103" s="372"/>
      <c r="E103" s="372"/>
      <c r="F103" s="372"/>
      <c r="G103" s="372"/>
      <c r="H103" s="373"/>
    </row>
    <row r="104" spans="2:8" ht="24" customHeight="1">
      <c r="B104" s="106" t="s">
        <v>63</v>
      </c>
      <c r="C104" s="326">
        <f>AVERAGE(Parameters!F35:F44)</f>
        <v>7.6930555555555564</v>
      </c>
      <c r="D104" s="125" t="s">
        <v>64</v>
      </c>
      <c r="E104" s="327">
        <f>(1/C104)*100</f>
        <v>12.998736233977251</v>
      </c>
      <c r="F104" s="103" t="s">
        <v>65</v>
      </c>
      <c r="G104" s="115">
        <f>AVERAGE(Parameters!E35:E44)</f>
        <v>210.78972222222222</v>
      </c>
      <c r="H104" s="108" t="s">
        <v>217</v>
      </c>
    </row>
    <row r="105" spans="2:8" ht="24" customHeight="1">
      <c r="B105" s="106" t="s">
        <v>66</v>
      </c>
      <c r="C105" s="324">
        <f>AVERAGE(Parameters!F8:F16)</f>
        <v>6.3328124999999993</v>
      </c>
      <c r="D105" s="114" t="s">
        <v>64</v>
      </c>
      <c r="E105" s="325">
        <f>(1/C105)*100</f>
        <v>15.790772267456207</v>
      </c>
      <c r="F105" s="108" t="s">
        <v>1996</v>
      </c>
      <c r="G105" s="115">
        <f>AVERAGE(Parameters!E8:E16)</f>
        <v>204.54984375000001</v>
      </c>
      <c r="H105" s="108" t="s">
        <v>217</v>
      </c>
    </row>
    <row r="106" spans="2:8" ht="24" customHeight="1">
      <c r="B106" s="106" t="s">
        <v>854</v>
      </c>
      <c r="C106" s="324">
        <f>AVERAGE(Parameters!F59:F68)</f>
        <v>5.9958333333333327</v>
      </c>
      <c r="D106" s="114" t="s">
        <v>855</v>
      </c>
      <c r="E106" s="325">
        <f>(1/C106)*100</f>
        <v>16.678248783877695</v>
      </c>
      <c r="F106" s="108" t="s">
        <v>1997</v>
      </c>
      <c r="G106" s="115">
        <f>AVERAGE(Parameters!E59:E68)</f>
        <v>163.56633333333332</v>
      </c>
      <c r="H106" s="108" t="s">
        <v>217</v>
      </c>
    </row>
    <row r="107" spans="2:8" ht="24" customHeight="1">
      <c r="B107" s="106" t="s">
        <v>67</v>
      </c>
      <c r="C107" s="324">
        <f>AVERAGE(Parameters!F83:F92)</f>
        <v>14.649731693267473</v>
      </c>
      <c r="D107" s="114" t="s">
        <v>68</v>
      </c>
      <c r="E107" s="325">
        <f>(1/C107)*100</f>
        <v>6.8260635821717237</v>
      </c>
      <c r="F107" s="108" t="s">
        <v>69</v>
      </c>
      <c r="G107" s="115">
        <f>AVERAGE(Parameters!E83:E92)</f>
        <v>67.225990992438497</v>
      </c>
      <c r="H107" s="108" t="s">
        <v>217</v>
      </c>
    </row>
    <row r="108" spans="2:8" ht="24" customHeight="1">
      <c r="B108" s="106" t="s">
        <v>1338</v>
      </c>
      <c r="C108" s="494">
        <f>AVERAGE(Parameters!F111:F120)</f>
        <v>1.0750000000000002</v>
      </c>
      <c r="D108" s="114" t="s">
        <v>855</v>
      </c>
      <c r="E108" s="115">
        <f>(1/C108)*100</f>
        <v>93.023255813953483</v>
      </c>
      <c r="F108" s="108" t="s">
        <v>1997</v>
      </c>
      <c r="G108" s="115">
        <f>AVERAGE(Parameters!E111:E120)</f>
        <v>129</v>
      </c>
      <c r="H108" s="108" t="s">
        <v>217</v>
      </c>
    </row>
    <row r="109" spans="2:8" ht="24" customHeight="1" thickBot="1">
      <c r="B109" s="106"/>
      <c r="C109" s="328"/>
      <c r="D109" s="117"/>
      <c r="E109" s="329"/>
      <c r="F109" s="98"/>
      <c r="G109" s="116"/>
      <c r="H109" s="108"/>
    </row>
    <row r="110" spans="2:8" ht="24" customHeight="1" thickBot="1">
      <c r="B110" s="371" t="s">
        <v>1999</v>
      </c>
      <c r="C110" s="372"/>
      <c r="D110" s="372"/>
      <c r="E110" s="372"/>
      <c r="F110" s="372"/>
      <c r="G110" s="372"/>
      <c r="H110" s="373"/>
    </row>
    <row r="111" spans="2:8" ht="24" customHeight="1">
      <c r="B111" s="106" t="s">
        <v>2000</v>
      </c>
      <c r="C111" s="324">
        <f>AVERAGE(Parameters!F46:F53)</f>
        <v>7.1</v>
      </c>
      <c r="D111" s="125" t="s">
        <v>64</v>
      </c>
      <c r="E111" s="327">
        <f>(1/C111)*100</f>
        <v>14.084507042253522</v>
      </c>
      <c r="F111" s="103" t="s">
        <v>65</v>
      </c>
      <c r="G111" s="115">
        <f>AVERAGE(Parameters!E46:E53)</f>
        <v>194.54000000000002</v>
      </c>
      <c r="H111" s="108" t="s">
        <v>217</v>
      </c>
    </row>
    <row r="112" spans="2:8" ht="24" customHeight="1">
      <c r="B112" s="106" t="s">
        <v>1983</v>
      </c>
      <c r="C112" s="324">
        <f>AVERAGE(Parameters!F18:F25)</f>
        <v>7.6947619047619051</v>
      </c>
      <c r="D112" s="114" t="s">
        <v>64</v>
      </c>
      <c r="E112" s="325">
        <f>(1/C112)*100</f>
        <v>12.995853703818305</v>
      </c>
      <c r="F112" s="108" t="s">
        <v>1996</v>
      </c>
      <c r="G112" s="115">
        <f>AVERAGE(Parameters!E18:E25)</f>
        <v>248.54080952380951</v>
      </c>
      <c r="H112" s="108" t="s">
        <v>217</v>
      </c>
    </row>
    <row r="113" spans="2:8" ht="24" customHeight="1">
      <c r="B113" s="106" t="s">
        <v>1984</v>
      </c>
      <c r="C113" s="324">
        <f>AVERAGE(Parameters!F70:F77)</f>
        <v>7.641</v>
      </c>
      <c r="D113" s="114" t="s">
        <v>855</v>
      </c>
      <c r="E113" s="325">
        <f>(1/C113)*100</f>
        <v>13.087292239235701</v>
      </c>
      <c r="F113" s="108" t="s">
        <v>1997</v>
      </c>
      <c r="G113" s="115">
        <f>AVERAGE(Parameters!E70:E77)</f>
        <v>208.44648000000001</v>
      </c>
      <c r="H113" s="108" t="s">
        <v>217</v>
      </c>
    </row>
    <row r="114" spans="2:8" ht="24" customHeight="1">
      <c r="B114" s="106" t="s">
        <v>1985</v>
      </c>
      <c r="C114" s="324">
        <f>AVERAGE(Parameters!F94:F101)</f>
        <v>27.942025049263655</v>
      </c>
      <c r="D114" s="114" t="s">
        <v>68</v>
      </c>
      <c r="E114" s="325">
        <f>(1/C114)*100</f>
        <v>3.5788386784312634</v>
      </c>
      <c r="F114" s="108" t="s">
        <v>69</v>
      </c>
      <c r="G114" s="115">
        <f>AVERAGE(Parameters!E94:E101)</f>
        <v>115.40056345345887</v>
      </c>
      <c r="H114" s="108" t="s">
        <v>217</v>
      </c>
    </row>
    <row r="115" spans="2:8" ht="24" customHeight="1">
      <c r="B115" s="106" t="s">
        <v>1986</v>
      </c>
      <c r="C115" s="324">
        <f>AVERAGE(Parameters!F124:F125,gem_verbr_FCEV_bestel_klein_H2,gem_verbr_FCEV_bestel_groot_H2)</f>
        <v>1.2271739130434782</v>
      </c>
      <c r="D115" s="114" t="s">
        <v>855</v>
      </c>
      <c r="E115" s="115">
        <f>(1/C115)*100</f>
        <v>81.488042515500453</v>
      </c>
      <c r="F115" s="108" t="s">
        <v>1997</v>
      </c>
      <c r="G115" s="115">
        <f>AVERAGE(Parameters!E122:E129)</f>
        <v>139.2958578072089</v>
      </c>
      <c r="H115" s="108" t="s">
        <v>217</v>
      </c>
    </row>
    <row r="116" spans="2:8" ht="24" customHeight="1" thickBot="1">
      <c r="B116" s="106"/>
      <c r="C116" s="106"/>
      <c r="D116" s="114"/>
      <c r="E116" s="115"/>
      <c r="F116" s="108"/>
      <c r="G116" s="116"/>
      <c r="H116" s="108"/>
    </row>
    <row r="117" spans="2:8" ht="24" customHeight="1" thickBot="1">
      <c r="B117" s="371" t="s">
        <v>2016</v>
      </c>
      <c r="C117" s="372"/>
      <c r="D117" s="372"/>
      <c r="E117" s="372"/>
      <c r="F117" s="372"/>
      <c r="G117" s="372"/>
      <c r="H117" s="373"/>
    </row>
    <row r="118" spans="2:8" ht="24" customHeight="1">
      <c r="B118" s="106" t="s">
        <v>1987</v>
      </c>
      <c r="C118" s="324">
        <f>gem_verbr_die_veegvuilwagen</f>
        <v>10</v>
      </c>
      <c r="D118" s="114" t="s">
        <v>64</v>
      </c>
      <c r="E118" s="325">
        <f>(1/C118)*100</f>
        <v>10</v>
      </c>
      <c r="F118" s="108" t="s">
        <v>65</v>
      </c>
      <c r="G118" s="115">
        <f>Parameters!E27</f>
        <v>323</v>
      </c>
      <c r="H118" s="108" t="s">
        <v>217</v>
      </c>
    </row>
    <row r="119" spans="2:8" ht="24" customHeight="1">
      <c r="B119" s="106" t="s">
        <v>2004</v>
      </c>
      <c r="C119" s="324">
        <f>gem_verbr_BEV_bestel_klein</f>
        <v>19.346605640812722</v>
      </c>
      <c r="D119" s="114" t="s">
        <v>68</v>
      </c>
      <c r="E119" s="325">
        <f>(1/C119)*100</f>
        <v>5.1688653739364252</v>
      </c>
      <c r="F119" s="108" t="s">
        <v>69</v>
      </c>
      <c r="G119" s="115">
        <f>Parameters!E103</f>
        <v>136.29</v>
      </c>
      <c r="H119" s="108" t="s">
        <v>217</v>
      </c>
    </row>
    <row r="120" spans="2:8" ht="24" customHeight="1">
      <c r="B120" s="106" t="s">
        <v>1988</v>
      </c>
      <c r="C120" s="106">
        <f>gem_verbr_FCEV_veegvuilwagen_H2</f>
        <v>1.5</v>
      </c>
      <c r="D120" s="114" t="s">
        <v>855</v>
      </c>
      <c r="E120" s="325">
        <f>(1/C120)*100</f>
        <v>66.666666666666657</v>
      </c>
      <c r="F120" s="108" t="s">
        <v>856</v>
      </c>
      <c r="G120" s="115">
        <f>Parameters!E131</f>
        <v>170.28666666666666</v>
      </c>
      <c r="H120" s="108" t="s">
        <v>217</v>
      </c>
    </row>
    <row r="121" spans="2:8" ht="24" customHeight="1">
      <c r="B121" s="106"/>
      <c r="C121" s="106"/>
      <c r="D121" s="114"/>
      <c r="E121" s="115"/>
      <c r="F121" s="108"/>
      <c r="G121" s="114"/>
      <c r="H121" s="108"/>
    </row>
    <row r="122" spans="2:8" ht="24" customHeight="1">
      <c r="B122" s="106" t="s">
        <v>1990</v>
      </c>
      <c r="C122" s="106">
        <f>gem_verbr_die_veegwagen</f>
        <v>12</v>
      </c>
      <c r="D122" s="114" t="s">
        <v>4304</v>
      </c>
      <c r="E122" s="116">
        <f>(1/C122)</f>
        <v>8.3333333333333329E-2</v>
      </c>
      <c r="F122" s="108" t="s">
        <v>4305</v>
      </c>
      <c r="G122" s="115">
        <f>Parameters!E29</f>
        <v>387.59999999999997</v>
      </c>
      <c r="H122" s="108" t="s">
        <v>4309</v>
      </c>
    </row>
    <row r="123" spans="2:8" ht="24" customHeight="1">
      <c r="B123" s="106" t="s">
        <v>1992</v>
      </c>
      <c r="C123" s="324">
        <f>gem_verbr_BEV_bestel_groot</f>
        <v>36.088379371306893</v>
      </c>
      <c r="D123" s="114" t="s">
        <v>4307</v>
      </c>
      <c r="E123" s="116">
        <f>(1/C123)</f>
        <v>2.7709750823420982E-2</v>
      </c>
      <c r="F123" s="108" t="s">
        <v>4308</v>
      </c>
      <c r="G123" s="115">
        <f>Parameters!E105</f>
        <v>107.38</v>
      </c>
      <c r="H123" s="108" t="s">
        <v>4309</v>
      </c>
    </row>
    <row r="124" spans="2:8" ht="24" customHeight="1">
      <c r="B124" s="106" t="s">
        <v>1991</v>
      </c>
      <c r="C124" s="106">
        <f>gem_verbr_FCEV_veegwagen_H2</f>
        <v>1.9</v>
      </c>
      <c r="D124" s="114" t="s">
        <v>4306</v>
      </c>
      <c r="E124" s="116">
        <f>(1/C124)</f>
        <v>0.52631578947368418</v>
      </c>
      <c r="F124" s="108" t="s">
        <v>4305</v>
      </c>
      <c r="G124" s="115">
        <f>Parameters!E133</f>
        <v>227.99999999999997</v>
      </c>
      <c r="H124" s="108" t="s">
        <v>4309</v>
      </c>
    </row>
    <row r="125" spans="2:8" ht="24" customHeight="1">
      <c r="B125" s="106"/>
      <c r="C125" s="106"/>
      <c r="D125" s="114"/>
      <c r="E125" s="325"/>
      <c r="F125" s="108"/>
      <c r="G125" s="114"/>
      <c r="H125" s="108"/>
    </row>
    <row r="126" spans="2:8" ht="24" customHeight="1">
      <c r="B126" s="106" t="s">
        <v>1995</v>
      </c>
      <c r="C126" s="106">
        <f>gem_verbr_die_vuilniswagen</f>
        <v>57</v>
      </c>
      <c r="D126" s="114" t="s">
        <v>64</v>
      </c>
      <c r="E126" s="325">
        <f t="shared" ref="E126" si="0">(1/C126)*100</f>
        <v>1.7543859649122806</v>
      </c>
      <c r="F126" s="108" t="s">
        <v>65</v>
      </c>
      <c r="G126" s="115">
        <f>Parameters!E28</f>
        <v>1841.1</v>
      </c>
      <c r="H126" s="108" t="s">
        <v>217</v>
      </c>
    </row>
    <row r="127" spans="2:8" ht="24" customHeight="1">
      <c r="B127" s="106" t="s">
        <v>1993</v>
      </c>
      <c r="C127" s="106">
        <f>gem_verbr_BEV_vuilniswagen</f>
        <v>190</v>
      </c>
      <c r="D127" s="114" t="s">
        <v>68</v>
      </c>
      <c r="E127" s="325">
        <f>(1/C127)*100</f>
        <v>0.52631578947368418</v>
      </c>
      <c r="F127" s="108" t="s">
        <v>69</v>
      </c>
      <c r="G127" s="115">
        <f>Parameters!E104</f>
        <v>784.7</v>
      </c>
      <c r="H127" s="108" t="s">
        <v>217</v>
      </c>
    </row>
    <row r="128" spans="2:8" ht="24" customHeight="1" thickBot="1">
      <c r="B128" s="96" t="s">
        <v>1994</v>
      </c>
      <c r="C128" s="328">
        <f>gem_verbr_FCEV_vuilniswagen_H2</f>
        <v>9</v>
      </c>
      <c r="D128" s="117" t="s">
        <v>855</v>
      </c>
      <c r="E128" s="325">
        <f>(1/C128)*100</f>
        <v>11.111111111111111</v>
      </c>
      <c r="F128" s="108" t="s">
        <v>856</v>
      </c>
      <c r="G128" s="385">
        <f>Parameters!E132</f>
        <v>850.05327868852464</v>
      </c>
      <c r="H128" s="98" t="s">
        <v>217</v>
      </c>
    </row>
    <row r="129" spans="2:13" ht="99" customHeight="1" thickBot="1">
      <c r="B129" s="1369" t="s">
        <v>4393</v>
      </c>
      <c r="C129" s="1370"/>
      <c r="D129" s="1370"/>
      <c r="E129" s="1370"/>
      <c r="F129" s="1370"/>
      <c r="G129" s="1370"/>
      <c r="H129" s="1371"/>
    </row>
    <row r="130" spans="2:13" ht="16" customHeight="1">
      <c r="B130" s="118"/>
      <c r="C130" s="119"/>
      <c r="D130" s="119"/>
      <c r="E130" s="119"/>
      <c r="F130" s="119"/>
      <c r="G130" s="119"/>
      <c r="H130" s="120"/>
    </row>
    <row r="131" spans="2:13" ht="24" customHeight="1">
      <c r="B131" s="99" t="s">
        <v>56</v>
      </c>
    </row>
    <row r="132" spans="2:13" ht="25" customHeight="1">
      <c r="B132" s="1372" t="s">
        <v>1334</v>
      </c>
      <c r="C132" s="1372"/>
      <c r="D132" s="1372"/>
      <c r="E132" s="1372"/>
      <c r="F132" s="1372"/>
      <c r="G132" s="1372"/>
      <c r="H132" s="1372"/>
      <c r="I132" s="369"/>
      <c r="J132" s="369"/>
      <c r="K132" s="369"/>
      <c r="L132" s="369"/>
      <c r="M132" s="369"/>
    </row>
    <row r="133" spans="2:13" ht="24" customHeight="1">
      <c r="B133" s="1363" t="s">
        <v>4394</v>
      </c>
      <c r="C133" s="1363"/>
      <c r="D133" s="1363"/>
      <c r="E133" s="1363"/>
      <c r="F133" s="1363"/>
      <c r="G133" s="1363"/>
      <c r="H133" s="1363"/>
      <c r="I133" s="353"/>
      <c r="J133" s="353"/>
      <c r="K133" s="353"/>
      <c r="L133" s="353"/>
      <c r="M133" s="353"/>
    </row>
    <row r="134" spans="2:13" ht="46" customHeight="1">
      <c r="B134" s="1363" t="s">
        <v>4395</v>
      </c>
      <c r="C134" s="1363"/>
      <c r="D134" s="1363"/>
      <c r="E134" s="1363"/>
      <c r="F134" s="1363"/>
      <c r="G134" s="1363"/>
      <c r="H134" s="1363"/>
      <c r="I134" s="121"/>
      <c r="J134" s="121"/>
      <c r="K134" s="121"/>
      <c r="L134" s="121"/>
      <c r="M134" s="121"/>
    </row>
    <row r="135" spans="2:13" ht="41" customHeight="1">
      <c r="B135" s="1363" t="s">
        <v>4396</v>
      </c>
      <c r="C135" s="1363"/>
      <c r="D135" s="1363"/>
      <c r="E135" s="1363"/>
      <c r="F135" s="1363"/>
      <c r="G135" s="1363"/>
      <c r="H135" s="1363"/>
      <c r="I135" s="122"/>
      <c r="J135" s="122"/>
      <c r="K135" s="122"/>
      <c r="L135" s="122"/>
      <c r="M135" s="122"/>
    </row>
    <row r="136" spans="2:13" ht="114" customHeight="1">
      <c r="B136" s="1363" t="s">
        <v>1336</v>
      </c>
      <c r="C136" s="1363"/>
      <c r="D136" s="1363"/>
      <c r="E136" s="1363"/>
      <c r="F136" s="1363"/>
      <c r="G136" s="1363"/>
      <c r="H136" s="1363"/>
      <c r="I136" s="122"/>
      <c r="J136" s="122"/>
      <c r="K136" s="122"/>
      <c r="L136" s="122"/>
      <c r="M136" s="122"/>
    </row>
    <row r="137" spans="2:13" ht="24" customHeight="1">
      <c r="B137" s="1363" t="s">
        <v>1337</v>
      </c>
      <c r="C137" s="1363"/>
      <c r="D137" s="1363"/>
      <c r="E137" s="1363"/>
      <c r="F137" s="1363"/>
      <c r="G137" s="1363"/>
      <c r="H137" s="1363"/>
      <c r="I137" s="353"/>
      <c r="J137" s="353"/>
      <c r="K137" s="353"/>
      <c r="L137" s="353"/>
      <c r="M137" s="353"/>
    </row>
    <row r="138" spans="2:13" ht="24" customHeight="1">
      <c r="B138" s="1363" t="s">
        <v>4397</v>
      </c>
      <c r="C138" s="1363"/>
      <c r="D138" s="1363"/>
      <c r="E138" s="1363"/>
      <c r="F138" s="1363"/>
      <c r="G138" s="1363"/>
      <c r="H138" s="1363"/>
      <c r="I138" s="353"/>
      <c r="J138" s="353"/>
      <c r="K138" s="353"/>
      <c r="L138" s="353"/>
      <c r="M138" s="353"/>
    </row>
    <row r="139" spans="2:13" ht="24" customHeight="1">
      <c r="B139" s="1363" t="s">
        <v>1335</v>
      </c>
      <c r="C139" s="1363"/>
      <c r="D139" s="1363"/>
      <c r="E139" s="1363"/>
      <c r="F139" s="1363"/>
      <c r="G139" s="1363"/>
      <c r="H139" s="1363"/>
      <c r="I139" s="353"/>
      <c r="J139" s="353"/>
      <c r="K139" s="353"/>
      <c r="L139" s="353"/>
      <c r="M139" s="353"/>
    </row>
    <row r="140" spans="2:13" ht="24" customHeight="1">
      <c r="B140" s="1363" t="s">
        <v>4398</v>
      </c>
      <c r="C140" s="1363"/>
      <c r="D140" s="1363"/>
      <c r="E140" s="1363"/>
      <c r="F140" s="1363"/>
      <c r="G140" s="1363"/>
      <c r="H140" s="1363"/>
      <c r="I140" s="353"/>
      <c r="J140" s="353"/>
      <c r="K140" s="353"/>
      <c r="L140" s="353"/>
      <c r="M140" s="353"/>
    </row>
    <row r="141" spans="2:13" ht="24" customHeight="1">
      <c r="B141" s="1363" t="s">
        <v>4399</v>
      </c>
      <c r="C141" s="1363"/>
      <c r="D141" s="1363"/>
      <c r="E141" s="1363"/>
      <c r="F141" s="1363"/>
      <c r="G141" s="1363"/>
      <c r="H141" s="1363"/>
      <c r="I141" s="352"/>
      <c r="J141" s="352"/>
      <c r="K141" s="352"/>
      <c r="L141" s="352"/>
      <c r="M141" s="352"/>
    </row>
    <row r="142" spans="2:13" ht="24" customHeight="1">
      <c r="B142" s="352"/>
      <c r="C142" s="352"/>
      <c r="D142" s="352"/>
      <c r="E142" s="352"/>
      <c r="F142" s="352"/>
      <c r="G142" s="352"/>
      <c r="H142" s="352"/>
      <c r="I142" s="352"/>
      <c r="J142" s="352"/>
      <c r="K142" s="352"/>
      <c r="L142" s="352"/>
      <c r="M142" s="352"/>
    </row>
    <row r="143" spans="2:13" ht="24" customHeight="1">
      <c r="B143" s="101" t="s">
        <v>45</v>
      </c>
      <c r="C143" s="100"/>
    </row>
    <row r="144" spans="2:13" ht="24" customHeight="1">
      <c r="B144" s="100" t="s">
        <v>697</v>
      </c>
      <c r="C144" s="177" t="s">
        <v>70</v>
      </c>
      <c r="D144" s="178"/>
      <c r="E144" s="178"/>
      <c r="F144" s="178"/>
    </row>
    <row r="145" spans="2:8" ht="24" customHeight="1">
      <c r="B145" s="100" t="s">
        <v>71</v>
      </c>
      <c r="C145" s="177" t="s">
        <v>690</v>
      </c>
      <c r="D145" s="178"/>
      <c r="E145" s="178"/>
      <c r="F145" s="178"/>
    </row>
    <row r="146" spans="2:8" ht="24" customHeight="1">
      <c r="B146" s="100" t="s">
        <v>73</v>
      </c>
      <c r="C146" s="177" t="s">
        <v>74</v>
      </c>
      <c r="D146" s="178"/>
      <c r="E146" s="178"/>
      <c r="F146" s="178"/>
    </row>
    <row r="147" spans="2:8" ht="24" customHeight="1">
      <c r="B147" s="100" t="s">
        <v>689</v>
      </c>
      <c r="C147" s="177" t="s">
        <v>75</v>
      </c>
      <c r="D147" s="178"/>
      <c r="E147" s="178"/>
      <c r="F147" s="178"/>
    </row>
    <row r="148" spans="2:8" ht="24" customHeight="1" thickBot="1"/>
    <row r="149" spans="2:8" ht="39" customHeight="1" thickBot="1">
      <c r="B149" s="374" t="s">
        <v>76</v>
      </c>
      <c r="C149" s="375"/>
      <c r="D149" s="375"/>
      <c r="E149" s="375"/>
      <c r="F149" s="375"/>
      <c r="G149" s="375"/>
      <c r="H149" s="376"/>
    </row>
    <row r="150" spans="2:8" ht="24" customHeight="1">
      <c r="B150" s="123" t="s">
        <v>77</v>
      </c>
      <c r="C150" s="124">
        <v>0.21</v>
      </c>
      <c r="D150" s="125"/>
      <c r="E150" s="125"/>
      <c r="F150" s="125"/>
      <c r="G150" s="126"/>
      <c r="H150" s="127"/>
    </row>
    <row r="151" spans="2:8" ht="24" customHeight="1">
      <c r="B151" s="128"/>
      <c r="C151" s="129"/>
      <c r="D151" s="130"/>
      <c r="E151" s="130"/>
      <c r="F151" s="130"/>
      <c r="G151" s="131"/>
      <c r="H151" s="132"/>
    </row>
    <row r="152" spans="2:8" ht="24" customHeight="1">
      <c r="B152" s="133" t="s">
        <v>78</v>
      </c>
      <c r="C152" s="129" t="s">
        <v>829</v>
      </c>
      <c r="D152" s="130"/>
      <c r="E152" s="130"/>
      <c r="F152" s="130"/>
      <c r="G152" s="131"/>
      <c r="H152" s="134"/>
    </row>
    <row r="153" spans="2:8" ht="24" customHeight="1">
      <c r="B153" s="128" t="s">
        <v>1576</v>
      </c>
      <c r="C153" s="135">
        <f>prijs_benz</f>
        <v>1.3603305785123967</v>
      </c>
      <c r="D153" s="130" t="s">
        <v>79</v>
      </c>
      <c r="E153" s="130"/>
      <c r="F153" s="130"/>
      <c r="G153" s="131"/>
      <c r="H153" s="132"/>
    </row>
    <row r="154" spans="2:8" ht="24" customHeight="1">
      <c r="B154" s="128" t="s">
        <v>1569</v>
      </c>
      <c r="C154" s="135">
        <f>prijs_die</f>
        <v>1.1301818181818182</v>
      </c>
      <c r="D154" s="130" t="s">
        <v>79</v>
      </c>
      <c r="E154" s="130"/>
      <c r="F154" s="130"/>
      <c r="G154" s="131"/>
      <c r="H154" s="132"/>
    </row>
    <row r="155" spans="2:8" ht="24" customHeight="1">
      <c r="B155" s="128" t="s">
        <v>779</v>
      </c>
      <c r="C155" s="135">
        <f>prijs_CNG</f>
        <v>0.96363636363636362</v>
      </c>
      <c r="D155" s="130" t="s">
        <v>778</v>
      </c>
      <c r="E155" s="130"/>
      <c r="F155" s="130"/>
      <c r="G155" s="131"/>
      <c r="H155" s="132"/>
    </row>
    <row r="156" spans="2:8" ht="24" customHeight="1">
      <c r="B156" s="128" t="s">
        <v>1575</v>
      </c>
      <c r="C156" s="197">
        <v>10</v>
      </c>
      <c r="D156" s="130" t="s">
        <v>778</v>
      </c>
      <c r="E156" s="130"/>
      <c r="F156" s="130"/>
      <c r="G156" s="131"/>
      <c r="H156" s="132"/>
    </row>
    <row r="157" spans="2:8" ht="24" customHeight="1">
      <c r="B157" s="128"/>
      <c r="C157" s="135"/>
      <c r="D157" s="130"/>
      <c r="E157" s="130"/>
      <c r="F157" s="130"/>
      <c r="G157" s="131"/>
      <c r="H157" s="132"/>
    </row>
    <row r="158" spans="2:8" ht="24" customHeight="1">
      <c r="B158" s="133" t="s">
        <v>80</v>
      </c>
      <c r="C158" s="129"/>
      <c r="D158" s="130"/>
      <c r="E158" s="130"/>
      <c r="F158" s="130"/>
      <c r="G158" s="131"/>
      <c r="H158" s="132"/>
    </row>
    <row r="159" spans="2:8" ht="24" customHeight="1">
      <c r="B159" s="128" t="s">
        <v>777</v>
      </c>
      <c r="C159" s="136">
        <f>prijs_elek_kantoor_handmatig</f>
        <v>0.12</v>
      </c>
      <c r="D159" s="130" t="s">
        <v>82</v>
      </c>
      <c r="E159" s="137"/>
      <c r="F159" s="130"/>
      <c r="G159" s="131"/>
      <c r="H159" s="132"/>
    </row>
    <row r="160" spans="2:8" ht="24" customHeight="1">
      <c r="B160" s="128" t="s">
        <v>825</v>
      </c>
      <c r="C160" s="136">
        <f>prijs_elek_publiek_snellaad</f>
        <v>0.51239669421487588</v>
      </c>
      <c r="D160" s="130" t="s">
        <v>82</v>
      </c>
      <c r="E160" s="137"/>
      <c r="F160" s="130"/>
      <c r="G160" s="131"/>
      <c r="H160" s="132"/>
    </row>
    <row r="161" spans="2:8" ht="24" customHeight="1">
      <c r="B161" s="128" t="s">
        <v>84</v>
      </c>
      <c r="C161" s="136">
        <f>prijs_elek_publiek_langzaam</f>
        <v>0.28099173553719009</v>
      </c>
      <c r="D161" s="130" t="s">
        <v>82</v>
      </c>
      <c r="E161" s="137"/>
      <c r="F161" s="130"/>
      <c r="G161" s="131"/>
      <c r="H161" s="132"/>
    </row>
    <row r="162" spans="2:8" ht="24" customHeight="1">
      <c r="B162" s="128" t="s">
        <v>1731</v>
      </c>
      <c r="C162" s="136">
        <f>prijs_elek_thuis</f>
        <v>0.17355371900826447</v>
      </c>
      <c r="D162" s="130" t="s">
        <v>82</v>
      </c>
      <c r="E162" s="137"/>
      <c r="F162" s="130"/>
      <c r="G162" s="131"/>
      <c r="H162" s="132"/>
    </row>
    <row r="163" spans="2:8" ht="24" customHeight="1" thickBot="1">
      <c r="B163" s="128"/>
      <c r="C163" s="136"/>
      <c r="D163" s="130"/>
      <c r="E163" s="137"/>
      <c r="F163" s="130"/>
      <c r="G163" s="131"/>
      <c r="H163" s="132"/>
    </row>
    <row r="164" spans="2:8" ht="24" customHeight="1" thickBot="1">
      <c r="B164" s="513" t="s">
        <v>1582</v>
      </c>
      <c r="C164" s="514">
        <f>($C$17*$C$159)+($C$18*$C$160)+($C$19*$C$161)+($C$162*$C$20)</f>
        <v>0.19593388429752065</v>
      </c>
      <c r="D164" s="515" t="s">
        <v>82</v>
      </c>
      <c r="E164" s="117"/>
      <c r="F164" s="117"/>
      <c r="G164" s="139"/>
      <c r="H164" s="140"/>
    </row>
    <row r="165" spans="2:8" ht="24" customHeight="1">
      <c r="C165" s="141"/>
    </row>
    <row r="166" spans="2:8" ht="24" customHeight="1">
      <c r="B166" s="101" t="s">
        <v>1577</v>
      </c>
      <c r="C166" s="141"/>
    </row>
    <row r="167" spans="2:8" ht="24" customHeight="1">
      <c r="B167" s="100" t="s">
        <v>4400</v>
      </c>
      <c r="C167" s="141"/>
    </row>
    <row r="168" spans="2:8" ht="24" customHeight="1">
      <c r="B168" s="100" t="s">
        <v>1585</v>
      </c>
      <c r="C168" s="141"/>
    </row>
    <row r="169" spans="2:8" ht="24" customHeight="1">
      <c r="B169" s="100" t="s">
        <v>1580</v>
      </c>
      <c r="C169" s="141"/>
    </row>
    <row r="170" spans="2:8" ht="24" customHeight="1">
      <c r="B170" s="100" t="s">
        <v>4401</v>
      </c>
      <c r="C170" s="141"/>
    </row>
    <row r="171" spans="2:8" ht="24" customHeight="1">
      <c r="B171" s="100" t="s">
        <v>1581</v>
      </c>
      <c r="C171" s="141"/>
    </row>
    <row r="172" spans="2:8" ht="24" customHeight="1">
      <c r="B172" s="100"/>
      <c r="C172" s="141"/>
    </row>
    <row r="173" spans="2:8" ht="24" customHeight="1">
      <c r="B173" s="101" t="s">
        <v>45</v>
      </c>
      <c r="C173" s="142"/>
    </row>
    <row r="174" spans="2:8" ht="24" customHeight="1">
      <c r="B174" s="100" t="s">
        <v>86</v>
      </c>
      <c r="C174" s="142"/>
    </row>
    <row r="175" spans="2:8" ht="24" customHeight="1">
      <c r="B175" s="100" t="s">
        <v>1567</v>
      </c>
      <c r="C175" s="177" t="s">
        <v>1568</v>
      </c>
      <c r="D175" s="178"/>
      <c r="E175" s="178"/>
      <c r="F175" s="178"/>
    </row>
    <row r="176" spans="2:8" ht="24" customHeight="1">
      <c r="B176" s="100" t="s">
        <v>1571</v>
      </c>
      <c r="C176" s="177" t="s">
        <v>1570</v>
      </c>
      <c r="D176" s="178"/>
      <c r="E176" s="178"/>
      <c r="F176" s="178"/>
    </row>
    <row r="177" spans="2:10" ht="24" customHeight="1">
      <c r="B177" s="100" t="s">
        <v>1578</v>
      </c>
      <c r="C177" s="177" t="s">
        <v>1579</v>
      </c>
      <c r="D177" s="178"/>
      <c r="E177" s="178"/>
      <c r="F177" s="178"/>
    </row>
    <row r="178" spans="2:10" ht="24" customHeight="1">
      <c r="B178" s="100" t="s">
        <v>89</v>
      </c>
      <c r="C178" s="177" t="s">
        <v>90</v>
      </c>
      <c r="D178" s="178"/>
      <c r="E178" s="178"/>
      <c r="F178" s="178"/>
    </row>
    <row r="179" spans="2:10" ht="24" customHeight="1">
      <c r="B179" s="100" t="s">
        <v>91</v>
      </c>
      <c r="C179" s="177" t="s">
        <v>92</v>
      </c>
      <c r="D179" s="178"/>
      <c r="E179" s="178"/>
      <c r="F179" s="178"/>
    </row>
    <row r="180" spans="2:10" ht="24" customHeight="1">
      <c r="B180" s="100" t="s">
        <v>93</v>
      </c>
      <c r="C180" s="177" t="s">
        <v>94</v>
      </c>
      <c r="D180" s="178"/>
      <c r="E180" s="178"/>
      <c r="F180" s="178"/>
    </row>
    <row r="181" spans="2:10" ht="24" customHeight="1">
      <c r="B181" s="100" t="s">
        <v>1404</v>
      </c>
      <c r="C181" s="177" t="s">
        <v>1405</v>
      </c>
      <c r="F181" s="178"/>
    </row>
    <row r="182" spans="2:10" ht="24" customHeight="1" thickBot="1"/>
    <row r="183" spans="2:10" ht="39" customHeight="1" thickBot="1">
      <c r="B183" s="374" t="s">
        <v>95</v>
      </c>
      <c r="C183" s="375"/>
      <c r="D183" s="375"/>
      <c r="E183" s="375"/>
      <c r="F183" s="375"/>
      <c r="G183" s="375"/>
      <c r="H183" s="376"/>
    </row>
    <row r="184" spans="2:10" ht="24" customHeight="1"/>
    <row r="185" spans="2:10" ht="24" customHeight="1"/>
    <row r="186" spans="2:10" ht="24" customHeight="1">
      <c r="J186" s="143"/>
    </row>
    <row r="187" spans="2:10" ht="24" customHeight="1"/>
    <row r="188" spans="2:10" ht="24" customHeight="1"/>
    <row r="189" spans="2:10" ht="24" customHeight="1"/>
    <row r="190" spans="2:10" ht="24" customHeight="1"/>
    <row r="191" spans="2:10" ht="24" customHeight="1"/>
    <row r="192" spans="2:10" ht="24" customHeight="1"/>
    <row r="193" spans="2:8" ht="24" customHeight="1"/>
    <row r="194" spans="2:8" ht="24" customHeight="1"/>
    <row r="195" spans="2:8" ht="24" customHeight="1"/>
    <row r="196" spans="2:8" ht="24" customHeight="1">
      <c r="B196" s="101" t="s">
        <v>45</v>
      </c>
      <c r="C196" s="100"/>
    </row>
    <row r="197" spans="2:8" ht="24" customHeight="1">
      <c r="B197" s="100" t="s">
        <v>1400</v>
      </c>
      <c r="C197" s="177" t="s">
        <v>96</v>
      </c>
    </row>
    <row r="198" spans="2:8" ht="24" customHeight="1">
      <c r="B198" s="100" t="s">
        <v>1401</v>
      </c>
      <c r="C198" s="177" t="s">
        <v>1399</v>
      </c>
    </row>
    <row r="199" spans="2:8" ht="24" customHeight="1">
      <c r="B199" s="100" t="s">
        <v>1367</v>
      </c>
      <c r="C199" s="177" t="s">
        <v>1366</v>
      </c>
    </row>
    <row r="200" spans="2:8" ht="24" customHeight="1">
      <c r="B200" s="100" t="s">
        <v>1403</v>
      </c>
      <c r="C200" s="177" t="s">
        <v>1402</v>
      </c>
    </row>
    <row r="201" spans="2:8" ht="24" customHeight="1" thickBot="1">
      <c r="B201" s="100"/>
    </row>
    <row r="202" spans="2:8" ht="39" customHeight="1" thickBot="1">
      <c r="B202" s="374" t="s">
        <v>97</v>
      </c>
      <c r="C202" s="375"/>
      <c r="D202" s="375"/>
      <c r="E202" s="375"/>
      <c r="F202" s="375"/>
      <c r="G202" s="375"/>
      <c r="H202" s="376"/>
    </row>
    <row r="203" spans="2:8" ht="24" customHeight="1"/>
    <row r="204" spans="2:8" ht="24" customHeight="1"/>
    <row r="205" spans="2:8" ht="24" customHeight="1"/>
    <row r="206" spans="2:8" ht="24" customHeight="1"/>
    <row r="207" spans="2:8" ht="24" customHeight="1"/>
    <row r="208" spans="2:8" ht="24" customHeight="1">
      <c r="B208" s="99" t="s">
        <v>56</v>
      </c>
      <c r="C208" s="100"/>
    </row>
    <row r="209" spans="2:9" ht="24" customHeight="1">
      <c r="B209" s="100" t="s">
        <v>1308</v>
      </c>
      <c r="C209" s="100"/>
    </row>
    <row r="210" spans="2:9" ht="24" customHeight="1">
      <c r="B210" s="100" t="s">
        <v>1309</v>
      </c>
      <c r="C210" s="100"/>
    </row>
    <row r="211" spans="2:9" ht="24" customHeight="1">
      <c r="B211" s="100" t="s">
        <v>4402</v>
      </c>
      <c r="C211" s="100"/>
    </row>
    <row r="212" spans="2:9" ht="24" customHeight="1">
      <c r="B212" s="100" t="s">
        <v>4403</v>
      </c>
      <c r="C212" s="100"/>
    </row>
    <row r="213" spans="2:9" ht="24" customHeight="1">
      <c r="B213" s="100" t="s">
        <v>1409</v>
      </c>
      <c r="C213" s="100"/>
    </row>
    <row r="214" spans="2:9" ht="24" customHeight="1">
      <c r="B214" s="100"/>
      <c r="C214" s="100"/>
    </row>
    <row r="215" spans="2:9" ht="24" customHeight="1">
      <c r="B215" s="101" t="s">
        <v>45</v>
      </c>
      <c r="C215" s="100"/>
    </row>
    <row r="216" spans="2:9" ht="24" customHeight="1">
      <c r="B216" s="100" t="s">
        <v>1305</v>
      </c>
      <c r="C216" s="177" t="s">
        <v>1306</v>
      </c>
    </row>
    <row r="217" spans="2:9" ht="24" customHeight="1">
      <c r="B217" s="100" t="s">
        <v>1312</v>
      </c>
      <c r="C217" s="177" t="s">
        <v>1307</v>
      </c>
    </row>
    <row r="218" spans="2:9" ht="24" customHeight="1">
      <c r="B218" s="100" t="s">
        <v>1311</v>
      </c>
      <c r="C218" s="177" t="s">
        <v>1310</v>
      </c>
    </row>
    <row r="219" spans="2:9" ht="24" customHeight="1">
      <c r="C219" s="177" t="s">
        <v>1313</v>
      </c>
    </row>
    <row r="220" spans="2:9" ht="24" customHeight="1">
      <c r="B220" s="100" t="s">
        <v>1404</v>
      </c>
      <c r="C220" s="177" t="s">
        <v>1405</v>
      </c>
    </row>
    <row r="221" spans="2:9" ht="24" customHeight="1">
      <c r="B221" s="100" t="s">
        <v>1408</v>
      </c>
      <c r="C221" s="177" t="s">
        <v>1407</v>
      </c>
    </row>
    <row r="222" spans="2:9" ht="24" customHeight="1" thickBot="1">
      <c r="C222" s="177"/>
    </row>
    <row r="223" spans="2:9" ht="39" customHeight="1" thickBot="1">
      <c r="B223" s="374" t="s">
        <v>4310</v>
      </c>
      <c r="C223" s="375"/>
      <c r="D223" s="375"/>
      <c r="E223" s="375"/>
      <c r="F223" s="375"/>
      <c r="G223" s="375"/>
      <c r="H223" s="376"/>
    </row>
    <row r="224" spans="2:9" ht="30" customHeight="1" thickBot="1">
      <c r="B224" s="113" t="s">
        <v>99</v>
      </c>
      <c r="C224" s="377"/>
      <c r="D224" s="378"/>
      <c r="E224" s="378"/>
      <c r="F224" s="201"/>
      <c r="G224" s="144"/>
      <c r="H224" s="145"/>
      <c r="I224" s="143"/>
    </row>
    <row r="225" spans="2:9" ht="24" customHeight="1" thickBot="1">
      <c r="B225" s="371" t="s">
        <v>1989</v>
      </c>
      <c r="C225" s="372"/>
      <c r="D225" s="372"/>
      <c r="E225" s="372"/>
      <c r="F225" s="372"/>
      <c r="G225" s="372"/>
      <c r="H225" s="373"/>
      <c r="I225" s="143"/>
    </row>
    <row r="226" spans="2:9" ht="24" customHeight="1">
      <c r="B226" s="106" t="s">
        <v>2005</v>
      </c>
      <c r="C226" s="331">
        <f>AVERAGE(Parameters!U8:V16,Parameters!U35:V44,Parameters!U59:V68)</f>
        <v>5.3194230769230764E-2</v>
      </c>
      <c r="D226" s="114" t="s">
        <v>100</v>
      </c>
      <c r="E226" s="330"/>
      <c r="F226" s="330"/>
      <c r="G226" s="330"/>
      <c r="H226" s="132"/>
    </row>
    <row r="227" spans="2:9" ht="24" customHeight="1">
      <c r="B227" s="106" t="s">
        <v>101</v>
      </c>
      <c r="C227" s="331">
        <f>AVERAGE(Parameters!U83:V92)</f>
        <v>3.6994908998345427E-2</v>
      </c>
      <c r="D227" s="114" t="s">
        <v>100</v>
      </c>
      <c r="E227" s="330"/>
      <c r="F227" s="330"/>
      <c r="G227" s="330"/>
      <c r="H227" s="132"/>
    </row>
    <row r="228" spans="2:9" ht="24" customHeight="1">
      <c r="B228" s="106" t="s">
        <v>2001</v>
      </c>
      <c r="C228" s="331">
        <f>AVERAGE(Parameters!U111:V120)</f>
        <v>4.8049999999999995E-2</v>
      </c>
      <c r="D228" s="114" t="s">
        <v>100</v>
      </c>
      <c r="E228" s="330"/>
      <c r="F228" s="330"/>
      <c r="G228" s="330"/>
      <c r="H228" s="132"/>
    </row>
    <row r="229" spans="2:9" ht="24" customHeight="1" thickBot="1">
      <c r="B229" s="106"/>
      <c r="C229" s="332"/>
      <c r="D229" s="117"/>
      <c r="E229" s="139"/>
      <c r="F229" s="139"/>
      <c r="G229" s="139"/>
      <c r="H229" s="140"/>
    </row>
    <row r="230" spans="2:9" ht="24" customHeight="1" thickBot="1">
      <c r="B230" s="371" t="s">
        <v>2003</v>
      </c>
      <c r="C230" s="372"/>
      <c r="D230" s="372"/>
      <c r="E230" s="372"/>
      <c r="F230" s="372"/>
      <c r="G230" s="372"/>
      <c r="H230" s="373"/>
    </row>
    <row r="231" spans="2:9" ht="24" customHeight="1">
      <c r="B231" s="128" t="s">
        <v>2006</v>
      </c>
      <c r="C231" s="331">
        <f>AVERAGE(Parameters!U18:V25,Parameters!U46:V53,Parameters!U70:V77)</f>
        <v>5.5321428571428584E-2</v>
      </c>
      <c r="D231" s="114" t="s">
        <v>100</v>
      </c>
      <c r="E231" s="131"/>
      <c r="F231" s="131"/>
      <c r="G231" s="131"/>
      <c r="H231" s="132"/>
    </row>
    <row r="232" spans="2:9" ht="24" customHeight="1">
      <c r="B232" s="128" t="s">
        <v>101</v>
      </c>
      <c r="C232" s="331">
        <f>AVERAGE(Parameters!U94:V101)</f>
        <v>4.2829493087557603E-2</v>
      </c>
      <c r="D232" s="114" t="s">
        <v>100</v>
      </c>
      <c r="E232" s="131"/>
      <c r="F232" s="131"/>
      <c r="G232" s="131"/>
      <c r="H232" s="132"/>
    </row>
    <row r="233" spans="2:9" ht="24" customHeight="1">
      <c r="B233" s="128" t="s">
        <v>2002</v>
      </c>
      <c r="C233" s="331">
        <f>AVERAGE(Parameters!U111:V120)</f>
        <v>4.8049999999999995E-2</v>
      </c>
      <c r="D233" s="114" t="s">
        <v>100</v>
      </c>
      <c r="E233" s="131"/>
      <c r="F233" s="131"/>
      <c r="G233" s="131"/>
      <c r="H233" s="132"/>
    </row>
    <row r="234" spans="2:9" ht="24" customHeight="1" thickBot="1">
      <c r="B234" s="128"/>
      <c r="C234" s="331"/>
      <c r="D234" s="130"/>
      <c r="E234" s="131"/>
      <c r="F234" s="131"/>
      <c r="G234" s="131"/>
      <c r="H234" s="132"/>
    </row>
    <row r="235" spans="2:9" ht="24" customHeight="1" thickBot="1">
      <c r="B235" s="371" t="s">
        <v>2016</v>
      </c>
      <c r="C235" s="372"/>
      <c r="D235" s="372"/>
      <c r="E235" s="372"/>
      <c r="F235" s="372"/>
      <c r="G235" s="372"/>
      <c r="H235" s="373"/>
    </row>
    <row r="236" spans="2:9" ht="24" customHeight="1">
      <c r="B236" s="128" t="s">
        <v>2007</v>
      </c>
      <c r="C236" s="386">
        <f>AVERAGE(Parameters!U27:V27)</f>
        <v>6.8394666666666659E-2</v>
      </c>
      <c r="D236" s="114" t="s">
        <v>100</v>
      </c>
      <c r="E236" s="330"/>
      <c r="F236" s="330"/>
      <c r="G236" s="330"/>
      <c r="H236" s="132"/>
    </row>
    <row r="237" spans="2:9" ht="24" customHeight="1">
      <c r="B237" s="128" t="s">
        <v>2008</v>
      </c>
      <c r="C237" s="386">
        <f>AVERAGE(Parameters!U103:V103)</f>
        <v>4.787626666666666E-2</v>
      </c>
      <c r="D237" s="114" t="s">
        <v>100</v>
      </c>
      <c r="E237" s="330"/>
      <c r="F237" s="330"/>
      <c r="G237" s="330"/>
      <c r="H237" s="132"/>
    </row>
    <row r="238" spans="2:9" ht="24" customHeight="1">
      <c r="B238" s="128" t="s">
        <v>2009</v>
      </c>
      <c r="C238" s="386">
        <f>AVERAGE(Parameters!U131:V131)</f>
        <v>5.3476266666666661E-2</v>
      </c>
      <c r="D238" s="114" t="s">
        <v>100</v>
      </c>
      <c r="E238" s="330"/>
      <c r="F238" s="330"/>
      <c r="G238" s="330"/>
      <c r="H238" s="132"/>
    </row>
    <row r="239" spans="2:9" ht="24" customHeight="1">
      <c r="B239" s="128"/>
      <c r="C239" s="386"/>
      <c r="D239" s="114"/>
      <c r="E239" s="330"/>
      <c r="F239" s="330"/>
      <c r="G239" s="330"/>
      <c r="H239" s="132"/>
    </row>
    <row r="240" spans="2:9" ht="24" customHeight="1">
      <c r="B240" s="128" t="s">
        <v>2010</v>
      </c>
      <c r="C240" s="388">
        <f>AVERAGE(Parameters!U29:V29)</f>
        <v>13.747549425287357</v>
      </c>
      <c r="D240" s="114" t="s">
        <v>4311</v>
      </c>
      <c r="E240" s="330"/>
      <c r="F240" s="330"/>
      <c r="G240" s="330"/>
      <c r="H240" s="132"/>
    </row>
    <row r="241" spans="2:13" ht="24" customHeight="1">
      <c r="B241" s="128" t="s">
        <v>2011</v>
      </c>
      <c r="C241" s="388">
        <f>AVERAGE(Parameters!U105:V105)</f>
        <v>8.9359071264367831</v>
      </c>
      <c r="D241" s="114" t="s">
        <v>4311</v>
      </c>
      <c r="E241" s="330"/>
      <c r="F241" s="330"/>
      <c r="G241" s="330"/>
      <c r="H241" s="132"/>
    </row>
    <row r="242" spans="2:13" ht="24" customHeight="1">
      <c r="B242" s="128" t="s">
        <v>2012</v>
      </c>
      <c r="C242" s="388">
        <f>AVERAGE(Parameters!U133:V133)</f>
        <v>9.0036426888951873</v>
      </c>
      <c r="D242" s="114" t="s">
        <v>4311</v>
      </c>
      <c r="E242" s="330"/>
      <c r="F242" s="330"/>
      <c r="G242" s="330"/>
      <c r="H242" s="132"/>
    </row>
    <row r="243" spans="2:13" ht="24" customHeight="1">
      <c r="B243" s="128"/>
      <c r="C243" s="387"/>
      <c r="D243" s="114"/>
      <c r="E243" s="330"/>
      <c r="F243" s="330"/>
      <c r="G243" s="330"/>
      <c r="H243" s="132"/>
    </row>
    <row r="244" spans="2:13" ht="24" customHeight="1">
      <c r="B244" s="128" t="s">
        <v>2013</v>
      </c>
      <c r="C244" s="387">
        <f>AVERAGE(Parameters!U28:V28)</f>
        <v>0.82085684210526322</v>
      </c>
      <c r="D244" s="114" t="s">
        <v>100</v>
      </c>
      <c r="E244" s="330"/>
      <c r="F244" s="330"/>
      <c r="G244" s="330"/>
      <c r="H244" s="132"/>
    </row>
    <row r="245" spans="2:13" ht="24" customHeight="1">
      <c r="B245" s="128" t="s">
        <v>2014</v>
      </c>
      <c r="C245" s="387">
        <f>AVERAGE(Parameters!U104:V104)</f>
        <v>0.7387711578947368</v>
      </c>
      <c r="D245" s="114" t="s">
        <v>100</v>
      </c>
      <c r="E245" s="330"/>
      <c r="F245" s="330"/>
      <c r="G245" s="330"/>
      <c r="H245" s="132"/>
    </row>
    <row r="246" spans="2:13" ht="24" customHeight="1" thickBot="1">
      <c r="B246" s="138" t="s">
        <v>2015</v>
      </c>
      <c r="C246" s="389">
        <f>AVERAGE(Parameters!U132:V132)</f>
        <v>0.74437115789473673</v>
      </c>
      <c r="D246" s="117" t="s">
        <v>100</v>
      </c>
      <c r="E246" s="139"/>
      <c r="F246" s="139"/>
      <c r="G246" s="139"/>
      <c r="H246" s="140"/>
    </row>
    <row r="247" spans="2:13" ht="24" customHeight="1"/>
    <row r="248" spans="2:13" ht="24" customHeight="1">
      <c r="B248" s="99" t="s">
        <v>56</v>
      </c>
      <c r="C248" s="100"/>
      <c r="D248" s="100"/>
      <c r="E248" s="100"/>
      <c r="F248" s="100"/>
      <c r="G248" s="100"/>
      <c r="H248" s="100"/>
      <c r="I248" s="100"/>
      <c r="J248" s="100"/>
      <c r="K248" s="100"/>
      <c r="L248" s="100"/>
      <c r="M248" s="100"/>
    </row>
    <row r="249" spans="2:13" ht="24" customHeight="1">
      <c r="B249" s="100" t="s">
        <v>4404</v>
      </c>
      <c r="C249" s="100"/>
      <c r="D249" s="100"/>
      <c r="E249" s="100"/>
      <c r="F249" s="100"/>
      <c r="G249" s="100"/>
      <c r="H249" s="100"/>
      <c r="I249" s="100"/>
      <c r="J249" s="100"/>
      <c r="K249" s="100"/>
      <c r="L249" s="100"/>
      <c r="M249" s="100"/>
    </row>
    <row r="250" spans="2:13" ht="24" customHeight="1">
      <c r="B250" s="100" t="s">
        <v>4405</v>
      </c>
      <c r="C250" s="100"/>
      <c r="D250" s="100"/>
      <c r="E250" s="100"/>
      <c r="F250" s="100"/>
      <c r="G250" s="100"/>
      <c r="H250" s="100"/>
      <c r="I250" s="100"/>
      <c r="J250" s="100"/>
      <c r="K250" s="100"/>
      <c r="L250" s="100"/>
      <c r="M250" s="100"/>
    </row>
    <row r="251" spans="2:13" ht="24" customHeight="1">
      <c r="B251" s="100" t="s">
        <v>4406</v>
      </c>
      <c r="C251" s="100"/>
      <c r="D251" s="100"/>
      <c r="E251" s="100"/>
      <c r="F251" s="100"/>
      <c r="G251" s="100"/>
      <c r="H251" s="100"/>
      <c r="I251" s="100"/>
      <c r="J251" s="100"/>
      <c r="K251" s="100"/>
      <c r="L251" s="100"/>
      <c r="M251" s="100"/>
    </row>
    <row r="252" spans="2:13" ht="24" customHeight="1">
      <c r="B252" s="100" t="s">
        <v>4407</v>
      </c>
      <c r="C252" s="100"/>
      <c r="D252" s="100"/>
      <c r="E252" s="100"/>
      <c r="F252" s="100"/>
      <c r="G252" s="100"/>
      <c r="H252" s="100"/>
      <c r="I252" s="100"/>
      <c r="J252" s="100"/>
      <c r="K252" s="100"/>
      <c r="L252" s="100"/>
      <c r="M252" s="100"/>
    </row>
    <row r="253" spans="2:13" ht="24" customHeight="1">
      <c r="B253" s="100" t="s">
        <v>4408</v>
      </c>
      <c r="C253" s="100"/>
      <c r="D253" s="100"/>
      <c r="E253" s="100"/>
      <c r="F253" s="100"/>
      <c r="G253" s="100"/>
      <c r="H253" s="100"/>
      <c r="I253" s="100"/>
      <c r="J253" s="100"/>
      <c r="K253" s="100"/>
      <c r="L253" s="100"/>
      <c r="M253" s="100"/>
    </row>
    <row r="254" spans="2:13" ht="24" customHeight="1">
      <c r="B254" s="352" t="s">
        <v>102</v>
      </c>
      <c r="C254" s="353"/>
      <c r="D254" s="353"/>
      <c r="E254" s="353"/>
      <c r="F254" s="353"/>
      <c r="G254" s="353"/>
      <c r="H254" s="353"/>
      <c r="I254" s="353"/>
      <c r="J254" s="353"/>
      <c r="K254" s="353"/>
      <c r="L254" s="353"/>
      <c r="M254" s="353"/>
    </row>
    <row r="255" spans="2:13" ht="24" customHeight="1">
      <c r="B255" s="146"/>
      <c r="C255" s="147"/>
      <c r="D255" s="147"/>
      <c r="E255" s="147"/>
      <c r="F255" s="147"/>
      <c r="G255" s="147"/>
      <c r="H255" s="147"/>
      <c r="I255" s="147"/>
      <c r="J255" s="147"/>
      <c r="K255" s="147"/>
      <c r="L255" s="147"/>
      <c r="M255" s="147"/>
    </row>
    <row r="256" spans="2:13" ht="24" customHeight="1">
      <c r="B256" s="101" t="s">
        <v>103</v>
      </c>
      <c r="C256" s="100"/>
    </row>
    <row r="257" spans="2:3" ht="24" customHeight="1">
      <c r="B257" s="100" t="s">
        <v>1526</v>
      </c>
      <c r="C257" s="177" t="s">
        <v>691</v>
      </c>
    </row>
    <row r="258" spans="2:3" ht="24" customHeight="1">
      <c r="B258" s="100"/>
      <c r="C258" s="100"/>
    </row>
    <row r="259" spans="2:3" ht="24" customHeight="1">
      <c r="B259" s="148" t="s">
        <v>106</v>
      </c>
      <c r="C259" s="100"/>
    </row>
    <row r="260" spans="2:3" ht="24" customHeight="1">
      <c r="C260" s="100"/>
    </row>
    <row r="261" spans="2:3" ht="24" customHeight="1">
      <c r="B261" s="99" t="s">
        <v>56</v>
      </c>
      <c r="C261" s="100"/>
    </row>
    <row r="262" spans="2:3" ht="24" customHeight="1">
      <c r="B262" s="100" t="s">
        <v>4335</v>
      </c>
      <c r="C262" s="100"/>
    </row>
    <row r="263" spans="2:3" ht="24" customHeight="1">
      <c r="B263" s="100" t="s">
        <v>4409</v>
      </c>
      <c r="C263" s="100"/>
    </row>
    <row r="264" spans="2:3" ht="24" customHeight="1">
      <c r="B264" s="100" t="s">
        <v>4410</v>
      </c>
      <c r="C264" s="100"/>
    </row>
    <row r="265" spans="2:3" ht="24" customHeight="1">
      <c r="B265" s="100" t="s">
        <v>4411</v>
      </c>
      <c r="C265" s="100"/>
    </row>
    <row r="266" spans="2:3" ht="24" customHeight="1">
      <c r="B266" s="100" t="s">
        <v>1538</v>
      </c>
      <c r="C266" s="100"/>
    </row>
    <row r="267" spans="2:3" ht="24" customHeight="1">
      <c r="B267" s="200" t="s">
        <v>1531</v>
      </c>
      <c r="C267" s="100"/>
    </row>
    <row r="268" spans="2:3" ht="24" customHeight="1">
      <c r="B268" s="200" t="s">
        <v>1533</v>
      </c>
      <c r="C268" s="100"/>
    </row>
    <row r="269" spans="2:3" ht="24" customHeight="1">
      <c r="B269" s="200" t="s">
        <v>1532</v>
      </c>
      <c r="C269" s="100"/>
    </row>
    <row r="270" spans="2:3" ht="24" customHeight="1">
      <c r="B270" s="200" t="s">
        <v>1539</v>
      </c>
      <c r="C270" s="100"/>
    </row>
    <row r="271" spans="2:3" ht="24" customHeight="1">
      <c r="B271" s="200" t="s">
        <v>4412</v>
      </c>
      <c r="C271" s="100"/>
    </row>
    <row r="272" spans="2:3" ht="24" customHeight="1">
      <c r="B272" s="200"/>
      <c r="C272" s="100"/>
    </row>
    <row r="273" spans="2:10" ht="24" customHeight="1">
      <c r="B273" s="101" t="s">
        <v>45</v>
      </c>
      <c r="C273" s="100"/>
    </row>
    <row r="274" spans="2:10" ht="24" customHeight="1">
      <c r="B274" s="100" t="s">
        <v>107</v>
      </c>
      <c r="C274" s="100"/>
    </row>
    <row r="275" spans="2:10" ht="24" customHeight="1">
      <c r="B275" s="100" t="s">
        <v>4413</v>
      </c>
      <c r="C275" s="100"/>
    </row>
    <row r="276" spans="2:10" ht="24" customHeight="1">
      <c r="B276" s="100" t="s">
        <v>1527</v>
      </c>
      <c r="C276" s="177" t="s">
        <v>1528</v>
      </c>
    </row>
    <row r="277" spans="2:10" ht="24" customHeight="1">
      <c r="B277" s="100" t="s">
        <v>1529</v>
      </c>
      <c r="C277" s="177" t="s">
        <v>1530</v>
      </c>
    </row>
    <row r="278" spans="2:10" ht="24" customHeight="1" thickBot="1"/>
    <row r="279" spans="2:10" ht="39" customHeight="1" thickBot="1">
      <c r="B279" s="374" t="s">
        <v>108</v>
      </c>
      <c r="C279" s="375"/>
      <c r="D279" s="375"/>
      <c r="E279" s="375"/>
      <c r="F279" s="375"/>
      <c r="G279" s="375"/>
      <c r="H279" s="376"/>
    </row>
    <row r="280" spans="2:10" ht="24" customHeight="1"/>
    <row r="281" spans="2:10" ht="24" customHeight="1">
      <c r="B281" s="99" t="s">
        <v>56</v>
      </c>
      <c r="C281" s="100"/>
    </row>
    <row r="282" spans="2:10" ht="24" customHeight="1">
      <c r="B282" s="100" t="s">
        <v>4414</v>
      </c>
      <c r="C282" s="100"/>
      <c r="D282" s="149"/>
      <c r="J282" s="143"/>
    </row>
    <row r="283" spans="2:10" ht="24" customHeight="1">
      <c r="B283" s="100" t="s">
        <v>109</v>
      </c>
      <c r="C283" s="100"/>
      <c r="D283" s="149"/>
    </row>
    <row r="284" spans="2:10" ht="24" customHeight="1">
      <c r="B284" s="100" t="s">
        <v>4415</v>
      </c>
      <c r="C284" s="100"/>
      <c r="D284" s="149"/>
    </row>
    <row r="285" spans="2:10" ht="24" customHeight="1">
      <c r="B285" s="100"/>
      <c r="C285" s="100"/>
    </row>
    <row r="286" spans="2:10" ht="24" customHeight="1">
      <c r="B286" s="101" t="s">
        <v>45</v>
      </c>
      <c r="C286" s="100"/>
    </row>
    <row r="287" spans="2:10" ht="24" customHeight="1">
      <c r="B287" s="100" t="s">
        <v>110</v>
      </c>
      <c r="C287" s="177" t="s">
        <v>692</v>
      </c>
    </row>
    <row r="288" spans="2:10" ht="17" thickBot="1"/>
    <row r="289" spans="2:8" ht="29" thickBot="1">
      <c r="B289" s="374" t="s">
        <v>835</v>
      </c>
      <c r="C289" s="375"/>
      <c r="D289" s="375"/>
      <c r="E289" s="375"/>
      <c r="F289" s="375"/>
      <c r="G289" s="375"/>
      <c r="H289" s="376"/>
    </row>
    <row r="292" spans="2:8" ht="21">
      <c r="B292" s="99" t="s">
        <v>836</v>
      </c>
      <c r="C292" s="100"/>
      <c r="D292" s="100"/>
    </row>
    <row r="293" spans="2:8" ht="21">
      <c r="B293" s="122" t="s">
        <v>1610</v>
      </c>
      <c r="C293" s="100"/>
      <c r="D293" s="212">
        <v>17500</v>
      </c>
    </row>
    <row r="294" spans="2:8" ht="21">
      <c r="B294" s="122" t="s">
        <v>1608</v>
      </c>
      <c r="C294" s="100"/>
      <c r="D294" s="212">
        <v>25000</v>
      </c>
    </row>
    <row r="295" spans="2:8" ht="21">
      <c r="B295" s="122" t="s">
        <v>4322</v>
      </c>
      <c r="C295" s="100"/>
      <c r="D295" s="212">
        <v>11500</v>
      </c>
    </row>
    <row r="298" spans="2:8" ht="21">
      <c r="B298" s="101" t="s">
        <v>45</v>
      </c>
    </row>
    <row r="299" spans="2:8" ht="21">
      <c r="B299" s="100" t="s">
        <v>1607</v>
      </c>
    </row>
    <row r="300" spans="2:8" ht="17" thickBot="1"/>
    <row r="301" spans="2:8" ht="29" thickBot="1">
      <c r="B301" s="374" t="s">
        <v>857</v>
      </c>
      <c r="C301" s="375"/>
      <c r="D301" s="375"/>
      <c r="E301" s="375"/>
      <c r="F301" s="375"/>
      <c r="G301" s="375"/>
      <c r="H301" s="376"/>
    </row>
    <row r="303" spans="2:8" ht="21">
      <c r="B303" s="122" t="s">
        <v>858</v>
      </c>
      <c r="C303" s="83">
        <f>Euro_ton_CO2</f>
        <v>25</v>
      </c>
    </row>
    <row r="305" spans="1:8" ht="21">
      <c r="B305" s="99" t="s">
        <v>836</v>
      </c>
    </row>
    <row r="306" spans="1:8" ht="21">
      <c r="B306" s="122" t="s">
        <v>860</v>
      </c>
    </row>
    <row r="308" spans="1:8" ht="21">
      <c r="B308" s="101" t="s">
        <v>45</v>
      </c>
    </row>
    <row r="309" spans="1:8" ht="21">
      <c r="A309" s="150" t="s">
        <v>399</v>
      </c>
      <c r="B309" s="122" t="s">
        <v>861</v>
      </c>
    </row>
    <row r="310" spans="1:8">
      <c r="A310" s="150"/>
      <c r="B310" s="177" t="s">
        <v>862</v>
      </c>
    </row>
    <row r="311" spans="1:8">
      <c r="A311" s="150"/>
    </row>
    <row r="312" spans="1:8" ht="21">
      <c r="A312" s="150" t="s">
        <v>400</v>
      </c>
      <c r="B312" s="122" t="s">
        <v>863</v>
      </c>
    </row>
    <row r="313" spans="1:8">
      <c r="B313" s="177" t="s">
        <v>864</v>
      </c>
    </row>
    <row r="315" spans="1:8" ht="17" thickBot="1"/>
    <row r="316" spans="1:8" ht="29" thickBot="1">
      <c r="B316" s="374" t="s">
        <v>1966</v>
      </c>
      <c r="C316" s="375"/>
      <c r="D316" s="375"/>
      <c r="E316" s="375"/>
      <c r="F316" s="375"/>
      <c r="G316" s="375"/>
      <c r="H316" s="376"/>
    </row>
    <row r="318" spans="1:8">
      <c r="B318" s="211" t="s">
        <v>1625</v>
      </c>
    </row>
    <row r="319" spans="1:8" ht="21">
      <c r="B319" s="122" t="s">
        <v>1620</v>
      </c>
      <c r="C319" s="315">
        <f>_CAPEX_laadpunt_22kW_turn_key</f>
        <v>5000</v>
      </c>
      <c r="D319" s="100" t="s">
        <v>1690</v>
      </c>
      <c r="E319" s="368" t="s">
        <v>2024</v>
      </c>
      <c r="F319" s="368"/>
    </row>
    <row r="320" spans="1:8" ht="21">
      <c r="B320" s="122" t="s">
        <v>1624</v>
      </c>
      <c r="C320" s="315">
        <f>_OPEX_laadpunt_22kW_jaar</f>
        <v>85</v>
      </c>
      <c r="D320" s="100" t="s">
        <v>1630</v>
      </c>
    </row>
    <row r="321" spans="2:6" ht="21">
      <c r="B321" s="122"/>
      <c r="C321" s="315"/>
      <c r="D321" s="100"/>
    </row>
    <row r="322" spans="2:6" ht="21" customHeight="1">
      <c r="B322" s="213" t="s">
        <v>1612</v>
      </c>
      <c r="C322" s="315"/>
      <c r="D322" s="100"/>
    </row>
    <row r="323" spans="2:6" ht="21" customHeight="1">
      <c r="B323" s="122" t="s">
        <v>1613</v>
      </c>
      <c r="C323" s="315">
        <f>_CAPEX_laadpunt_22kW</f>
        <v>1300</v>
      </c>
      <c r="D323" s="100" t="s">
        <v>1690</v>
      </c>
    </row>
    <row r="324" spans="2:6" ht="21" customHeight="1">
      <c r="B324" s="122" t="s">
        <v>1623</v>
      </c>
      <c r="C324" s="315">
        <f>_CAPEX_overig_22kW</f>
        <v>3700</v>
      </c>
      <c r="D324" s="100" t="s">
        <v>1690</v>
      </c>
    </row>
    <row r="325" spans="2:6" ht="21" customHeight="1">
      <c r="B325" s="122"/>
      <c r="C325" s="315"/>
      <c r="D325" s="100"/>
      <c r="F325" s="390"/>
    </row>
    <row r="326" spans="2:6" ht="21" customHeight="1">
      <c r="B326" s="213" t="s">
        <v>1615</v>
      </c>
      <c r="C326" s="316"/>
      <c r="F326" s="390"/>
    </row>
    <row r="327" spans="2:6" ht="21" customHeight="1">
      <c r="B327" s="122" t="s">
        <v>1616</v>
      </c>
      <c r="C327" s="315">
        <f>_CAPEX_laadpunt_22kW_turn_key_min</f>
        <v>1750</v>
      </c>
      <c r="D327" s="100" t="s">
        <v>1690</v>
      </c>
      <c r="E327" s="368" t="s">
        <v>2026</v>
      </c>
      <c r="F327" s="368"/>
    </row>
    <row r="328" spans="2:6" ht="21" customHeight="1">
      <c r="B328" s="122" t="s">
        <v>1617</v>
      </c>
      <c r="C328" s="174">
        <f>(C319-C327)/C319</f>
        <v>0.65</v>
      </c>
      <c r="D328" s="100"/>
      <c r="F328" s="390"/>
    </row>
    <row r="329" spans="2:6" ht="22" customHeight="1">
      <c r="B329" s="122" t="s">
        <v>1618</v>
      </c>
      <c r="C329" s="315">
        <f>_CAPEX_laadpunt_22kW_turn_key_max</f>
        <v>6500</v>
      </c>
      <c r="D329" s="100" t="s">
        <v>1690</v>
      </c>
      <c r="E329" s="368" t="s">
        <v>2025</v>
      </c>
      <c r="F329" s="368"/>
    </row>
    <row r="330" spans="2:6" ht="22" customHeight="1">
      <c r="B330" s="122" t="s">
        <v>1619</v>
      </c>
      <c r="C330" s="174">
        <f>(C329-C319)/C319</f>
        <v>0.3</v>
      </c>
      <c r="D330" s="100"/>
      <c r="E330" s="214"/>
      <c r="F330" s="390"/>
    </row>
    <row r="331" spans="2:6" ht="22" customHeight="1">
      <c r="B331" s="122" t="s">
        <v>2023</v>
      </c>
      <c r="C331" s="174">
        <f>AVERAGE(C328,C330)</f>
        <v>0.47499999999999998</v>
      </c>
      <c r="D331" s="100"/>
      <c r="E331" s="214"/>
      <c r="F331" s="390"/>
    </row>
    <row r="332" spans="2:6" ht="22" customHeight="1">
      <c r="B332" s="122"/>
      <c r="C332" s="316"/>
      <c r="F332" s="390"/>
    </row>
    <row r="333" spans="2:6" ht="22" customHeight="1">
      <c r="B333" s="122" t="s">
        <v>1669</v>
      </c>
      <c r="C333" s="316">
        <f>_aantal_voertuig_per_laadpunt_berek</f>
        <v>1</v>
      </c>
      <c r="F333" s="391"/>
    </row>
    <row r="334" spans="2:6" ht="22" customHeight="1">
      <c r="B334" s="122" t="s">
        <v>1676</v>
      </c>
      <c r="C334" s="316">
        <f>IF($C$28="nee",_aantal_voertuig_per_laadpunt_berek,$C$29)</f>
        <v>1</v>
      </c>
      <c r="F334" s="390"/>
    </row>
    <row r="335" spans="2:6" ht="22" customHeight="1">
      <c r="B335" s="122"/>
      <c r="C335" s="316"/>
      <c r="F335" s="390"/>
    </row>
    <row r="336" spans="2:6" ht="22" customHeight="1">
      <c r="B336" s="211" t="s">
        <v>1967</v>
      </c>
      <c r="C336" s="316"/>
      <c r="F336" s="390"/>
    </row>
    <row r="337" spans="2:6" ht="22" customHeight="1">
      <c r="B337" s="122" t="s">
        <v>1969</v>
      </c>
      <c r="C337" s="316">
        <v>900</v>
      </c>
      <c r="D337" s="100" t="s">
        <v>1690</v>
      </c>
      <c r="F337" s="390"/>
    </row>
    <row r="338" spans="2:6" ht="22" customHeight="1">
      <c r="B338" s="122" t="s">
        <v>1968</v>
      </c>
      <c r="C338" s="316">
        <v>875</v>
      </c>
      <c r="D338" s="100" t="s">
        <v>1690</v>
      </c>
      <c r="F338" s="390"/>
    </row>
    <row r="339" spans="2:6" ht="22" customHeight="1">
      <c r="B339" s="122" t="s">
        <v>1976</v>
      </c>
      <c r="C339" s="316">
        <v>500</v>
      </c>
      <c r="D339" s="83" t="s">
        <v>1630</v>
      </c>
      <c r="F339" s="390"/>
    </row>
    <row r="340" spans="2:6" ht="22" customHeight="1">
      <c r="B340" s="122" t="s">
        <v>1977</v>
      </c>
      <c r="C340" s="316">
        <v>300</v>
      </c>
      <c r="D340" s="83" t="s">
        <v>1630</v>
      </c>
      <c r="F340" s="390"/>
    </row>
    <row r="341" spans="2:6" ht="22" customHeight="1">
      <c r="B341" s="122"/>
      <c r="F341" s="390"/>
    </row>
    <row r="342" spans="2:6" ht="22" customHeight="1">
      <c r="B342" s="122" t="s">
        <v>4416</v>
      </c>
      <c r="C342" s="316">
        <f>IF($C$26&gt;=1,IF(C27="nee",C337,C338),0)</f>
        <v>0</v>
      </c>
      <c r="D342" s="100" t="s">
        <v>1690</v>
      </c>
      <c r="F342" s="390"/>
    </row>
    <row r="343" spans="2:6" ht="22" customHeight="1">
      <c r="B343" s="122" t="s">
        <v>4417</v>
      </c>
      <c r="C343" s="316">
        <f>IF($C$26&gt;=1,IF(C27="nee",C339,C340),0)</f>
        <v>0</v>
      </c>
      <c r="D343" s="83" t="s">
        <v>1630</v>
      </c>
      <c r="F343" s="390"/>
    </row>
    <row r="344" spans="2:6" ht="22" customHeight="1">
      <c r="B344" s="122"/>
      <c r="F344" s="390"/>
    </row>
    <row r="345" spans="2:6" ht="22" customHeight="1">
      <c r="B345" s="122" t="s">
        <v>1979</v>
      </c>
      <c r="C345" s="317">
        <v>0</v>
      </c>
      <c r="F345" s="390"/>
    </row>
    <row r="346" spans="2:6" ht="22" customHeight="1">
      <c r="B346" s="122"/>
      <c r="F346" s="390"/>
    </row>
    <row r="347" spans="2:6" ht="21">
      <c r="B347" s="99" t="s">
        <v>836</v>
      </c>
    </row>
    <row r="348" spans="2:6" ht="21">
      <c r="B348" s="122" t="s">
        <v>4418</v>
      </c>
      <c r="D348" s="122"/>
    </row>
    <row r="349" spans="2:6" ht="21">
      <c r="B349" s="122" t="s">
        <v>4315</v>
      </c>
      <c r="D349" s="122"/>
    </row>
    <row r="350" spans="2:6" ht="21">
      <c r="B350" s="122" t="s">
        <v>4419</v>
      </c>
    </row>
    <row r="351" spans="2:6" ht="21">
      <c r="B351" s="122" t="s">
        <v>1614</v>
      </c>
    </row>
    <row r="352" spans="2:6" ht="21">
      <c r="B352" s="122" t="s">
        <v>4420</v>
      </c>
    </row>
    <row r="353" spans="2:2" ht="21">
      <c r="B353" s="341" t="s">
        <v>4421</v>
      </c>
    </row>
    <row r="354" spans="2:2" ht="21">
      <c r="B354" s="122" t="s">
        <v>1621</v>
      </c>
    </row>
    <row r="355" spans="2:2" ht="21">
      <c r="B355" s="122" t="s">
        <v>1622</v>
      </c>
    </row>
    <row r="356" spans="2:2" ht="21">
      <c r="B356" s="122" t="s">
        <v>4422</v>
      </c>
    </row>
    <row r="357" spans="2:2" ht="21">
      <c r="B357" s="122" t="s">
        <v>2027</v>
      </c>
    </row>
    <row r="358" spans="2:2" ht="21">
      <c r="B358" s="122" t="s">
        <v>2028</v>
      </c>
    </row>
    <row r="359" spans="2:2" ht="21">
      <c r="B359" s="122" t="s">
        <v>2029</v>
      </c>
    </row>
    <row r="360" spans="2:2" ht="21">
      <c r="B360" s="122" t="s">
        <v>1677</v>
      </c>
    </row>
    <row r="361" spans="2:2" ht="21">
      <c r="B361" s="122" t="s">
        <v>1726</v>
      </c>
    </row>
    <row r="362" spans="2:2" ht="21">
      <c r="B362" s="122" t="s">
        <v>4423</v>
      </c>
    </row>
    <row r="363" spans="2:2" ht="21">
      <c r="B363" s="122" t="s">
        <v>2030</v>
      </c>
    </row>
    <row r="364" spans="2:2" ht="21">
      <c r="B364" s="122" t="s">
        <v>1725</v>
      </c>
    </row>
    <row r="365" spans="2:2" ht="21">
      <c r="B365" s="122" t="s">
        <v>2031</v>
      </c>
    </row>
    <row r="366" spans="2:2" ht="21">
      <c r="B366" s="100" t="s">
        <v>2032</v>
      </c>
    </row>
    <row r="367" spans="2:2" ht="21">
      <c r="B367" s="100" t="s">
        <v>4424</v>
      </c>
    </row>
    <row r="368" spans="2:2" ht="21">
      <c r="B368" s="100" t="s">
        <v>2033</v>
      </c>
    </row>
    <row r="369" spans="2:8" ht="21">
      <c r="B369" s="100" t="s">
        <v>4425</v>
      </c>
    </row>
    <row r="370" spans="2:8" ht="21">
      <c r="B370" s="100" t="s">
        <v>2034</v>
      </c>
    </row>
    <row r="371" spans="2:8" ht="21">
      <c r="B371" s="100" t="s">
        <v>4426</v>
      </c>
    </row>
    <row r="372" spans="2:8" ht="21">
      <c r="B372" s="100" t="s">
        <v>4427</v>
      </c>
    </row>
    <row r="373" spans="2:8" ht="21">
      <c r="B373" s="100" t="s">
        <v>4428</v>
      </c>
    </row>
    <row r="374" spans="2:8" ht="21">
      <c r="B374" s="100" t="s">
        <v>4429</v>
      </c>
    </row>
    <row r="375" spans="2:8" ht="21">
      <c r="B375" s="100" t="s">
        <v>4314</v>
      </c>
    </row>
    <row r="376" spans="2:8" ht="22" thickBot="1">
      <c r="B376" s="100"/>
    </row>
    <row r="377" spans="2:8" ht="29" thickBot="1">
      <c r="B377" s="374" t="s">
        <v>1732</v>
      </c>
      <c r="C377" s="375"/>
      <c r="D377" s="375"/>
      <c r="E377" s="375"/>
      <c r="F377" s="375"/>
      <c r="G377" s="375"/>
      <c r="H377" s="376"/>
    </row>
    <row r="379" spans="2:8" ht="45" customHeight="1">
      <c r="B379" s="1385" t="s">
        <v>4430</v>
      </c>
      <c r="C379" s="1385"/>
      <c r="D379" s="1385"/>
      <c r="E379" s="1385"/>
      <c r="F379" s="1385"/>
      <c r="G379" s="1385"/>
      <c r="H379" s="1385"/>
    </row>
    <row r="380" spans="2:8" ht="21" customHeight="1">
      <c r="B380" s="1386" t="s">
        <v>4431</v>
      </c>
      <c r="C380" s="1386"/>
      <c r="D380" s="1386"/>
      <c r="E380" s="1386"/>
      <c r="F380" s="1386"/>
      <c r="G380" s="1386"/>
      <c r="H380" s="1386"/>
    </row>
    <row r="381" spans="2:8" ht="21" customHeight="1">
      <c r="B381" s="370"/>
      <c r="C381" s="370"/>
      <c r="D381" s="370"/>
      <c r="E381" s="370"/>
      <c r="F381" s="370"/>
      <c r="G381" s="370"/>
      <c r="H381" s="370"/>
    </row>
    <row r="382" spans="2:8" ht="21">
      <c r="B382" s="392" t="s">
        <v>2041</v>
      </c>
    </row>
    <row r="383" spans="2:8" ht="21">
      <c r="B383" s="392"/>
    </row>
    <row r="384" spans="2:8" ht="21">
      <c r="B384" s="392" t="s">
        <v>2038</v>
      </c>
    </row>
    <row r="385" spans="1:2" ht="21">
      <c r="B385" s="393" t="s">
        <v>2042</v>
      </c>
    </row>
    <row r="386" spans="1:2" ht="21">
      <c r="B386" s="393" t="s">
        <v>2039</v>
      </c>
    </row>
    <row r="387" spans="1:2" ht="21">
      <c r="B387" s="393"/>
    </row>
    <row r="388" spans="1:2" ht="21">
      <c r="B388" s="392" t="s">
        <v>2040</v>
      </c>
    </row>
    <row r="389" spans="1:2" ht="21">
      <c r="B389" s="393" t="s">
        <v>2043</v>
      </c>
    </row>
    <row r="390" spans="1:2" ht="21">
      <c r="B390" s="393" t="s">
        <v>4432</v>
      </c>
    </row>
    <row r="391" spans="1:2" ht="21">
      <c r="B391" s="393" t="s">
        <v>2037</v>
      </c>
    </row>
    <row r="393" spans="1:2" ht="21">
      <c r="B393" s="101" t="s">
        <v>45</v>
      </c>
    </row>
    <row r="394" spans="1:2" ht="21">
      <c r="A394" s="150" t="s">
        <v>399</v>
      </c>
      <c r="B394" s="122" t="s">
        <v>2035</v>
      </c>
    </row>
    <row r="395" spans="1:2">
      <c r="A395" s="150"/>
      <c r="B395" s="342" t="s">
        <v>2036</v>
      </c>
    </row>
  </sheetData>
  <sheetProtection algorithmName="SHA-512" hashValue="zN42dXA2NJ+VokkM2OmBWfkyn2suNeNjDQCuh1BZ+Cxz8pWBhhCrToP0nlCg9qIR5kBvVstBSfm9RMR/mkpRPg==" saltValue="85FMoJrW8Ph5sdG/6Sb9OQ==" spinCount="100000" sheet="1" objects="1" scenarios="1"/>
  <mergeCells count="56">
    <mergeCell ref="B379:H379"/>
    <mergeCell ref="B380:H380"/>
    <mergeCell ref="B43:I43"/>
    <mergeCell ref="B44:I44"/>
    <mergeCell ref="F31:I31"/>
    <mergeCell ref="F36:I36"/>
    <mergeCell ref="F33:I33"/>
    <mergeCell ref="F34:I34"/>
    <mergeCell ref="B137:H137"/>
    <mergeCell ref="B138:H138"/>
    <mergeCell ref="B139:H139"/>
    <mergeCell ref="B140:H140"/>
    <mergeCell ref="B141:H141"/>
    <mergeCell ref="B135:H135"/>
    <mergeCell ref="F41:I41"/>
    <mergeCell ref="F37:I37"/>
    <mergeCell ref="B136:H136"/>
    <mergeCell ref="F14:I14"/>
    <mergeCell ref="F6:I6"/>
    <mergeCell ref="F7:I7"/>
    <mergeCell ref="F9:I9"/>
    <mergeCell ref="F10:I10"/>
    <mergeCell ref="F11:I11"/>
    <mergeCell ref="F12:I12"/>
    <mergeCell ref="F13:I13"/>
    <mergeCell ref="F8:I8"/>
    <mergeCell ref="B134:H134"/>
    <mergeCell ref="F40:I40"/>
    <mergeCell ref="F23:I23"/>
    <mergeCell ref="F38:I38"/>
    <mergeCell ref="F39:I39"/>
    <mergeCell ref="F15:I15"/>
    <mergeCell ref="B2:D2"/>
    <mergeCell ref="F2:I2"/>
    <mergeCell ref="F5:I5"/>
    <mergeCell ref="F26:I26"/>
    <mergeCell ref="F30:I30"/>
    <mergeCell ref="F4:I4"/>
    <mergeCell ref="F17:I17"/>
    <mergeCell ref="F18:I18"/>
    <mergeCell ref="F19:I19"/>
    <mergeCell ref="F20:I20"/>
    <mergeCell ref="F21:I21"/>
    <mergeCell ref="F24:I24"/>
    <mergeCell ref="F27:I27"/>
    <mergeCell ref="F28:I28"/>
    <mergeCell ref="F29:I29"/>
    <mergeCell ref="B3:D3"/>
    <mergeCell ref="B133:H133"/>
    <mergeCell ref="F35:I35"/>
    <mergeCell ref="F32:I32"/>
    <mergeCell ref="B101:H101"/>
    <mergeCell ref="F22:I22"/>
    <mergeCell ref="F25:I25"/>
    <mergeCell ref="B129:H129"/>
    <mergeCell ref="B132:H132"/>
  </mergeCells>
  <dataValidations count="3">
    <dataValidation allowBlank="1" showInputMessage="1" sqref="C26 C21:C23" xr:uid="{0B707369-8899-EE49-AEE4-7E67214C2141}"/>
    <dataValidation type="whole" allowBlank="1" showInputMessage="1" sqref="C25" xr:uid="{7C5A3833-2791-B042-8996-02F24FA518C6}">
      <formula1>0</formula1>
      <formula2>1000</formula2>
    </dataValidation>
    <dataValidation type="whole" allowBlank="1" showInputMessage="1" showErrorMessage="1" sqref="C34" xr:uid="{A5FA960C-F0DB-4247-A553-A2B461B7B797}">
      <formula1>0</formula1>
      <formula2>150</formula2>
    </dataValidation>
  </dataValidations>
  <hyperlinks>
    <hyperlink ref="C74" r:id="rId1" location="/kenteken" tooltip="ANWB, Restwaarde auto berekenen" xr:uid="{063EB951-7C10-A34B-AA5A-DFBC47152E67}"/>
    <hyperlink ref="C99" r:id="rId2" tooltip="CO2 emissiefactoren" xr:uid="{17A29BA0-17CA-0744-86F9-2CBAED68E8EC}"/>
    <hyperlink ref="C175" r:id="rId3" location="/CBS/nl/dataset/80416ned/table?ts=1574326671767" xr:uid="{B7879B06-DC2D-3C4C-A7E5-2C72F53ECBD4}"/>
    <hyperlink ref="C197" r:id="rId4" tooltip="Belastingdienst, BPM belasting" xr:uid="{F4F970F5-D568-314E-868A-13D3DD5AF67D}"/>
    <hyperlink ref="C216" r:id="rId5" xr:uid="{D922CD74-BC71-C94F-96F8-89648A2B065F}"/>
    <hyperlink ref="C257" r:id="rId6" location="/merkentype" tooltip="ANWB, Rekentool berekenen autokosten" xr:uid="{E09FDA2E-99F2-FA48-93DA-A7ED9D16E5FD}"/>
    <hyperlink ref="C287" r:id="rId7" tooltip="RVO, Subsidies voor duurzaam transport" xr:uid="{561DDF74-AE64-BF47-AC3B-0AD0DA775A0C}"/>
    <hyperlink ref="C144" r:id="rId8" tooltip="RDW, Het Brandstofverbruiksboekje (diesel en benzine voertuigen)" xr:uid="{463E4AD5-5D74-684D-8983-0AEE9444613C}"/>
    <hyperlink ref="C146" r:id="rId9" tooltip="ANWB, Top 10 zuinige en schone bestelauto's" xr:uid="{D027ADBB-FF0D-F74F-AEBA-F7E203A9B7FE}"/>
    <hyperlink ref="C147" r:id="rId10" tooltip="BOVAG, Worldwide Harmonized Light Vehicles Test Procedure" xr:uid="{1F34C4D6-F744-D648-853C-429C570FECE8}"/>
    <hyperlink ref="C145" r:id="rId11" tooltip="EV databse: een specificatie-overzicht van alle elektrische auto's" xr:uid="{4784AA76-4C71-F544-AFBD-2818D9B47E95}"/>
    <hyperlink ref="C178" r:id="rId12" tooltip="Allego, laadprijzen" xr:uid="{2F5FED40-BE87-774E-91DD-56FEF38C8BB8}"/>
    <hyperlink ref="C179" r:id="rId13" tooltip="FastNed, laadprijzen snelladen" xr:uid="{D1044D84-F8D7-AC49-A623-0DB08248DF6B}"/>
    <hyperlink ref="C180" r:id="rId14" tooltip="LeaseBlog, Kosten om een elektrische auto op te laden" xr:uid="{287EA998-AF08-E447-A938-7CB00C9B9F21}"/>
    <hyperlink ref="B310" r:id="rId15" xr:uid="{DB8AEA67-47BB-0F4A-B7A9-A7E61178E342}"/>
    <hyperlink ref="B313" r:id="rId16" xr:uid="{3D8237C1-D1B7-9B4F-BC40-2521F0BB4F80}"/>
    <hyperlink ref="C75" r:id="rId17" xr:uid="{CE6DEE0B-A855-A845-8511-B45A1DE29304}"/>
    <hyperlink ref="C217" r:id="rId18" xr:uid="{FBA9CC1C-F66D-0944-B3F1-B3CB870F9843}"/>
    <hyperlink ref="C218" r:id="rId19" xr:uid="{EC60FB79-81FA-104D-9428-6E9DB4F616BD}"/>
    <hyperlink ref="C219" r:id="rId20" xr:uid="{7561A0EC-9AB1-CC4F-9A3C-436FF5AF6CC3}"/>
    <hyperlink ref="C199" r:id="rId21" xr:uid="{553C2D22-70A7-FF44-B6E5-164E82422577}"/>
    <hyperlink ref="C198" r:id="rId22" xr:uid="{B75DEB39-9D4D-3F49-A22E-E798221D672F}"/>
    <hyperlink ref="C200" r:id="rId23" xr:uid="{5F1120CB-C68B-514F-B4C1-B2FCE7ACC8F4}"/>
    <hyperlink ref="C220" r:id="rId24" xr:uid="{9706E12B-9B17-7D4F-AC44-ACDE35B3F459}"/>
    <hyperlink ref="C221" r:id="rId25" xr:uid="{69DF67F4-4DAC-0A43-9A85-C868CFE5E30B}"/>
    <hyperlink ref="C276" r:id="rId26" xr:uid="{7D9DA8B1-0933-3D4C-B543-C3596B690E30}"/>
    <hyperlink ref="C277" r:id="rId27" xr:uid="{86CDD1DA-F028-4F4F-9913-55531F45A9B5}"/>
    <hyperlink ref="C176" r:id="rId28" xr:uid="{A692E06A-A808-9249-BF02-0284CD2964CB}"/>
    <hyperlink ref="C181" r:id="rId29" xr:uid="{9CD7E917-3019-4B40-B207-09AF236E8FC7}"/>
    <hyperlink ref="C177" r:id="rId30" xr:uid="{1C4468BC-3AB1-D14A-B0EA-EF0C373F0075}"/>
    <hyperlink ref="B395" r:id="rId31" xr:uid="{9F65F134-35F8-8D43-A0D8-436D5AE9C81B}"/>
  </hyperlinks>
  <pageMargins left="0.7" right="0.7" top="0.75" bottom="0.75" header="0.3" footer="0.3"/>
  <drawing r:id="rId32"/>
  <extLst>
    <ext xmlns:x14="http://schemas.microsoft.com/office/spreadsheetml/2009/9/main" uri="{CCE6A557-97BC-4b89-ADB6-D9C93CAAB3DF}">
      <x14:dataValidations xmlns:xm="http://schemas.microsoft.com/office/excel/2006/main" count="21">
        <x14:dataValidation type="list" allowBlank="1" showInputMessage="1" showErrorMessage="1" xr:uid="{AB5FCDB6-B004-4747-A344-5EBD6835C911}">
          <x14:formula1>
            <xm:f>'Input drop-down menu''s'!$M$4:$M$13</xm:f>
          </x14:formula1>
          <xm:sqref>C5</xm:sqref>
        </x14:dataValidation>
        <x14:dataValidation type="list" allowBlank="1" showInputMessage="1" showErrorMessage="1" xr:uid="{211EC2F6-A535-034E-8CDD-4F10E334AFA0}">
          <x14:formula1>
            <xm:f>'Input drop-down menu''s'!$C$4:$C$6</xm:f>
          </x14:formula1>
          <xm:sqref>C6</xm:sqref>
        </x14:dataValidation>
        <x14:dataValidation type="list" allowBlank="1" showInputMessage="1" showErrorMessage="1" xr:uid="{8A0C4643-DF22-6149-BCFE-7891C50934DB}">
          <x14:formula1>
            <xm:f>'Input drop-down menu''s'!$G$4:$G$5</xm:f>
          </x14:formula1>
          <xm:sqref>C10</xm:sqref>
        </x14:dataValidation>
        <x14:dataValidation type="list" allowBlank="1" showInputMessage="1" showErrorMessage="1" xr:uid="{7EBA6A46-3947-CD47-ACD5-68C53F162F75}">
          <x14:formula1>
            <xm:f>'Input drop-down menu''s'!$K$4:$K$5</xm:f>
          </x14:formula1>
          <xm:sqref>C9:C11</xm:sqref>
        </x14:dataValidation>
        <x14:dataValidation type="list" allowBlank="1" showInputMessage="1" showErrorMessage="1" xr:uid="{640B534B-BD54-1649-913F-2E75D52671B2}">
          <x14:formula1>
            <xm:f>'Input drop-down menu''s'!$I$4:$I$5</xm:f>
          </x14:formula1>
          <xm:sqref>C37</xm:sqref>
        </x14:dataValidation>
        <x14:dataValidation type="list" allowBlank="1" showInputMessage="1" showErrorMessage="1" xr:uid="{CFC32B4C-1667-A64D-BA54-BFF5D3C3C028}">
          <x14:formula1>
            <xm:f>'Input drop-down menu''s'!$S$4:$S$5</xm:f>
          </x14:formula1>
          <xm:sqref>C11</xm:sqref>
        </x14:dataValidation>
        <x14:dataValidation type="list" allowBlank="1" showInputMessage="1" showErrorMessage="1" xr:uid="{64201100-D64A-EC4B-BCEA-D28113029B17}">
          <x14:formula1>
            <xm:f>'Input drop-down menu''s'!$W$4:$W$5</xm:f>
          </x14:formula1>
          <xm:sqref>C7</xm:sqref>
        </x14:dataValidation>
        <x14:dataValidation type="list" allowBlank="1" showInputMessage="1" showErrorMessage="1" xr:uid="{765488C0-CEC5-0446-AFE4-9CA4328FD2C9}">
          <x14:formula1>
            <xm:f>'Input drop-down menu''s'!$K$11:$K$12</xm:f>
          </x14:formula1>
          <xm:sqref>C12:C13</xm:sqref>
        </x14:dataValidation>
        <x14:dataValidation type="list" allowBlank="1" showInputMessage="1" showErrorMessage="1" xr:uid="{E57F0153-FF9B-554A-B274-8077FE39C01F}">
          <x14:formula1>
            <xm:f>'Input drop-down menu''s'!$K$15:$K$16</xm:f>
          </x14:formula1>
          <xm:sqref>C13</xm:sqref>
        </x14:dataValidation>
        <x14:dataValidation type="list" allowBlank="1" showInputMessage="1" showErrorMessage="1" xr:uid="{803A02FA-F18C-9644-9D0E-AE87EDFE3807}">
          <x14:formula1>
            <xm:f>'Input drop-down menu''s'!$O$4:$O$9</xm:f>
          </x14:formula1>
          <xm:sqref>C4</xm:sqref>
        </x14:dataValidation>
        <x14:dataValidation type="list" allowBlank="1" showInputMessage="1" showErrorMessage="1" xr:uid="{30E53117-6D84-084A-AB99-BB7A5CB42486}">
          <x14:formula1>
            <xm:f>'Input drop-down menu''s'!$E$4:$E$5</xm:f>
          </x14:formula1>
          <xm:sqref>C8</xm:sqref>
        </x14:dataValidation>
        <x14:dataValidation type="list" allowBlank="1" showInputMessage="1" xr:uid="{FAD5E28B-2881-0846-96ED-58FCD7E3AD3B}">
          <x14:formula1>
            <xm:f>'Input drop-down menu''s'!$AA$4:$AA$5</xm:f>
          </x14:formula1>
          <xm:sqref>C28</xm:sqref>
        </x14:dataValidation>
        <x14:dataValidation type="list" allowBlank="1" showInputMessage="1" xr:uid="{13E5DB22-BCAB-BB44-8724-7F170E4C2B12}">
          <x14:formula1>
            <xm:f>'Input drop-down menu''s'!$AE$4:$AE$13</xm:f>
          </x14:formula1>
          <xm:sqref>C29</xm:sqref>
        </x14:dataValidation>
        <x14:dataValidation type="list" allowBlank="1" showInputMessage="1" showErrorMessage="1" xr:uid="{141B528D-8702-984F-BE4D-2B6F433CBE75}">
          <x14:formula1>
            <xm:f>'Input drop-down menu''s'!$AI$4:$AI$99</xm:f>
          </x14:formula1>
          <xm:sqref>C33</xm:sqref>
        </x14:dataValidation>
        <x14:dataValidation type="list" allowBlank="1" showInputMessage="1" showErrorMessage="1" xr:uid="{F55861E3-4F4F-F148-8433-35B3EF3D9672}">
          <x14:formula1>
            <xm:f>'Input drop-down menu''s'!$AK$4:$AK$368</xm:f>
          </x14:formula1>
          <xm:sqref>C35</xm:sqref>
        </x14:dataValidation>
        <x14:dataValidation type="list" allowBlank="1" showInputMessage="1" showErrorMessage="1" xr:uid="{4FEB95EB-BD2C-4645-B341-BC9DA8F5F266}">
          <x14:formula1>
            <xm:f>'Input drop-down menu''s'!$AM$4:$AM$5</xm:f>
          </x14:formula1>
          <xm:sqref>C32</xm:sqref>
        </x14:dataValidation>
        <x14:dataValidation type="list" allowBlank="1" showInputMessage="1" showErrorMessage="1" xr:uid="{6DF86241-E6C3-E445-9164-159C669275E2}">
          <x14:formula1>
            <xm:f>'Input drop-down menu''s'!$Q$4:$Q$24</xm:f>
          </x14:formula1>
          <xm:sqref>C17:C20</xm:sqref>
        </x14:dataValidation>
        <x14:dataValidation type="list" allowBlank="1" showInputMessage="1" xr:uid="{A08A7C4F-7E10-3A4F-A4DB-784C31DABC97}">
          <x14:formula1>
            <xm:f>'Input drop-down menu''s'!$AR$4:$AR$5</xm:f>
          </x14:formula1>
          <xm:sqref>C27</xm:sqref>
        </x14:dataValidation>
        <x14:dataValidation type="list" allowBlank="1" showInputMessage="1" xr:uid="{8ABEF21A-5C9F-774F-AD77-C3E08DF90358}">
          <x14:formula1>
            <xm:f>'Input drop-down menu''s'!$AP$4:$AP$5</xm:f>
          </x14:formula1>
          <xm:sqref>C24</xm:sqref>
        </x14:dataValidation>
        <x14:dataValidation type="list" allowBlank="1" showInputMessage="1" showErrorMessage="1" xr:uid="{53BA8D99-A0E3-5B4A-B6A0-333798D5EBB6}">
          <x14:formula1>
            <xm:f>'Input drop-down menu''s'!$Y$4:$Y$14</xm:f>
          </x14:formula1>
          <xm:sqref>C41</xm:sqref>
        </x14:dataValidation>
        <x14:dataValidation type="list" allowBlank="1" showInputMessage="1" showErrorMessage="1" xr:uid="{63D4FC9F-1694-4140-8745-D6105C817B46}">
          <x14:formula1>
            <xm:f>'Input drop-down menu''s'!$AV$4:$AV$24</xm:f>
          </x14:formula1>
          <xm:sqref>C16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69173-40B1-174F-A51E-FF118E2FB49C}">
  <sheetPr codeName="Sheet3">
    <tabColor theme="9"/>
  </sheetPr>
  <dimension ref="A1:AP362"/>
  <sheetViews>
    <sheetView zoomScaleNormal="100" zoomScaleSheetLayoutView="95" workbookViewId="0">
      <selection activeCell="AD30" sqref="AD30"/>
    </sheetView>
  </sheetViews>
  <sheetFormatPr baseColWidth="10" defaultColWidth="11" defaultRowHeight="16"/>
  <cols>
    <col min="1" max="1" width="3.83203125" style="42" customWidth="1"/>
    <col min="2" max="2" width="10.83203125" customWidth="1"/>
    <col min="11" max="11" width="3.33203125" customWidth="1"/>
    <col min="17" max="17" width="3" customWidth="1"/>
    <col min="18" max="18" width="12.33203125" customWidth="1"/>
    <col min="19" max="19" width="11.5" bestFit="1" customWidth="1"/>
    <col min="21" max="22" width="11" style="42"/>
    <col min="23" max="23" width="12.33203125" style="42" customWidth="1"/>
    <col min="24" max="42" width="11" style="42"/>
  </cols>
  <sheetData>
    <row r="1" spans="2:23" ht="20" customHeight="1" thickBot="1">
      <c r="B1" s="42"/>
      <c r="C1" s="42"/>
      <c r="D1" s="42"/>
      <c r="E1" s="42"/>
      <c r="F1" s="42"/>
      <c r="G1" s="42"/>
      <c r="H1" s="42"/>
      <c r="I1" s="42"/>
      <c r="J1" s="42"/>
      <c r="K1" s="42"/>
      <c r="L1" s="42"/>
      <c r="M1" s="42"/>
      <c r="N1" s="42"/>
      <c r="O1" s="42"/>
      <c r="P1" s="42"/>
      <c r="Q1" s="42"/>
      <c r="R1" s="42"/>
      <c r="S1" s="42"/>
      <c r="T1" s="42"/>
    </row>
    <row r="2" spans="2:23" ht="29" customHeight="1" thickBot="1">
      <c r="B2" s="1460" t="s">
        <v>1708</v>
      </c>
      <c r="C2" s="1461"/>
      <c r="D2" s="1461"/>
      <c r="E2" s="1461"/>
      <c r="F2" s="1461"/>
      <c r="G2" s="1461"/>
      <c r="H2" s="1461"/>
      <c r="I2" s="1461"/>
      <c r="J2" s="1461"/>
      <c r="K2" s="1461"/>
      <c r="L2" s="1461"/>
      <c r="M2" s="1461"/>
      <c r="N2" s="1461"/>
      <c r="O2" s="1461"/>
      <c r="P2" s="1461"/>
      <c r="Q2" s="1461"/>
      <c r="R2" s="1461"/>
      <c r="S2" s="1461"/>
      <c r="T2" s="1461"/>
      <c r="U2" s="1461"/>
      <c r="V2" s="1461"/>
      <c r="W2" s="1462"/>
    </row>
    <row r="3" spans="2:23" ht="151" customHeight="1" thickBot="1">
      <c r="B3" s="1463" t="s">
        <v>4433</v>
      </c>
      <c r="C3" s="1464"/>
      <c r="D3" s="1464"/>
      <c r="E3" s="1464"/>
      <c r="F3" s="1464"/>
      <c r="G3" s="1464"/>
      <c r="H3" s="1464"/>
      <c r="I3" s="1464"/>
      <c r="J3" s="1464"/>
      <c r="K3" s="1464"/>
      <c r="L3" s="1464"/>
      <c r="M3" s="1464"/>
      <c r="N3" s="1464"/>
      <c r="O3" s="1464"/>
      <c r="P3" s="1464"/>
      <c r="Q3" s="1464"/>
      <c r="R3" s="1464"/>
      <c r="S3" s="1464"/>
      <c r="T3" s="1464"/>
      <c r="U3" s="1464"/>
      <c r="V3" s="1464"/>
      <c r="W3" s="1465"/>
    </row>
    <row r="4" spans="2:23">
      <c r="B4" s="42"/>
      <c r="C4" s="42"/>
      <c r="D4" s="42"/>
      <c r="E4" s="42"/>
      <c r="F4" s="42"/>
      <c r="G4" s="42"/>
      <c r="H4" s="42"/>
      <c r="I4" s="42"/>
      <c r="J4" s="42"/>
      <c r="K4" s="42"/>
      <c r="L4" s="42"/>
      <c r="N4" s="42"/>
      <c r="O4" s="42"/>
      <c r="P4" s="42"/>
      <c r="Q4" s="42"/>
      <c r="R4" s="42"/>
      <c r="S4" s="42"/>
      <c r="T4" s="42"/>
    </row>
    <row r="5" spans="2:23" ht="29" thickBot="1">
      <c r="B5" s="1468" t="s">
        <v>1721</v>
      </c>
      <c r="C5" s="1469"/>
      <c r="D5" s="1469"/>
      <c r="E5" s="1469"/>
      <c r="F5" s="1469"/>
      <c r="G5" s="1469"/>
      <c r="H5" s="1469"/>
      <c r="I5" s="1469"/>
      <c r="J5" s="1469"/>
      <c r="K5" s="1469"/>
      <c r="L5" s="1469"/>
      <c r="M5" s="1469"/>
      <c r="N5" s="1469"/>
      <c r="O5" s="1469"/>
      <c r="P5" s="1469"/>
      <c r="Q5" s="1469"/>
      <c r="R5" s="1469"/>
      <c r="S5" s="1469"/>
      <c r="T5" s="1469"/>
      <c r="U5" s="1469"/>
      <c r="V5" s="1469"/>
      <c r="W5" s="1470"/>
    </row>
    <row r="6" spans="2:23">
      <c r="B6" s="284"/>
      <c r="C6" s="209"/>
      <c r="D6" s="209"/>
      <c r="E6" s="209"/>
      <c r="F6" s="209"/>
      <c r="G6" s="209"/>
      <c r="H6" s="209"/>
      <c r="I6" s="209"/>
      <c r="J6" s="209"/>
      <c r="K6" s="209"/>
      <c r="L6" s="209"/>
      <c r="M6" s="161"/>
      <c r="N6" s="209"/>
      <c r="O6" s="209"/>
      <c r="P6" s="209"/>
      <c r="Q6" s="209"/>
      <c r="R6" s="209"/>
      <c r="S6" s="209"/>
      <c r="T6" s="209"/>
      <c r="U6" s="209"/>
      <c r="V6" s="209"/>
      <c r="W6" s="285"/>
    </row>
    <row r="7" spans="2:23">
      <c r="B7" s="284"/>
      <c r="C7" s="209"/>
      <c r="D7" s="209"/>
      <c r="E7" s="209"/>
      <c r="F7" s="209"/>
      <c r="G7" s="209"/>
      <c r="H7" s="209"/>
      <c r="I7" s="209"/>
      <c r="J7" s="209"/>
      <c r="K7" s="209"/>
      <c r="L7" s="209"/>
      <c r="M7" s="209"/>
      <c r="N7" s="209"/>
      <c r="O7" s="209"/>
      <c r="P7" s="209"/>
      <c r="Q7" s="209"/>
      <c r="R7" s="209"/>
      <c r="S7" s="209"/>
      <c r="T7" s="209"/>
      <c r="U7" s="209"/>
      <c r="V7" s="209"/>
      <c r="W7" s="285"/>
    </row>
    <row r="8" spans="2:23">
      <c r="B8" s="284"/>
      <c r="C8" s="209"/>
      <c r="D8" s="209"/>
      <c r="E8" s="209"/>
      <c r="F8" s="209"/>
      <c r="G8" s="209"/>
      <c r="H8" s="209"/>
      <c r="I8" s="209"/>
      <c r="J8" s="209"/>
      <c r="K8" s="209"/>
      <c r="L8" s="209"/>
      <c r="M8" s="209"/>
      <c r="N8" s="209"/>
      <c r="O8" s="209"/>
      <c r="P8" s="209"/>
      <c r="Q8" s="209"/>
      <c r="R8" s="209"/>
      <c r="S8" s="209"/>
      <c r="T8" s="209"/>
      <c r="U8" s="209"/>
      <c r="V8" s="209"/>
      <c r="W8" s="285"/>
    </row>
    <row r="9" spans="2:23">
      <c r="B9" s="284"/>
      <c r="C9" s="209"/>
      <c r="D9" s="209"/>
      <c r="E9" s="209"/>
      <c r="F9" s="209"/>
      <c r="G9" s="209"/>
      <c r="H9" s="209"/>
      <c r="I9" s="209"/>
      <c r="J9" s="209"/>
      <c r="K9" s="209"/>
      <c r="L9" s="209"/>
      <c r="M9" s="209"/>
      <c r="O9" s="209"/>
      <c r="P9" s="209"/>
      <c r="Q9" s="209"/>
      <c r="R9" s="209"/>
      <c r="S9" s="209"/>
      <c r="T9" s="209"/>
      <c r="U9" s="209"/>
      <c r="V9" s="209"/>
      <c r="W9" s="285"/>
    </row>
    <row r="10" spans="2:23">
      <c r="B10" s="284"/>
      <c r="C10" s="209"/>
      <c r="D10" s="209"/>
      <c r="E10" s="209"/>
      <c r="F10" s="209"/>
      <c r="G10" s="209"/>
      <c r="H10" s="209"/>
      <c r="I10" s="209"/>
      <c r="J10" s="209"/>
      <c r="K10" s="209"/>
      <c r="L10" s="209"/>
      <c r="M10" s="209"/>
      <c r="N10" s="209"/>
      <c r="O10" s="209"/>
      <c r="P10" s="209"/>
      <c r="Q10" s="209"/>
      <c r="R10" s="209"/>
      <c r="S10" s="209"/>
      <c r="T10" s="209"/>
      <c r="U10" s="209"/>
      <c r="V10" s="209"/>
      <c r="W10" s="285"/>
    </row>
    <row r="11" spans="2:23">
      <c r="B11" s="284"/>
      <c r="C11" s="209"/>
      <c r="D11" s="209"/>
      <c r="E11" s="209"/>
      <c r="F11" s="209"/>
      <c r="G11" s="209"/>
      <c r="H11" s="209"/>
      <c r="I11" s="209"/>
      <c r="J11" s="209"/>
      <c r="K11" s="209"/>
      <c r="L11" s="209"/>
      <c r="M11" s="209"/>
      <c r="N11" s="209"/>
      <c r="O11" s="209"/>
      <c r="P11" s="209"/>
      <c r="Q11" s="209"/>
      <c r="R11" s="209"/>
      <c r="S11" s="209"/>
      <c r="T11" s="209"/>
      <c r="U11" s="209"/>
      <c r="V11" s="209"/>
      <c r="W11" s="285"/>
    </row>
    <row r="12" spans="2:23">
      <c r="B12" s="284"/>
      <c r="C12" s="209"/>
      <c r="D12" s="209"/>
      <c r="E12" s="209"/>
      <c r="F12" s="209"/>
      <c r="G12" s="209"/>
      <c r="H12" s="209"/>
      <c r="I12" s="209"/>
      <c r="J12" s="209"/>
      <c r="K12" s="209"/>
      <c r="L12" s="209"/>
      <c r="M12" s="209"/>
      <c r="N12" s="209"/>
      <c r="O12" s="209"/>
      <c r="P12" s="209"/>
      <c r="Q12" s="209"/>
      <c r="R12" s="209"/>
      <c r="S12" s="209"/>
      <c r="T12" s="209"/>
      <c r="U12" s="209"/>
      <c r="V12" s="209"/>
      <c r="W12" s="285"/>
    </row>
    <row r="13" spans="2:23">
      <c r="B13" s="284"/>
      <c r="C13" s="209"/>
      <c r="D13" s="209"/>
      <c r="E13" s="209"/>
      <c r="F13" s="209"/>
      <c r="G13" s="209"/>
      <c r="H13" s="209"/>
      <c r="I13" s="209"/>
      <c r="J13" s="209"/>
      <c r="K13" s="209"/>
      <c r="L13" s="209"/>
      <c r="M13" s="209"/>
      <c r="N13" s="209"/>
      <c r="O13" s="209"/>
      <c r="P13" s="209"/>
      <c r="Q13" s="209"/>
      <c r="R13" s="209"/>
      <c r="S13" s="209"/>
      <c r="T13" s="209"/>
      <c r="U13" s="209"/>
      <c r="V13" s="209"/>
      <c r="W13" s="285"/>
    </row>
    <row r="14" spans="2:23">
      <c r="B14" s="284"/>
      <c r="C14" s="209"/>
      <c r="D14" s="209"/>
      <c r="E14" s="209"/>
      <c r="F14" s="209"/>
      <c r="G14" s="209"/>
      <c r="H14" s="209"/>
      <c r="I14" s="209"/>
      <c r="J14" s="209"/>
      <c r="K14" s="209"/>
      <c r="L14" s="209"/>
      <c r="M14" s="209"/>
      <c r="N14" s="209"/>
      <c r="O14" s="209"/>
      <c r="P14" s="209"/>
      <c r="Q14" s="209"/>
      <c r="R14" s="209"/>
      <c r="S14" s="209"/>
      <c r="T14" s="209"/>
      <c r="U14" s="209"/>
      <c r="V14" s="209"/>
      <c r="W14" s="285"/>
    </row>
    <row r="15" spans="2:23">
      <c r="B15" s="284"/>
      <c r="C15" s="209"/>
      <c r="D15" s="209"/>
      <c r="E15" s="209"/>
      <c r="F15" s="209"/>
      <c r="G15" s="209"/>
      <c r="H15" s="209"/>
      <c r="I15" s="209"/>
      <c r="J15" s="209"/>
      <c r="K15" s="209"/>
      <c r="L15" s="209"/>
      <c r="M15" s="209"/>
      <c r="N15" s="209"/>
      <c r="O15" s="209"/>
      <c r="P15" s="209"/>
      <c r="Q15" s="209"/>
      <c r="R15" s="209"/>
      <c r="S15" s="209"/>
      <c r="T15" s="209"/>
      <c r="U15" s="209"/>
      <c r="V15" s="209"/>
      <c r="W15" s="285"/>
    </row>
    <row r="16" spans="2:23">
      <c r="B16" s="284"/>
      <c r="C16" s="209"/>
      <c r="D16" s="209"/>
      <c r="E16" s="209"/>
      <c r="F16" s="209"/>
      <c r="G16" s="209"/>
      <c r="H16" s="209"/>
      <c r="I16" s="209"/>
      <c r="J16" s="209"/>
      <c r="K16" s="209"/>
      <c r="L16" s="209"/>
      <c r="M16" s="209"/>
      <c r="N16" s="209"/>
      <c r="O16" s="209"/>
      <c r="P16" s="209"/>
      <c r="Q16" s="209"/>
      <c r="R16" s="209"/>
      <c r="S16" s="209"/>
      <c r="T16" s="209"/>
      <c r="U16" s="209"/>
      <c r="V16" s="209"/>
      <c r="W16" s="285"/>
    </row>
    <row r="17" spans="2:26">
      <c r="B17" s="284"/>
      <c r="C17" s="209"/>
      <c r="D17" s="209"/>
      <c r="E17" s="209"/>
      <c r="F17" s="209"/>
      <c r="G17" s="209"/>
      <c r="H17" s="209"/>
      <c r="I17" s="209"/>
      <c r="J17" s="209"/>
      <c r="K17" s="209"/>
      <c r="L17" s="209"/>
      <c r="M17" s="209"/>
      <c r="N17" s="209"/>
      <c r="O17" s="209"/>
      <c r="P17" s="209"/>
      <c r="Q17" s="209"/>
      <c r="R17" s="209"/>
      <c r="S17" s="209"/>
      <c r="T17" s="209"/>
      <c r="U17" s="209"/>
      <c r="V17" s="209"/>
      <c r="W17" s="285"/>
    </row>
    <row r="18" spans="2:26">
      <c r="B18" s="284"/>
      <c r="C18" s="209"/>
      <c r="D18" s="209"/>
      <c r="E18" s="209"/>
      <c r="F18" s="209"/>
      <c r="G18" s="209"/>
      <c r="H18" s="209"/>
      <c r="I18" s="209"/>
      <c r="J18" s="209"/>
      <c r="K18" s="209"/>
      <c r="L18" s="209"/>
      <c r="M18" s="209"/>
      <c r="N18" s="209"/>
      <c r="O18" s="209"/>
      <c r="P18" s="209"/>
      <c r="Q18" s="209"/>
      <c r="R18" s="209"/>
      <c r="S18" s="209"/>
      <c r="T18" s="209"/>
      <c r="U18" s="209"/>
      <c r="V18" s="209"/>
      <c r="W18" s="285"/>
    </row>
    <row r="19" spans="2:26">
      <c r="B19" s="284"/>
      <c r="C19" s="209"/>
      <c r="D19" s="209"/>
      <c r="E19" s="209"/>
      <c r="F19" s="209"/>
      <c r="G19" s="209"/>
      <c r="H19" s="209"/>
      <c r="I19" s="209"/>
      <c r="J19" s="209"/>
      <c r="K19" s="209"/>
      <c r="L19" s="209"/>
      <c r="M19" s="209"/>
      <c r="N19" s="209"/>
      <c r="O19" s="209"/>
      <c r="P19" s="209"/>
      <c r="Q19" s="209"/>
      <c r="R19" s="209"/>
      <c r="S19" s="209"/>
      <c r="T19" s="209"/>
      <c r="U19" s="209"/>
      <c r="V19" s="209"/>
      <c r="W19" s="285"/>
    </row>
    <row r="20" spans="2:26">
      <c r="B20" s="284"/>
      <c r="C20" s="209"/>
      <c r="D20" s="209"/>
      <c r="E20" s="209"/>
      <c r="F20" s="209"/>
      <c r="G20" s="209"/>
      <c r="H20" s="209"/>
      <c r="I20" s="209"/>
      <c r="J20" s="209"/>
      <c r="K20" s="209"/>
      <c r="L20" s="209"/>
      <c r="M20" s="209"/>
      <c r="N20" s="209"/>
      <c r="O20" s="209"/>
      <c r="P20" s="209"/>
      <c r="Q20" s="209"/>
      <c r="R20" s="209"/>
      <c r="S20" s="209"/>
      <c r="T20" s="209"/>
      <c r="U20" s="209"/>
      <c r="V20" s="209"/>
      <c r="W20" s="285"/>
    </row>
    <row r="21" spans="2:26">
      <c r="B21" s="284"/>
      <c r="C21" s="209"/>
      <c r="D21" s="209"/>
      <c r="E21" s="209"/>
      <c r="F21" s="209"/>
      <c r="G21" s="209"/>
      <c r="H21" s="209"/>
      <c r="I21" s="209"/>
      <c r="J21" s="209"/>
      <c r="K21" s="209"/>
      <c r="L21" s="209"/>
      <c r="M21" s="209"/>
      <c r="N21" s="209"/>
      <c r="O21" s="209"/>
      <c r="P21" s="209"/>
      <c r="Q21" s="209"/>
      <c r="R21" s="209"/>
      <c r="S21" s="209"/>
      <c r="T21" s="209"/>
      <c r="U21" s="209"/>
      <c r="V21" s="209"/>
      <c r="W21" s="285"/>
    </row>
    <row r="22" spans="2:26">
      <c r="B22" s="284"/>
      <c r="C22" s="209"/>
      <c r="D22" s="209"/>
      <c r="E22" s="209"/>
      <c r="F22" s="209"/>
      <c r="G22" s="209"/>
      <c r="H22" s="209"/>
      <c r="I22" s="209"/>
      <c r="J22" s="209"/>
      <c r="K22" s="209"/>
      <c r="L22" s="209"/>
      <c r="M22" s="209"/>
      <c r="N22" s="209"/>
      <c r="O22" s="209"/>
      <c r="P22" s="209"/>
      <c r="Q22" s="209"/>
      <c r="R22" s="209"/>
      <c r="S22" s="209"/>
      <c r="T22" s="209"/>
      <c r="U22" s="209"/>
      <c r="V22" s="209"/>
      <c r="W22" s="285"/>
    </row>
    <row r="23" spans="2:26">
      <c r="B23" s="284"/>
      <c r="C23" s="209"/>
      <c r="D23" s="209"/>
      <c r="E23" s="209"/>
      <c r="F23" s="209"/>
      <c r="G23" s="209"/>
      <c r="H23" s="209"/>
      <c r="I23" s="209"/>
      <c r="J23" s="209"/>
      <c r="K23" s="209"/>
      <c r="L23" s="209"/>
      <c r="M23" s="209"/>
      <c r="N23" s="209"/>
      <c r="O23" s="209"/>
      <c r="P23" s="209"/>
      <c r="Q23" s="209"/>
      <c r="R23" s="209"/>
      <c r="S23" s="209"/>
      <c r="T23" s="209"/>
      <c r="U23" s="209"/>
      <c r="V23" s="209"/>
      <c r="W23" s="285"/>
    </row>
    <row r="24" spans="2:26">
      <c r="B24" s="284"/>
      <c r="C24" s="209"/>
      <c r="D24" s="209"/>
      <c r="E24" s="209"/>
      <c r="F24" s="209"/>
      <c r="G24" s="209"/>
      <c r="H24" s="209"/>
      <c r="I24" s="209"/>
      <c r="J24" s="209"/>
      <c r="K24" s="209"/>
      <c r="L24" s="209"/>
      <c r="M24" s="209"/>
      <c r="N24" s="209"/>
      <c r="O24" s="209"/>
      <c r="P24" s="209"/>
      <c r="Q24" s="209"/>
      <c r="R24" s="209"/>
      <c r="S24" s="209"/>
      <c r="T24" s="209"/>
      <c r="U24" s="209"/>
      <c r="V24" s="209"/>
      <c r="W24" s="285"/>
      <c r="Z24" s="318"/>
    </row>
    <row r="25" spans="2:26">
      <c r="B25" s="284"/>
      <c r="C25" s="42"/>
      <c r="D25" s="42"/>
      <c r="E25" s="42"/>
      <c r="F25" s="42"/>
      <c r="G25" s="42"/>
      <c r="H25" s="42"/>
      <c r="I25" s="42"/>
      <c r="J25" s="42"/>
      <c r="K25" s="42"/>
      <c r="L25" s="42"/>
      <c r="M25" s="42"/>
      <c r="N25" s="42"/>
      <c r="O25" s="42"/>
      <c r="P25" s="42"/>
      <c r="Q25" s="42"/>
      <c r="R25" s="42"/>
      <c r="S25" s="42"/>
      <c r="T25" s="42"/>
      <c r="W25" s="285"/>
    </row>
    <row r="26" spans="2:26">
      <c r="B26" s="286"/>
      <c r="C26" s="287"/>
      <c r="D26" s="287"/>
      <c r="E26" s="287"/>
      <c r="F26" s="287"/>
      <c r="G26" s="287"/>
      <c r="H26" s="287"/>
      <c r="I26" s="287"/>
      <c r="J26" s="287"/>
      <c r="K26" s="287"/>
      <c r="L26" s="287"/>
      <c r="M26" s="289"/>
      <c r="N26" s="287"/>
      <c r="O26" s="287"/>
      <c r="P26" s="287"/>
      <c r="Q26" s="287"/>
      <c r="R26" s="287"/>
      <c r="S26" s="287"/>
      <c r="T26" s="287"/>
      <c r="U26" s="287"/>
      <c r="V26" s="287"/>
      <c r="W26" s="288"/>
    </row>
    <row r="27" spans="2:26" ht="17" thickBot="1">
      <c r="B27" s="209"/>
      <c r="C27" s="209"/>
      <c r="D27" s="209"/>
      <c r="E27" s="209"/>
      <c r="F27" s="209"/>
      <c r="G27" s="209"/>
      <c r="H27" s="209"/>
      <c r="I27" s="209"/>
      <c r="J27" s="209"/>
      <c r="K27" s="209"/>
      <c r="L27" s="209"/>
      <c r="M27" s="161"/>
      <c r="N27" s="209"/>
      <c r="O27" s="209"/>
      <c r="P27" s="209"/>
      <c r="Q27" s="209"/>
      <c r="R27" s="209"/>
      <c r="S27" s="209"/>
      <c r="T27" s="209"/>
      <c r="U27" s="209"/>
      <c r="V27" s="209"/>
      <c r="W27" s="209"/>
    </row>
    <row r="28" spans="2:26" ht="26" customHeight="1" thickBot="1">
      <c r="B28" s="1178" t="s">
        <v>1733</v>
      </c>
      <c r="C28" s="1466"/>
      <c r="D28" s="1466"/>
      <c r="E28" s="1466"/>
      <c r="F28" s="1466"/>
      <c r="G28" s="1466"/>
      <c r="H28" s="1466"/>
      <c r="I28" s="1466"/>
      <c r="J28" s="1467"/>
      <c r="L28" s="1178" t="s">
        <v>1717</v>
      </c>
      <c r="M28" s="1466"/>
      <c r="N28" s="1466"/>
      <c r="O28" s="1466"/>
      <c r="P28" s="1466"/>
      <c r="Q28" s="1466"/>
      <c r="R28" s="1466"/>
      <c r="S28" s="1466"/>
      <c r="T28" s="1466"/>
      <c r="U28" s="1466"/>
      <c r="V28" s="1466"/>
      <c r="W28" s="1467"/>
      <c r="X28"/>
    </row>
    <row r="29" spans="2:26">
      <c r="B29" s="284"/>
      <c r="C29" s="209"/>
      <c r="D29" s="209"/>
      <c r="E29" s="209"/>
      <c r="F29" s="209"/>
      <c r="G29" s="209"/>
      <c r="H29" s="209"/>
      <c r="I29" s="209"/>
      <c r="J29" s="285"/>
      <c r="K29" s="42"/>
      <c r="L29" s="284"/>
      <c r="M29" s="209"/>
      <c r="N29" s="209"/>
      <c r="O29" s="209"/>
      <c r="P29" s="209"/>
      <c r="Q29" s="209"/>
      <c r="R29" s="209"/>
      <c r="S29" s="209"/>
      <c r="T29" s="209"/>
      <c r="U29" s="209"/>
      <c r="V29" s="209"/>
      <c r="W29" s="285"/>
    </row>
    <row r="30" spans="2:26">
      <c r="B30" s="284"/>
      <c r="C30" s="209"/>
      <c r="D30" s="209"/>
      <c r="E30" s="209"/>
      <c r="F30" s="209"/>
      <c r="G30" s="209"/>
      <c r="H30" s="209"/>
      <c r="I30" s="209"/>
      <c r="J30" s="285"/>
      <c r="K30" s="42"/>
      <c r="L30" s="284"/>
      <c r="M30" s="209"/>
      <c r="N30" s="209"/>
      <c r="O30" s="209"/>
      <c r="P30" s="209"/>
      <c r="Q30" s="209"/>
      <c r="R30" s="209"/>
      <c r="S30" s="209"/>
      <c r="T30" s="209"/>
      <c r="U30" s="209"/>
      <c r="V30" s="209"/>
      <c r="W30" s="285"/>
    </row>
    <row r="31" spans="2:26">
      <c r="B31" s="284"/>
      <c r="C31" s="209"/>
      <c r="D31" s="209"/>
      <c r="E31" s="209"/>
      <c r="F31" s="209"/>
      <c r="G31" s="209"/>
      <c r="H31" s="209"/>
      <c r="I31" s="209"/>
      <c r="J31" s="285"/>
      <c r="K31" s="42"/>
      <c r="L31" s="284"/>
      <c r="M31" s="209"/>
      <c r="N31" s="209"/>
      <c r="O31" s="209"/>
      <c r="P31" s="209"/>
      <c r="Q31" s="209"/>
      <c r="R31" s="209"/>
      <c r="S31" s="209"/>
      <c r="T31" s="209"/>
      <c r="U31" s="209"/>
      <c r="V31" s="209"/>
      <c r="W31" s="285"/>
    </row>
    <row r="32" spans="2:26">
      <c r="B32" s="284"/>
      <c r="C32" s="209"/>
      <c r="D32" s="209"/>
      <c r="E32" s="209"/>
      <c r="F32" s="209"/>
      <c r="G32" s="209"/>
      <c r="H32" s="209"/>
      <c r="I32" s="209"/>
      <c r="J32" s="285"/>
      <c r="K32" s="42"/>
      <c r="L32" s="284"/>
      <c r="M32" s="209"/>
      <c r="N32" s="209"/>
      <c r="O32" s="209"/>
      <c r="P32" s="209"/>
      <c r="Q32" s="209"/>
      <c r="R32" s="209"/>
      <c r="S32" s="209"/>
      <c r="T32" s="209"/>
      <c r="U32" s="209"/>
      <c r="V32" s="209"/>
      <c r="W32" s="285"/>
    </row>
    <row r="33" spans="2:23">
      <c r="B33" s="284"/>
      <c r="C33" s="209"/>
      <c r="D33" s="209"/>
      <c r="E33" s="209"/>
      <c r="F33" s="209"/>
      <c r="G33" s="209"/>
      <c r="H33" s="209"/>
      <c r="I33" s="209"/>
      <c r="J33" s="285"/>
      <c r="K33" s="42"/>
      <c r="L33" s="284"/>
      <c r="M33" s="209"/>
      <c r="N33" s="209"/>
      <c r="O33" s="209"/>
      <c r="P33" s="209"/>
      <c r="Q33" s="209"/>
      <c r="R33" s="209"/>
      <c r="S33" s="209"/>
      <c r="T33" s="209"/>
      <c r="U33" s="209"/>
      <c r="V33" s="209"/>
      <c r="W33" s="285"/>
    </row>
    <row r="34" spans="2:23">
      <c r="B34" s="284"/>
      <c r="C34" s="209"/>
      <c r="D34" s="209"/>
      <c r="E34" s="209"/>
      <c r="F34" s="209"/>
      <c r="G34" s="209"/>
      <c r="H34" s="209"/>
      <c r="I34" s="209"/>
      <c r="J34" s="285"/>
      <c r="K34" s="42"/>
      <c r="L34" s="284"/>
      <c r="M34" s="209"/>
      <c r="N34" s="209"/>
      <c r="O34" s="209"/>
      <c r="P34" s="209"/>
      <c r="Q34" s="209"/>
      <c r="R34" s="209"/>
      <c r="S34" s="209"/>
      <c r="T34" s="209"/>
      <c r="U34" s="209"/>
      <c r="V34" s="209"/>
      <c r="W34" s="285"/>
    </row>
    <row r="35" spans="2:23">
      <c r="B35" s="284"/>
      <c r="C35" s="209"/>
      <c r="D35" s="209"/>
      <c r="E35" s="209"/>
      <c r="F35" s="209"/>
      <c r="G35" s="209"/>
      <c r="H35" s="209"/>
      <c r="I35" s="209"/>
      <c r="J35" s="285"/>
      <c r="K35" s="42"/>
      <c r="L35" s="284"/>
      <c r="M35" s="209"/>
      <c r="N35" s="209"/>
      <c r="O35" s="209"/>
      <c r="P35" s="209"/>
      <c r="Q35" s="209"/>
      <c r="R35" s="209"/>
      <c r="S35" s="209"/>
      <c r="T35" s="209"/>
      <c r="U35" s="209"/>
      <c r="V35" s="209"/>
      <c r="W35" s="285"/>
    </row>
    <row r="36" spans="2:23">
      <c r="B36" s="284"/>
      <c r="C36" s="209"/>
      <c r="D36" s="209"/>
      <c r="E36" s="209"/>
      <c r="F36" s="209"/>
      <c r="G36" s="209"/>
      <c r="H36" s="209"/>
      <c r="I36" s="209"/>
      <c r="J36" s="285"/>
      <c r="K36" s="42"/>
      <c r="L36" s="284"/>
      <c r="M36" s="209"/>
      <c r="N36" s="209"/>
      <c r="O36" s="209"/>
      <c r="P36" s="209"/>
      <c r="Q36" s="209"/>
      <c r="R36" s="209"/>
      <c r="S36" s="209"/>
      <c r="T36" s="209"/>
      <c r="U36" s="209"/>
      <c r="V36" s="209"/>
      <c r="W36" s="285"/>
    </row>
    <row r="37" spans="2:23">
      <c r="B37" s="284"/>
      <c r="C37" s="209"/>
      <c r="D37" s="209"/>
      <c r="E37" s="209"/>
      <c r="F37" s="209"/>
      <c r="G37" s="209"/>
      <c r="H37" s="209"/>
      <c r="I37" s="209"/>
      <c r="J37" s="285"/>
      <c r="K37" s="42"/>
      <c r="L37" s="284"/>
      <c r="M37" s="209"/>
      <c r="N37" s="209"/>
      <c r="O37" s="209"/>
      <c r="P37" s="209"/>
      <c r="Q37" s="209"/>
      <c r="R37" s="209"/>
      <c r="S37" s="209"/>
      <c r="T37" s="209"/>
      <c r="U37" s="209"/>
      <c r="V37" s="209"/>
      <c r="W37" s="285"/>
    </row>
    <row r="38" spans="2:23">
      <c r="B38" s="284"/>
      <c r="C38" s="209"/>
      <c r="D38" s="209"/>
      <c r="E38" s="209"/>
      <c r="F38" s="209"/>
      <c r="G38" s="209"/>
      <c r="H38" s="209"/>
      <c r="I38" s="209"/>
      <c r="J38" s="285"/>
      <c r="K38" s="42"/>
      <c r="L38" s="284"/>
      <c r="M38" s="209"/>
      <c r="N38" s="209"/>
      <c r="O38" s="209"/>
      <c r="P38" s="209"/>
      <c r="Q38" s="209"/>
      <c r="R38" s="209"/>
      <c r="S38" s="209"/>
      <c r="T38" s="209"/>
      <c r="U38" s="209"/>
      <c r="V38" s="209"/>
      <c r="W38" s="285"/>
    </row>
    <row r="39" spans="2:23">
      <c r="B39" s="284"/>
      <c r="C39" s="209"/>
      <c r="D39" s="209"/>
      <c r="E39" s="209"/>
      <c r="F39" s="209"/>
      <c r="G39" s="209"/>
      <c r="H39" s="209"/>
      <c r="I39" s="209"/>
      <c r="J39" s="285"/>
      <c r="K39" s="42"/>
      <c r="L39" s="284"/>
      <c r="M39" s="209"/>
      <c r="N39" s="209"/>
      <c r="O39" s="209"/>
      <c r="P39" s="209"/>
      <c r="Q39" s="209"/>
      <c r="R39" s="209"/>
      <c r="S39" s="209"/>
      <c r="T39" s="209"/>
      <c r="U39" s="209"/>
      <c r="V39" s="209"/>
      <c r="W39" s="285"/>
    </row>
    <row r="40" spans="2:23">
      <c r="B40" s="284"/>
      <c r="C40" s="209"/>
      <c r="D40" s="209"/>
      <c r="E40" s="209"/>
      <c r="F40" s="209"/>
      <c r="G40" s="209"/>
      <c r="H40" s="209"/>
      <c r="I40" s="209"/>
      <c r="J40" s="285"/>
      <c r="K40" s="42"/>
      <c r="L40" s="284"/>
      <c r="M40" s="209"/>
      <c r="N40" s="209"/>
      <c r="O40" s="209"/>
      <c r="P40" s="209"/>
      <c r="Q40" s="209"/>
      <c r="R40" s="209"/>
      <c r="S40" s="209"/>
      <c r="T40" s="209"/>
      <c r="U40" s="209"/>
      <c r="V40" s="209"/>
      <c r="W40" s="285"/>
    </row>
    <row r="41" spans="2:23">
      <c r="B41" s="284"/>
      <c r="C41" s="209"/>
      <c r="D41" s="209"/>
      <c r="E41" s="209"/>
      <c r="F41" s="209"/>
      <c r="G41" s="209"/>
      <c r="H41" s="209"/>
      <c r="I41" s="209"/>
      <c r="J41" s="285"/>
      <c r="K41" s="42"/>
      <c r="L41" s="284"/>
      <c r="M41" s="209"/>
      <c r="N41" s="209"/>
      <c r="O41" s="209"/>
      <c r="P41" s="209"/>
      <c r="Q41" s="209"/>
      <c r="R41" s="209"/>
      <c r="S41" s="209"/>
      <c r="T41" s="209"/>
      <c r="U41" s="209"/>
      <c r="V41" s="209"/>
      <c r="W41" s="285"/>
    </row>
    <row r="42" spans="2:23">
      <c r="B42" s="284"/>
      <c r="C42" s="209"/>
      <c r="D42" s="209"/>
      <c r="E42" s="209"/>
      <c r="F42" s="209"/>
      <c r="G42" s="209"/>
      <c r="H42" s="209"/>
      <c r="I42" s="209"/>
      <c r="J42" s="285"/>
      <c r="K42" s="42"/>
      <c r="L42" s="284"/>
      <c r="M42" s="209"/>
      <c r="N42" s="209"/>
      <c r="O42" s="209"/>
      <c r="P42" s="209"/>
      <c r="Q42" s="209"/>
      <c r="R42" s="209"/>
      <c r="S42" s="209"/>
      <c r="T42" s="209"/>
      <c r="U42" s="209"/>
      <c r="V42" s="209"/>
      <c r="W42" s="285"/>
    </row>
    <row r="43" spans="2:23">
      <c r="B43" s="284"/>
      <c r="C43" s="209"/>
      <c r="D43" s="209"/>
      <c r="E43" s="209"/>
      <c r="F43" s="209"/>
      <c r="G43" s="209"/>
      <c r="H43" s="209"/>
      <c r="I43" s="209"/>
      <c r="J43" s="285"/>
      <c r="K43" s="42"/>
      <c r="L43" s="284"/>
      <c r="M43" s="209"/>
      <c r="N43" s="209"/>
      <c r="O43" s="209"/>
      <c r="P43" s="209"/>
      <c r="Q43" s="209"/>
      <c r="R43" s="209"/>
      <c r="S43" s="209"/>
      <c r="T43" s="209"/>
      <c r="U43" s="209"/>
      <c r="V43" s="209"/>
      <c r="W43" s="285"/>
    </row>
    <row r="44" spans="2:23">
      <c r="B44" s="284"/>
      <c r="C44" s="209"/>
      <c r="D44" s="209"/>
      <c r="E44" s="209"/>
      <c r="F44" s="209"/>
      <c r="G44" s="209"/>
      <c r="H44" s="209"/>
      <c r="I44" s="209"/>
      <c r="J44" s="285"/>
      <c r="K44" s="42"/>
      <c r="L44" s="284"/>
      <c r="M44" s="209"/>
      <c r="N44" s="209"/>
      <c r="O44" s="209"/>
      <c r="P44" s="209"/>
      <c r="Q44" s="209"/>
      <c r="R44" s="209"/>
      <c r="S44" s="209"/>
      <c r="T44" s="209"/>
      <c r="U44" s="209"/>
      <c r="V44" s="209"/>
      <c r="W44" s="285"/>
    </row>
    <row r="45" spans="2:23">
      <c r="B45" s="284"/>
      <c r="C45" s="209"/>
      <c r="D45" s="209"/>
      <c r="E45" s="209"/>
      <c r="F45" s="209"/>
      <c r="G45" s="209"/>
      <c r="H45" s="209"/>
      <c r="I45" s="209"/>
      <c r="J45" s="285"/>
      <c r="K45" s="42"/>
      <c r="L45" s="284"/>
      <c r="M45" s="209"/>
      <c r="N45" s="209"/>
      <c r="O45" s="209"/>
      <c r="P45" s="209"/>
      <c r="Q45" s="209"/>
      <c r="R45" s="209"/>
      <c r="S45" s="209"/>
      <c r="T45" s="209"/>
      <c r="U45" s="209"/>
      <c r="V45" s="209"/>
      <c r="W45" s="285"/>
    </row>
    <row r="46" spans="2:23">
      <c r="B46" s="284"/>
      <c r="C46" s="209"/>
      <c r="D46" s="209"/>
      <c r="E46" s="209"/>
      <c r="F46" s="209"/>
      <c r="G46" s="209"/>
      <c r="H46" s="209"/>
      <c r="I46" s="209"/>
      <c r="J46" s="285"/>
      <c r="K46" s="42"/>
      <c r="L46" s="284"/>
      <c r="M46" s="209"/>
      <c r="N46" s="209"/>
      <c r="O46" s="209"/>
      <c r="P46" s="209"/>
      <c r="Q46" s="209"/>
      <c r="R46" s="209"/>
      <c r="S46" s="209"/>
      <c r="T46" s="209"/>
      <c r="U46" s="209"/>
      <c r="V46" s="209"/>
      <c r="W46" s="285"/>
    </row>
    <row r="47" spans="2:23">
      <c r="B47" s="286"/>
      <c r="C47" s="287"/>
      <c r="D47" s="287"/>
      <c r="E47" s="287"/>
      <c r="F47" s="287"/>
      <c r="G47" s="287"/>
      <c r="H47" s="287"/>
      <c r="I47" s="287"/>
      <c r="J47" s="288"/>
      <c r="K47" s="42"/>
      <c r="L47" s="286"/>
      <c r="M47" s="287"/>
      <c r="N47" s="287"/>
      <c r="O47" s="287"/>
      <c r="P47" s="287"/>
      <c r="Q47" s="287"/>
      <c r="R47" s="287"/>
      <c r="S47" s="287"/>
      <c r="T47" s="287"/>
      <c r="U47" s="287"/>
      <c r="V47" s="287"/>
      <c r="W47" s="288"/>
    </row>
    <row r="48" spans="2:23" ht="17" thickBot="1">
      <c r="B48" s="42"/>
      <c r="C48" s="42"/>
      <c r="D48" s="42"/>
      <c r="E48" s="42"/>
      <c r="F48" s="42"/>
      <c r="G48" s="42"/>
      <c r="H48" s="42"/>
      <c r="I48" s="42"/>
      <c r="J48" s="42"/>
      <c r="K48" s="42"/>
      <c r="L48" s="42"/>
      <c r="M48" s="42"/>
      <c r="N48" s="42"/>
      <c r="O48" s="42"/>
      <c r="P48" s="42"/>
      <c r="Q48" s="42"/>
      <c r="R48" s="42"/>
      <c r="S48" s="42"/>
      <c r="T48" s="42"/>
    </row>
    <row r="49" spans="2:24" ht="29" thickBot="1">
      <c r="B49" s="1178" t="s">
        <v>1718</v>
      </c>
      <c r="C49" s="1466"/>
      <c r="D49" s="1466"/>
      <c r="E49" s="1466"/>
      <c r="F49" s="1466"/>
      <c r="G49" s="1466"/>
      <c r="H49" s="1466"/>
      <c r="I49" s="1466"/>
      <c r="J49" s="1467"/>
      <c r="L49" s="1178" t="s">
        <v>1719</v>
      </c>
      <c r="M49" s="1466"/>
      <c r="N49" s="1466"/>
      <c r="O49" s="1466"/>
      <c r="P49" s="1467"/>
      <c r="R49" s="1178" t="s">
        <v>1720</v>
      </c>
      <c r="S49" s="1466"/>
      <c r="T49" s="1466"/>
      <c r="U49" s="1466"/>
      <c r="V49" s="1466"/>
      <c r="W49" s="1467"/>
      <c r="X49"/>
    </row>
    <row r="50" spans="2:24">
      <c r="B50" s="284"/>
      <c r="C50" s="209"/>
      <c r="D50" s="209"/>
      <c r="E50" s="209"/>
      <c r="F50" s="209"/>
      <c r="G50" s="209"/>
      <c r="H50" s="209"/>
      <c r="I50" s="209"/>
      <c r="J50" s="285"/>
      <c r="K50" s="42"/>
      <c r="L50" s="284"/>
      <c r="M50" s="209"/>
      <c r="N50" s="209"/>
      <c r="O50" s="209"/>
      <c r="P50" s="285"/>
      <c r="Q50" s="42"/>
      <c r="R50" s="306"/>
      <c r="S50" s="307"/>
      <c r="T50" s="307"/>
      <c r="U50" s="307"/>
      <c r="V50" s="307"/>
      <c r="W50" s="308"/>
    </row>
    <row r="51" spans="2:24">
      <c r="B51" s="284"/>
      <c r="C51" s="209"/>
      <c r="D51" s="209"/>
      <c r="E51" s="209"/>
      <c r="F51" s="209"/>
      <c r="G51" s="209"/>
      <c r="H51" s="209"/>
      <c r="I51" s="209"/>
      <c r="J51" s="285"/>
      <c r="K51" s="42"/>
      <c r="L51" s="284"/>
      <c r="M51" s="209"/>
      <c r="N51" s="209"/>
      <c r="O51" s="209"/>
      <c r="P51" s="285"/>
      <c r="Q51" s="42"/>
      <c r="R51" s="1458" t="s">
        <v>1734</v>
      </c>
      <c r="S51" s="1459"/>
      <c r="T51" s="1459"/>
      <c r="U51" s="1459"/>
      <c r="V51" s="309">
        <f>'1a. Invoer - BESTAAND'!K57</f>
        <v>0</v>
      </c>
      <c r="W51" s="310" t="s">
        <v>4312</v>
      </c>
    </row>
    <row r="52" spans="2:24">
      <c r="B52" s="284"/>
      <c r="C52" s="209"/>
      <c r="D52" s="209"/>
      <c r="E52" s="209"/>
      <c r="F52" s="209"/>
      <c r="G52" s="209"/>
      <c r="H52" s="209"/>
      <c r="I52" s="209"/>
      <c r="J52" s="285"/>
      <c r="K52" s="42"/>
      <c r="L52" s="284"/>
      <c r="M52" s="209"/>
      <c r="N52" s="209"/>
      <c r="O52" s="209"/>
      <c r="P52" s="285"/>
      <c r="Q52" s="42"/>
      <c r="R52" s="1458" t="s">
        <v>1735</v>
      </c>
      <c r="S52" s="1459"/>
      <c r="T52" s="1459"/>
      <c r="U52" s="1459"/>
      <c r="V52" s="309">
        <f>looptijd</f>
        <v>5</v>
      </c>
      <c r="W52" s="310" t="s">
        <v>42</v>
      </c>
    </row>
    <row r="53" spans="2:24">
      <c r="B53" s="284"/>
      <c r="C53" s="209"/>
      <c r="D53" s="209"/>
      <c r="E53" s="209"/>
      <c r="F53" s="209"/>
      <c r="G53" s="209"/>
      <c r="H53" s="209"/>
      <c r="I53" s="209"/>
      <c r="J53" s="285"/>
      <c r="K53" s="42"/>
      <c r="L53" s="284"/>
      <c r="M53" s="209"/>
      <c r="N53" s="209"/>
      <c r="O53" s="209"/>
      <c r="P53" s="285"/>
      <c r="Q53" s="42"/>
      <c r="R53" s="1458" t="s">
        <v>1736</v>
      </c>
      <c r="S53" s="1459"/>
      <c r="T53" s="1459"/>
      <c r="U53" s="1459"/>
      <c r="V53" s="1446" t="str">
        <f>'2. Invoer parameters'!C6</f>
        <v>Energie mix</v>
      </c>
      <c r="W53" s="1447"/>
    </row>
    <row r="54" spans="2:24">
      <c r="B54" s="284"/>
      <c r="C54" s="209"/>
      <c r="D54" s="209"/>
      <c r="E54" s="209"/>
      <c r="F54" s="209"/>
      <c r="G54" s="209"/>
      <c r="H54" s="209"/>
      <c r="I54" s="209"/>
      <c r="J54" s="285"/>
      <c r="K54" s="42"/>
      <c r="L54" s="284"/>
      <c r="M54" s="209"/>
      <c r="N54" s="209"/>
      <c r="O54" s="209"/>
      <c r="P54" s="285"/>
      <c r="Q54" s="42"/>
      <c r="R54" s="1458" t="s">
        <v>1737</v>
      </c>
      <c r="S54" s="1459"/>
      <c r="T54" s="1459"/>
      <c r="U54" s="1459"/>
      <c r="V54" s="309">
        <f>'2. Invoer parameters'!C303</f>
        <v>25</v>
      </c>
      <c r="W54" s="310" t="s">
        <v>1690</v>
      </c>
    </row>
    <row r="55" spans="2:24">
      <c r="B55" s="284"/>
      <c r="C55" s="209"/>
      <c r="D55" s="209"/>
      <c r="E55" s="209"/>
      <c r="F55" s="209"/>
      <c r="G55" s="209"/>
      <c r="H55" s="209"/>
      <c r="I55" s="209"/>
      <c r="J55" s="285"/>
      <c r="K55" s="42"/>
      <c r="L55" s="284"/>
      <c r="M55" s="209"/>
      <c r="N55" s="209"/>
      <c r="O55" s="209"/>
      <c r="P55" s="285"/>
      <c r="Q55" s="42"/>
      <c r="R55" s="311"/>
      <c r="S55" s="307"/>
      <c r="T55" s="307"/>
      <c r="U55" s="307"/>
      <c r="V55" s="307"/>
      <c r="W55" s="308"/>
    </row>
    <row r="56" spans="2:24">
      <c r="B56" s="284"/>
      <c r="C56" s="209"/>
      <c r="D56" s="209"/>
      <c r="E56" s="209"/>
      <c r="F56" s="209"/>
      <c r="G56" s="209"/>
      <c r="H56" s="209"/>
      <c r="I56" s="209"/>
      <c r="J56" s="285"/>
      <c r="K56" s="42"/>
      <c r="L56" s="284"/>
      <c r="M56" s="209"/>
      <c r="N56" s="209"/>
      <c r="O56" s="209"/>
      <c r="P56" s="285"/>
      <c r="Q56" s="42"/>
      <c r="R56" s="1458" t="s">
        <v>1738</v>
      </c>
      <c r="S56" s="1459"/>
      <c r="T56" s="1459"/>
      <c r="U56" s="1459"/>
      <c r="V56" s="307"/>
      <c r="W56" s="308"/>
    </row>
    <row r="57" spans="2:24">
      <c r="B57" s="284"/>
      <c r="C57" s="209"/>
      <c r="D57" s="209"/>
      <c r="E57" s="209"/>
      <c r="F57" s="209"/>
      <c r="G57" s="209"/>
      <c r="H57" s="209"/>
      <c r="I57" s="209"/>
      <c r="J57" s="285"/>
      <c r="K57" s="42"/>
      <c r="L57" s="284"/>
      <c r="M57" s="209"/>
      <c r="N57" s="209"/>
      <c r="O57" s="209"/>
      <c r="P57" s="285"/>
      <c r="Q57" s="42"/>
      <c r="R57" s="284"/>
      <c r="S57" s="209"/>
      <c r="T57" s="209"/>
      <c r="U57" s="209"/>
      <c r="V57" s="209"/>
      <c r="W57" s="285"/>
    </row>
    <row r="58" spans="2:24">
      <c r="B58" s="284"/>
      <c r="C58" s="209"/>
      <c r="D58" s="209"/>
      <c r="E58" s="209"/>
      <c r="F58" s="209"/>
      <c r="G58" s="209"/>
      <c r="H58" s="209"/>
      <c r="I58" s="209"/>
      <c r="J58" s="285"/>
      <c r="K58" s="42"/>
      <c r="L58" s="284"/>
      <c r="M58" s="209"/>
      <c r="N58" s="209"/>
      <c r="O58" s="209"/>
      <c r="P58" s="285"/>
      <c r="Q58" s="42"/>
      <c r="R58" s="284"/>
      <c r="S58" s="209"/>
      <c r="T58" s="209"/>
      <c r="U58" s="209"/>
      <c r="V58" s="209"/>
      <c r="W58" s="285"/>
    </row>
    <row r="59" spans="2:24">
      <c r="B59" s="284"/>
      <c r="C59" s="209"/>
      <c r="D59" s="209"/>
      <c r="E59" s="209"/>
      <c r="F59" s="209"/>
      <c r="G59" s="209"/>
      <c r="H59" s="209"/>
      <c r="I59" s="209"/>
      <c r="J59" s="285"/>
      <c r="K59" s="42"/>
      <c r="L59" s="284"/>
      <c r="M59" s="209"/>
      <c r="N59" s="209"/>
      <c r="O59" s="209"/>
      <c r="P59" s="285"/>
      <c r="Q59" s="42"/>
      <c r="R59" s="284"/>
      <c r="S59" s="209"/>
      <c r="T59" s="209"/>
      <c r="U59" s="209"/>
      <c r="V59" s="209"/>
      <c r="W59" s="285"/>
    </row>
    <row r="60" spans="2:24">
      <c r="B60" s="284"/>
      <c r="C60" s="209"/>
      <c r="D60" s="209"/>
      <c r="E60" s="209"/>
      <c r="F60" s="209"/>
      <c r="G60" s="209"/>
      <c r="H60" s="209"/>
      <c r="I60" s="209"/>
      <c r="J60" s="285"/>
      <c r="K60" s="42"/>
      <c r="L60" s="284"/>
      <c r="M60" s="209"/>
      <c r="N60" s="209"/>
      <c r="O60" s="209"/>
      <c r="P60" s="285"/>
      <c r="Q60" s="42"/>
      <c r="R60" s="284"/>
      <c r="S60" s="209"/>
      <c r="T60" s="209"/>
      <c r="U60" s="209"/>
      <c r="V60" s="209"/>
      <c r="W60" s="285"/>
    </row>
    <row r="61" spans="2:24">
      <c r="B61" s="284"/>
      <c r="C61" s="209"/>
      <c r="D61" s="209"/>
      <c r="E61" s="209"/>
      <c r="F61" s="209"/>
      <c r="G61" s="209"/>
      <c r="H61" s="209"/>
      <c r="I61" s="209"/>
      <c r="J61" s="285"/>
      <c r="K61" s="42"/>
      <c r="L61" s="284"/>
      <c r="M61" s="209"/>
      <c r="N61" s="209"/>
      <c r="O61" s="209"/>
      <c r="P61" s="285"/>
      <c r="Q61" s="42"/>
      <c r="R61" s="284"/>
      <c r="S61" s="209"/>
      <c r="T61" s="209"/>
      <c r="U61" s="209"/>
      <c r="V61" s="209"/>
      <c r="W61" s="285"/>
    </row>
    <row r="62" spans="2:24">
      <c r="B62" s="284"/>
      <c r="C62" s="209"/>
      <c r="D62" s="209"/>
      <c r="E62" s="209"/>
      <c r="F62" s="209"/>
      <c r="G62" s="209"/>
      <c r="H62" s="209"/>
      <c r="I62" s="209"/>
      <c r="J62" s="285"/>
      <c r="K62" s="42"/>
      <c r="L62" s="284"/>
      <c r="M62" s="209"/>
      <c r="N62" s="209"/>
      <c r="O62" s="209"/>
      <c r="P62" s="285"/>
      <c r="Q62" s="42"/>
      <c r="R62" s="284"/>
      <c r="S62" s="209"/>
      <c r="T62" s="209"/>
      <c r="U62" s="209"/>
      <c r="V62" s="209"/>
      <c r="W62" s="285"/>
    </row>
    <row r="63" spans="2:24">
      <c r="B63" s="284"/>
      <c r="C63" s="209"/>
      <c r="D63" s="209"/>
      <c r="E63" s="209"/>
      <c r="F63" s="209"/>
      <c r="G63" s="209"/>
      <c r="H63" s="209"/>
      <c r="I63" s="209"/>
      <c r="J63" s="285"/>
      <c r="K63" s="42"/>
      <c r="L63" s="284"/>
      <c r="M63" s="209"/>
      <c r="N63" s="209"/>
      <c r="O63" s="209"/>
      <c r="P63" s="285"/>
      <c r="Q63" s="42"/>
      <c r="R63" s="284"/>
      <c r="S63" s="209"/>
      <c r="T63" s="209"/>
      <c r="U63" s="209"/>
      <c r="V63" s="209"/>
      <c r="W63" s="285"/>
    </row>
    <row r="64" spans="2:24">
      <c r="B64" s="284"/>
      <c r="C64" s="209"/>
      <c r="D64" s="209"/>
      <c r="E64" s="209"/>
      <c r="F64" s="209"/>
      <c r="G64" s="209"/>
      <c r="H64" s="209"/>
      <c r="I64" s="209"/>
      <c r="J64" s="285"/>
      <c r="K64" s="42"/>
      <c r="L64" s="284"/>
      <c r="M64" s="209"/>
      <c r="N64" s="209"/>
      <c r="O64" s="209"/>
      <c r="P64" s="285"/>
      <c r="Q64" s="42"/>
      <c r="R64" s="284"/>
      <c r="S64" s="209"/>
      <c r="T64" s="209"/>
      <c r="U64" s="209"/>
      <c r="V64" s="209"/>
      <c r="W64" s="285"/>
    </row>
    <row r="65" spans="2:24">
      <c r="B65" s="284"/>
      <c r="C65" s="209"/>
      <c r="D65" s="209"/>
      <c r="E65" s="209"/>
      <c r="F65" s="209"/>
      <c r="G65" s="209"/>
      <c r="H65" s="209"/>
      <c r="I65" s="209"/>
      <c r="J65" s="285"/>
      <c r="K65" s="42"/>
      <c r="L65" s="284"/>
      <c r="M65" s="209"/>
      <c r="N65" s="209"/>
      <c r="O65" s="209"/>
      <c r="P65" s="285"/>
      <c r="Q65" s="42"/>
      <c r="R65" s="284"/>
      <c r="S65" s="209"/>
      <c r="T65" s="209"/>
      <c r="U65" s="209"/>
      <c r="V65" s="209"/>
      <c r="W65" s="285"/>
    </row>
    <row r="66" spans="2:24">
      <c r="B66" s="284"/>
      <c r="C66" s="209"/>
      <c r="D66" s="209"/>
      <c r="E66" s="209"/>
      <c r="F66" s="209"/>
      <c r="G66" s="209"/>
      <c r="H66" s="209"/>
      <c r="I66" s="209"/>
      <c r="J66" s="285"/>
      <c r="K66" s="42"/>
      <c r="L66" s="284"/>
      <c r="M66" s="209"/>
      <c r="N66" s="209"/>
      <c r="O66" s="209"/>
      <c r="P66" s="285"/>
      <c r="Q66" s="42"/>
      <c r="R66" s="284"/>
      <c r="S66" s="209"/>
      <c r="T66" s="209"/>
      <c r="U66" s="209"/>
      <c r="V66" s="209"/>
      <c r="W66" s="285"/>
    </row>
    <row r="67" spans="2:24">
      <c r="B67" s="284"/>
      <c r="C67" s="209"/>
      <c r="D67" s="209"/>
      <c r="E67" s="209"/>
      <c r="F67" s="209"/>
      <c r="G67" s="209"/>
      <c r="H67" s="209"/>
      <c r="I67" s="209"/>
      <c r="J67" s="285"/>
      <c r="K67" s="42"/>
      <c r="L67" s="284"/>
      <c r="M67" s="209"/>
      <c r="N67" s="209"/>
      <c r="O67" s="209"/>
      <c r="P67" s="285"/>
      <c r="Q67" s="42"/>
      <c r="R67" s="284"/>
      <c r="S67" s="209"/>
      <c r="T67" s="209"/>
      <c r="U67" s="209"/>
      <c r="V67" s="209"/>
      <c r="W67" s="285"/>
    </row>
    <row r="68" spans="2:24">
      <c r="B68" s="284"/>
      <c r="C68" s="209"/>
      <c r="D68" s="209"/>
      <c r="E68" s="209"/>
      <c r="F68" s="209"/>
      <c r="G68" s="209"/>
      <c r="H68" s="209"/>
      <c r="I68" s="209"/>
      <c r="J68" s="285"/>
      <c r="K68" s="42"/>
      <c r="L68" s="284"/>
      <c r="M68" s="209"/>
      <c r="N68" s="209"/>
      <c r="O68" s="209"/>
      <c r="P68" s="285"/>
      <c r="Q68" s="42"/>
      <c r="R68" s="284"/>
      <c r="S68" s="209"/>
      <c r="T68" s="209"/>
      <c r="U68" s="209"/>
      <c r="V68" s="209"/>
      <c r="W68" s="285"/>
    </row>
    <row r="69" spans="2:24">
      <c r="B69" s="286"/>
      <c r="C69" s="287"/>
      <c r="D69" s="287"/>
      <c r="E69" s="287"/>
      <c r="F69" s="287"/>
      <c r="G69" s="287"/>
      <c r="H69" s="287"/>
      <c r="I69" s="287"/>
      <c r="J69" s="288"/>
      <c r="K69" s="42"/>
      <c r="L69" s="286"/>
      <c r="M69" s="287"/>
      <c r="N69" s="287"/>
      <c r="O69" s="287"/>
      <c r="P69" s="288"/>
      <c r="Q69" s="42"/>
      <c r="R69" s="286"/>
      <c r="S69" s="287"/>
      <c r="T69" s="287"/>
      <c r="U69" s="287"/>
      <c r="V69" s="287"/>
      <c r="W69" s="288"/>
    </row>
    <row r="70" spans="2:24" ht="17" thickBot="1">
      <c r="B70" s="42"/>
      <c r="C70" s="42"/>
      <c r="D70" s="42"/>
      <c r="E70" s="42"/>
      <c r="F70" s="42"/>
      <c r="G70" s="42"/>
      <c r="H70" s="42"/>
      <c r="I70" s="42"/>
      <c r="J70" s="42"/>
      <c r="K70" s="42"/>
      <c r="L70" s="42"/>
      <c r="M70" s="42"/>
      <c r="N70" s="42"/>
      <c r="O70" s="42"/>
      <c r="P70" s="42"/>
      <c r="Q70" s="42"/>
      <c r="R70" s="42"/>
      <c r="S70" s="42"/>
      <c r="T70" s="42"/>
    </row>
    <row r="71" spans="2:24" ht="9" customHeight="1" thickBot="1">
      <c r="B71" s="1448"/>
      <c r="C71" s="1449"/>
      <c r="D71" s="1449"/>
      <c r="E71" s="1449"/>
      <c r="F71" s="1449"/>
      <c r="G71" s="1449"/>
      <c r="H71" s="1449"/>
      <c r="I71" s="1449"/>
      <c r="J71" s="1449"/>
      <c r="K71" s="1449"/>
      <c r="L71" s="1449"/>
      <c r="M71" s="1449"/>
      <c r="N71" s="1449"/>
      <c r="O71" s="1449"/>
      <c r="P71" s="1449"/>
      <c r="Q71" s="1449"/>
      <c r="R71" s="1449"/>
      <c r="S71" s="1449"/>
      <c r="T71" s="1449"/>
      <c r="U71" s="1449"/>
      <c r="V71" s="1449"/>
      <c r="W71" s="1450"/>
    </row>
    <row r="72" spans="2:24">
      <c r="B72" s="42"/>
      <c r="C72" s="42"/>
      <c r="D72" s="42"/>
      <c r="E72" s="42"/>
      <c r="F72" s="42"/>
      <c r="G72" s="42"/>
      <c r="H72" s="42"/>
      <c r="I72" s="42"/>
      <c r="J72" s="42"/>
      <c r="K72" s="42"/>
      <c r="L72" s="42"/>
      <c r="M72" s="42"/>
      <c r="N72" s="42"/>
      <c r="O72" s="42"/>
      <c r="P72" s="42"/>
      <c r="Q72" s="42"/>
      <c r="R72" s="42"/>
      <c r="S72" s="42"/>
      <c r="T72" s="42"/>
    </row>
    <row r="73" spans="2:24" s="42" customFormat="1" ht="27" customHeight="1" thickBot="1"/>
    <row r="74" spans="2:24" ht="29" thickBot="1">
      <c r="B74" s="1471" t="s">
        <v>1742</v>
      </c>
      <c r="C74" s="1472"/>
      <c r="D74" s="1472"/>
      <c r="E74" s="1472"/>
      <c r="F74" s="1472"/>
      <c r="G74" s="1472"/>
      <c r="H74" s="1472"/>
      <c r="I74" s="1472"/>
      <c r="J74" s="1472"/>
      <c r="K74" s="1472"/>
      <c r="L74" s="1472"/>
      <c r="M74" s="1472"/>
      <c r="N74" s="1472"/>
      <c r="O74" s="1472"/>
      <c r="P74" s="1472"/>
      <c r="Q74" s="1472"/>
      <c r="R74" s="1472"/>
      <c r="S74" s="1472"/>
      <c r="T74" s="1472"/>
      <c r="U74" s="1472"/>
      <c r="V74" s="1472"/>
      <c r="W74" s="1473"/>
      <c r="X74" s="502"/>
    </row>
    <row r="75" spans="2:24" s="42" customFormat="1" ht="17" thickBot="1"/>
    <row r="76" spans="2:24" s="42" customFormat="1" ht="29" thickBot="1">
      <c r="B76" s="1451" t="s">
        <v>1329</v>
      </c>
      <c r="C76" s="1453" t="s">
        <v>0</v>
      </c>
      <c r="D76" s="1454"/>
      <c r="E76" s="1454"/>
      <c r="F76" s="1454"/>
      <c r="G76" s="1454"/>
      <c r="H76" s="1454"/>
      <c r="I76" s="1454"/>
      <c r="J76" s="1455"/>
      <c r="K76" s="1474" t="s">
        <v>1905</v>
      </c>
      <c r="L76" s="1475"/>
      <c r="M76" s="1475"/>
      <c r="N76" s="1475"/>
      <c r="O76" s="1475"/>
      <c r="P76" s="1475"/>
      <c r="Q76" s="1475"/>
      <c r="R76" s="1475"/>
      <c r="S76" s="1475"/>
      <c r="T76" s="1475"/>
      <c r="U76" s="1475"/>
      <c r="V76" s="1475"/>
      <c r="W76" s="1476"/>
    </row>
    <row r="77" spans="2:24" s="42" customFormat="1" ht="24" thickBot="1">
      <c r="B77" s="1452"/>
      <c r="C77" s="46"/>
      <c r="D77" s="1479" t="s">
        <v>4</v>
      </c>
      <c r="E77" s="1480"/>
      <c r="F77" s="1480"/>
      <c r="G77" s="1480"/>
      <c r="H77" s="1480"/>
      <c r="I77" s="1480"/>
      <c r="J77" s="1481"/>
      <c r="K77" s="1456" t="s">
        <v>6</v>
      </c>
      <c r="L77" s="1457"/>
      <c r="M77" s="1457"/>
      <c r="N77" s="1457"/>
      <c r="O77" s="1457"/>
      <c r="P77" s="1457"/>
      <c r="Q77" s="503"/>
      <c r="R77" s="1477" t="s">
        <v>1716</v>
      </c>
      <c r="S77" s="1478"/>
      <c r="T77" s="1478"/>
      <c r="U77" s="1478"/>
      <c r="V77" s="1478"/>
      <c r="W77" s="1478"/>
    </row>
    <row r="78" spans="2:24" s="42" customFormat="1" ht="24" customHeight="1">
      <c r="B78" s="1451" t="s">
        <v>1330</v>
      </c>
      <c r="C78" s="1442" t="s">
        <v>7</v>
      </c>
      <c r="D78" s="1443"/>
      <c r="E78" s="1412" t="s">
        <v>688</v>
      </c>
      <c r="F78" s="1413"/>
      <c r="G78" s="1413"/>
      <c r="H78" s="1413"/>
      <c r="I78" s="1413"/>
      <c r="J78" s="1414"/>
      <c r="K78" s="1395" t="s">
        <v>1441</v>
      </c>
      <c r="L78" s="1395"/>
      <c r="M78" s="1395"/>
      <c r="N78" s="1395"/>
      <c r="O78" s="1395"/>
      <c r="P78" s="1395"/>
      <c r="Q78" s="490"/>
      <c r="R78" s="1418" t="s">
        <v>1443</v>
      </c>
      <c r="S78" s="1419"/>
      <c r="T78" s="1419"/>
      <c r="U78" s="1419"/>
      <c r="V78" s="1419"/>
      <c r="W78" s="1420"/>
    </row>
    <row r="79" spans="2:24" s="42" customFormat="1" ht="24" customHeight="1">
      <c r="B79" s="1482"/>
      <c r="C79" s="1405" t="s">
        <v>12</v>
      </c>
      <c r="D79" s="1444"/>
      <c r="E79" s="1407" t="s">
        <v>686</v>
      </c>
      <c r="F79" s="1408"/>
      <c r="G79" s="1408"/>
      <c r="H79" s="1408"/>
      <c r="I79" s="1408"/>
      <c r="J79" s="1409"/>
      <c r="K79" s="1398" t="s">
        <v>904</v>
      </c>
      <c r="L79" s="1398"/>
      <c r="M79" s="1398"/>
      <c r="N79" s="1398"/>
      <c r="O79" s="1398"/>
      <c r="P79" s="1398"/>
      <c r="Q79" s="490"/>
      <c r="R79" s="1421" t="s">
        <v>1443</v>
      </c>
      <c r="S79" s="1422"/>
      <c r="T79" s="1422"/>
      <c r="U79" s="1422"/>
      <c r="V79" s="1422"/>
      <c r="W79" s="1423"/>
    </row>
    <row r="80" spans="2:24" s="42" customFormat="1" ht="24" customHeight="1">
      <c r="B80" s="1482"/>
      <c r="C80" s="1405" t="s">
        <v>15</v>
      </c>
      <c r="D80" s="1444"/>
      <c r="E80" s="1407" t="s">
        <v>687</v>
      </c>
      <c r="F80" s="1408"/>
      <c r="G80" s="1408"/>
      <c r="H80" s="1408"/>
      <c r="I80" s="1408"/>
      <c r="J80" s="1409"/>
      <c r="K80" s="1398" t="s">
        <v>909</v>
      </c>
      <c r="L80" s="1398"/>
      <c r="M80" s="1398"/>
      <c r="N80" s="1398"/>
      <c r="O80" s="1398"/>
      <c r="P80" s="1398"/>
      <c r="Q80" s="490"/>
      <c r="R80" s="1421" t="s">
        <v>1443</v>
      </c>
      <c r="S80" s="1422"/>
      <c r="T80" s="1422"/>
      <c r="U80" s="1422"/>
      <c r="V80" s="1422"/>
      <c r="W80" s="1423"/>
    </row>
    <row r="81" spans="2:23" s="42" customFormat="1" ht="24" customHeight="1">
      <c r="B81" s="1482"/>
      <c r="C81" s="1405" t="s">
        <v>18</v>
      </c>
      <c r="D81" s="1444"/>
      <c r="E81" s="1407" t="s">
        <v>682</v>
      </c>
      <c r="F81" s="1408"/>
      <c r="G81" s="1408"/>
      <c r="H81" s="1408"/>
      <c r="I81" s="1408"/>
      <c r="J81" s="1409"/>
      <c r="K81" s="1398" t="s">
        <v>901</v>
      </c>
      <c r="L81" s="1398"/>
      <c r="M81" s="1398"/>
      <c r="N81" s="1398"/>
      <c r="O81" s="1398"/>
      <c r="P81" s="1398"/>
      <c r="Q81" s="490"/>
      <c r="R81" s="1397" t="s">
        <v>1444</v>
      </c>
      <c r="S81" s="1398"/>
      <c r="T81" s="1398"/>
      <c r="U81" s="1398"/>
      <c r="V81" s="1398"/>
      <c r="W81" s="1399"/>
    </row>
    <row r="82" spans="2:23" s="42" customFormat="1" ht="24" customHeight="1">
      <c r="B82" s="1482"/>
      <c r="C82" s="1405" t="s">
        <v>21</v>
      </c>
      <c r="D82" s="1444"/>
      <c r="E82" s="1407" t="s">
        <v>681</v>
      </c>
      <c r="F82" s="1408"/>
      <c r="G82" s="1408"/>
      <c r="H82" s="1408"/>
      <c r="I82" s="1408"/>
      <c r="J82" s="1409"/>
      <c r="K82" s="1398" t="s">
        <v>24</v>
      </c>
      <c r="L82" s="1398"/>
      <c r="M82" s="1398"/>
      <c r="N82" s="1398"/>
      <c r="O82" s="1398"/>
      <c r="P82" s="1398"/>
      <c r="Q82" s="490"/>
      <c r="R82" s="1397" t="s">
        <v>1444</v>
      </c>
      <c r="S82" s="1398"/>
      <c r="T82" s="1398"/>
      <c r="U82" s="1398"/>
      <c r="V82" s="1398"/>
      <c r="W82" s="1399"/>
    </row>
    <row r="83" spans="2:23" s="42" customFormat="1" ht="24" customHeight="1">
      <c r="B83" s="1482"/>
      <c r="C83" s="1405" t="s">
        <v>25</v>
      </c>
      <c r="D83" s="1444"/>
      <c r="E83" s="1407" t="s">
        <v>683</v>
      </c>
      <c r="F83" s="1408"/>
      <c r="G83" s="1408"/>
      <c r="H83" s="1408"/>
      <c r="I83" s="1408"/>
      <c r="J83" s="1409"/>
      <c r="K83" s="1398" t="s">
        <v>24</v>
      </c>
      <c r="L83" s="1398"/>
      <c r="M83" s="1398"/>
      <c r="N83" s="1398"/>
      <c r="O83" s="1398"/>
      <c r="P83" s="1398"/>
      <c r="Q83" s="490"/>
      <c r="R83" s="1421" t="s">
        <v>1443</v>
      </c>
      <c r="S83" s="1422"/>
      <c r="T83" s="1422"/>
      <c r="U83" s="1422"/>
      <c r="V83" s="1422"/>
      <c r="W83" s="1423"/>
    </row>
    <row r="84" spans="2:23" s="42" customFormat="1" ht="24" customHeight="1">
      <c r="B84" s="1482"/>
      <c r="C84" s="1405" t="s">
        <v>159</v>
      </c>
      <c r="D84" s="1444"/>
      <c r="E84" s="1407" t="s">
        <v>312</v>
      </c>
      <c r="F84" s="1408"/>
      <c r="G84" s="1408"/>
      <c r="H84" s="1408"/>
      <c r="I84" s="1408"/>
      <c r="J84" s="1409"/>
      <c r="K84" s="1398" t="s">
        <v>906</v>
      </c>
      <c r="L84" s="1398"/>
      <c r="M84" s="1398"/>
      <c r="N84" s="1398"/>
      <c r="O84" s="1398"/>
      <c r="P84" s="1398"/>
      <c r="Q84" s="490"/>
      <c r="R84" s="1421" t="s">
        <v>1443</v>
      </c>
      <c r="S84" s="1422"/>
      <c r="T84" s="1422"/>
      <c r="U84" s="1422"/>
      <c r="V84" s="1422"/>
      <c r="W84" s="1423"/>
    </row>
    <row r="85" spans="2:23" s="42" customFormat="1" ht="24" customHeight="1">
      <c r="B85" s="1482"/>
      <c r="C85" s="1405" t="s">
        <v>28</v>
      </c>
      <c r="D85" s="1444"/>
      <c r="E85" s="1407" t="s">
        <v>684</v>
      </c>
      <c r="F85" s="1408"/>
      <c r="G85" s="1408"/>
      <c r="H85" s="1408"/>
      <c r="I85" s="1408"/>
      <c r="J85" s="1409"/>
      <c r="K85" s="1398" t="s">
        <v>905</v>
      </c>
      <c r="L85" s="1398"/>
      <c r="M85" s="1398"/>
      <c r="N85" s="1398"/>
      <c r="O85" s="1398"/>
      <c r="P85" s="1398"/>
      <c r="Q85" s="490"/>
      <c r="R85" s="1397" t="s">
        <v>1450</v>
      </c>
      <c r="S85" s="1398"/>
      <c r="T85" s="1398"/>
      <c r="U85" s="1398"/>
      <c r="V85" s="1398"/>
      <c r="W85" s="1399"/>
    </row>
    <row r="86" spans="2:23" s="42" customFormat="1" ht="24" customHeight="1" thickBot="1">
      <c r="B86" s="1452"/>
      <c r="C86" s="1436" t="s">
        <v>32</v>
      </c>
      <c r="D86" s="1445"/>
      <c r="E86" s="1407" t="s">
        <v>685</v>
      </c>
      <c r="F86" s="1408"/>
      <c r="G86" s="1408"/>
      <c r="H86" s="1408"/>
      <c r="I86" s="1408"/>
      <c r="J86" s="1409"/>
      <c r="K86" s="1398" t="s">
        <v>913</v>
      </c>
      <c r="L86" s="1398"/>
      <c r="M86" s="1398"/>
      <c r="N86" s="1398"/>
      <c r="O86" s="1398"/>
      <c r="P86" s="1398"/>
      <c r="Q86" s="490"/>
      <c r="R86" s="1400" t="s">
        <v>1450</v>
      </c>
      <c r="S86" s="1401"/>
      <c r="T86" s="1401"/>
      <c r="U86" s="1401"/>
      <c r="V86" s="1401"/>
      <c r="W86" s="1402"/>
    </row>
    <row r="87" spans="2:23" s="42" customFormat="1" ht="24" thickBot="1">
      <c r="B87" s="196"/>
      <c r="C87" s="1424"/>
      <c r="D87" s="1425"/>
      <c r="E87" s="1425"/>
      <c r="F87" s="1425"/>
      <c r="G87" s="1425"/>
      <c r="H87" s="1425"/>
      <c r="I87" s="1425"/>
      <c r="J87" s="1425"/>
      <c r="K87" s="1425"/>
      <c r="L87" s="1425"/>
      <c r="M87" s="1425"/>
      <c r="N87" s="1425"/>
      <c r="O87" s="1425"/>
      <c r="P87" s="1425"/>
      <c r="Q87" s="1425"/>
      <c r="R87" s="1425"/>
      <c r="S87" s="1425"/>
      <c r="T87" s="1425"/>
      <c r="U87" s="1425"/>
      <c r="V87" s="1425"/>
      <c r="W87" s="1426"/>
    </row>
    <row r="88" spans="2:23" s="42" customFormat="1" ht="24" customHeight="1">
      <c r="B88" s="1440" t="s">
        <v>1332</v>
      </c>
      <c r="C88" s="1442" t="s">
        <v>890</v>
      </c>
      <c r="D88" s="1443"/>
      <c r="E88" s="1407" t="s">
        <v>891</v>
      </c>
      <c r="F88" s="1408"/>
      <c r="G88" s="1408"/>
      <c r="H88" s="1408"/>
      <c r="I88" s="1408"/>
      <c r="J88" s="1409"/>
      <c r="K88" s="1397" t="s">
        <v>1440</v>
      </c>
      <c r="L88" s="1398"/>
      <c r="M88" s="1398"/>
      <c r="N88" s="1398"/>
      <c r="O88" s="1398"/>
      <c r="P88" s="1399"/>
      <c r="Q88" s="354"/>
      <c r="R88" s="1394" t="s">
        <v>1447</v>
      </c>
      <c r="S88" s="1395"/>
      <c r="T88" s="1395"/>
      <c r="U88" s="1395"/>
      <c r="V88" s="1395"/>
      <c r="W88" s="1396"/>
    </row>
    <row r="89" spans="2:23" s="42" customFormat="1" ht="24" customHeight="1">
      <c r="B89" s="1441"/>
      <c r="C89" s="1405" t="s">
        <v>892</v>
      </c>
      <c r="D89" s="1444"/>
      <c r="E89" s="1407" t="s">
        <v>893</v>
      </c>
      <c r="F89" s="1408"/>
      <c r="G89" s="1408"/>
      <c r="H89" s="1408"/>
      <c r="I89" s="1408"/>
      <c r="J89" s="1409"/>
      <c r="K89" s="1397" t="s">
        <v>4373</v>
      </c>
      <c r="L89" s="1398"/>
      <c r="M89" s="1398"/>
      <c r="N89" s="1398"/>
      <c r="O89" s="1398"/>
      <c r="P89" s="1399"/>
      <c r="Q89" s="354"/>
      <c r="R89" s="1421" t="s">
        <v>1443</v>
      </c>
      <c r="S89" s="1422"/>
      <c r="T89" s="1422"/>
      <c r="U89" s="1422"/>
      <c r="V89" s="1422"/>
      <c r="W89" s="1423"/>
    </row>
    <row r="90" spans="2:23" s="42" customFormat="1" ht="24" customHeight="1" thickBot="1">
      <c r="B90" s="1429"/>
      <c r="C90" s="1436" t="s">
        <v>120</v>
      </c>
      <c r="D90" s="1445"/>
      <c r="E90" s="1407" t="s">
        <v>894</v>
      </c>
      <c r="F90" s="1408"/>
      <c r="G90" s="1408"/>
      <c r="H90" s="1408"/>
      <c r="I90" s="1408"/>
      <c r="J90" s="1409"/>
      <c r="K90" s="1397" t="s">
        <v>917</v>
      </c>
      <c r="L90" s="1398"/>
      <c r="M90" s="1398"/>
      <c r="N90" s="1398"/>
      <c r="O90" s="1398"/>
      <c r="P90" s="1399"/>
      <c r="Q90" s="354"/>
      <c r="R90" s="1400" t="s">
        <v>1449</v>
      </c>
      <c r="S90" s="1401"/>
      <c r="T90" s="1401"/>
      <c r="U90" s="1401"/>
      <c r="V90" s="1401"/>
      <c r="W90" s="1402"/>
    </row>
    <row r="91" spans="2:23" s="42" customFormat="1" ht="24" thickBot="1">
      <c r="B91" s="196"/>
      <c r="C91" s="1424"/>
      <c r="D91" s="1425"/>
      <c r="E91" s="1425"/>
      <c r="F91" s="1425"/>
      <c r="G91" s="1425"/>
      <c r="H91" s="1425"/>
      <c r="I91" s="1425"/>
      <c r="J91" s="1425"/>
      <c r="K91" s="1425"/>
      <c r="L91" s="1425"/>
      <c r="M91" s="1425"/>
      <c r="N91" s="1425"/>
      <c r="O91" s="1425"/>
      <c r="P91" s="1425"/>
      <c r="Q91" s="1425"/>
      <c r="R91" s="1425"/>
      <c r="S91" s="1425"/>
      <c r="T91" s="1425"/>
      <c r="U91" s="1425"/>
      <c r="V91" s="1425"/>
      <c r="W91" s="1426"/>
    </row>
    <row r="92" spans="2:23" s="42" customFormat="1" ht="24" hidden="1" customHeight="1">
      <c r="B92" s="1427" t="s">
        <v>1331</v>
      </c>
      <c r="C92" s="1432" t="s">
        <v>728</v>
      </c>
      <c r="D92" s="1433"/>
      <c r="E92" s="1430" t="s">
        <v>1217</v>
      </c>
      <c r="F92" s="1408"/>
      <c r="G92" s="1408"/>
      <c r="H92" s="1408"/>
      <c r="I92" s="1408"/>
      <c r="J92" s="1431"/>
      <c r="K92" s="1438" t="s">
        <v>1446</v>
      </c>
      <c r="L92" s="1398"/>
      <c r="M92" s="1398"/>
      <c r="N92" s="1398"/>
      <c r="O92" s="1398"/>
      <c r="P92" s="1439"/>
      <c r="Q92" s="490"/>
      <c r="R92" s="1418" t="s">
        <v>1443</v>
      </c>
      <c r="S92" s="1419"/>
      <c r="T92" s="1419"/>
      <c r="U92" s="1419"/>
      <c r="V92" s="1419"/>
      <c r="W92" s="1420"/>
    </row>
    <row r="93" spans="2:23" s="42" customFormat="1" ht="24" hidden="1" customHeight="1">
      <c r="B93" s="1428"/>
      <c r="C93" s="1434" t="s">
        <v>850</v>
      </c>
      <c r="D93" s="1435"/>
      <c r="E93" s="1430" t="s">
        <v>889</v>
      </c>
      <c r="F93" s="1408"/>
      <c r="G93" s="1408"/>
      <c r="H93" s="1408"/>
      <c r="I93" s="1408"/>
      <c r="J93" s="1431"/>
      <c r="K93" s="1438" t="s">
        <v>1442</v>
      </c>
      <c r="L93" s="1398"/>
      <c r="M93" s="1398"/>
      <c r="N93" s="1398"/>
      <c r="O93" s="1398"/>
      <c r="P93" s="1439"/>
      <c r="Q93" s="490"/>
      <c r="R93" s="1421" t="s">
        <v>1443</v>
      </c>
      <c r="S93" s="1422"/>
      <c r="T93" s="1422"/>
      <c r="U93" s="1422"/>
      <c r="V93" s="1422"/>
      <c r="W93" s="1423"/>
    </row>
    <row r="94" spans="2:23" s="42" customFormat="1" ht="24" hidden="1" customHeight="1">
      <c r="B94" s="1428"/>
      <c r="C94" s="1434" t="s">
        <v>895</v>
      </c>
      <c r="D94" s="1435"/>
      <c r="E94" s="1430" t="s">
        <v>744</v>
      </c>
      <c r="F94" s="1408"/>
      <c r="G94" s="1408"/>
      <c r="H94" s="1408"/>
      <c r="I94" s="1408"/>
      <c r="J94" s="1431"/>
      <c r="K94" s="1438" t="s">
        <v>1445</v>
      </c>
      <c r="L94" s="1398"/>
      <c r="M94" s="1398"/>
      <c r="N94" s="1398"/>
      <c r="O94" s="1398"/>
      <c r="P94" s="1439"/>
      <c r="Q94" s="490"/>
      <c r="R94" s="1397" t="s">
        <v>1448</v>
      </c>
      <c r="S94" s="1398"/>
      <c r="T94" s="1398"/>
      <c r="U94" s="1398"/>
      <c r="V94" s="1398"/>
      <c r="W94" s="1399"/>
    </row>
    <row r="95" spans="2:23" s="42" customFormat="1" ht="24" hidden="1" customHeight="1" thickBot="1">
      <c r="B95" s="1429"/>
      <c r="C95" s="1436" t="s">
        <v>714</v>
      </c>
      <c r="D95" s="1437"/>
      <c r="E95" s="1430" t="s">
        <v>918</v>
      </c>
      <c r="F95" s="1408"/>
      <c r="G95" s="1408"/>
      <c r="H95" s="1408"/>
      <c r="I95" s="1408"/>
      <c r="J95" s="1431"/>
      <c r="K95" s="1438" t="s">
        <v>1445</v>
      </c>
      <c r="L95" s="1398"/>
      <c r="M95" s="1398"/>
      <c r="N95" s="1398"/>
      <c r="O95" s="1398"/>
      <c r="P95" s="1439"/>
      <c r="Q95" s="491"/>
      <c r="R95" s="1397" t="s">
        <v>1449</v>
      </c>
      <c r="S95" s="1398"/>
      <c r="T95" s="1398"/>
      <c r="U95" s="1398"/>
      <c r="V95" s="1398"/>
      <c r="W95" s="1399"/>
    </row>
    <row r="96" spans="2:23" s="209" customFormat="1" ht="24" customHeight="1">
      <c r="B96" s="1351" t="s">
        <v>2045</v>
      </c>
      <c r="C96" s="1403" t="s">
        <v>2044</v>
      </c>
      <c r="D96" s="1404"/>
      <c r="E96" s="1412" t="s">
        <v>4225</v>
      </c>
      <c r="F96" s="1413"/>
      <c r="G96" s="1413"/>
      <c r="H96" s="1413"/>
      <c r="I96" s="1413"/>
      <c r="J96" s="1414"/>
      <c r="K96" s="1395" t="s">
        <v>4231</v>
      </c>
      <c r="L96" s="1395"/>
      <c r="M96" s="1395"/>
      <c r="N96" s="1395"/>
      <c r="O96" s="1395"/>
      <c r="P96" s="1396"/>
      <c r="Q96" s="525"/>
      <c r="R96" s="1394" t="s">
        <v>4232</v>
      </c>
      <c r="S96" s="1395"/>
      <c r="T96" s="1395"/>
      <c r="U96" s="1395"/>
      <c r="V96" s="1395"/>
      <c r="W96" s="1396"/>
    </row>
    <row r="97" spans="2:23" s="209" customFormat="1" ht="24" customHeight="1">
      <c r="B97" s="1352"/>
      <c r="C97" s="1405" t="s">
        <v>4241</v>
      </c>
      <c r="D97" s="1406"/>
      <c r="E97" s="1407" t="s">
        <v>4226</v>
      </c>
      <c r="F97" s="1408"/>
      <c r="G97" s="1408"/>
      <c r="H97" s="1408"/>
      <c r="I97" s="1408"/>
      <c r="J97" s="1409"/>
      <c r="K97" s="1398" t="s">
        <v>4233</v>
      </c>
      <c r="L97" s="1398"/>
      <c r="M97" s="1398"/>
      <c r="N97" s="1398"/>
      <c r="O97" s="1398"/>
      <c r="P97" s="1399"/>
      <c r="Q97" s="526"/>
      <c r="R97" s="1397" t="s">
        <v>4234</v>
      </c>
      <c r="S97" s="1398"/>
      <c r="T97" s="1398"/>
      <c r="U97" s="1398"/>
      <c r="V97" s="1398"/>
      <c r="W97" s="1399"/>
    </row>
    <row r="98" spans="2:23" s="209" customFormat="1" ht="35" customHeight="1" thickBot="1">
      <c r="B98" s="1291"/>
      <c r="C98" s="1410" t="s">
        <v>1640</v>
      </c>
      <c r="D98" s="1411"/>
      <c r="E98" s="1415" t="s">
        <v>4227</v>
      </c>
      <c r="F98" s="1416"/>
      <c r="G98" s="1416"/>
      <c r="H98" s="1416"/>
      <c r="I98" s="1416"/>
      <c r="J98" s="1417"/>
      <c r="K98" s="1401" t="s">
        <v>4339</v>
      </c>
      <c r="L98" s="1401"/>
      <c r="M98" s="1401"/>
      <c r="N98" s="1401"/>
      <c r="O98" s="1401"/>
      <c r="P98" s="1402"/>
      <c r="Q98" s="527"/>
      <c r="R98" s="1400" t="s">
        <v>4338</v>
      </c>
      <c r="S98" s="1401"/>
      <c r="T98" s="1401"/>
      <c r="U98" s="1401"/>
      <c r="V98" s="1401"/>
      <c r="W98" s="1402"/>
    </row>
    <row r="99" spans="2:23" s="209" customFormat="1"/>
    <row r="100" spans="2:23" s="209" customFormat="1">
      <c r="B100" s="209" t="s">
        <v>4337</v>
      </c>
    </row>
    <row r="101" spans="2:23" s="209" customFormat="1"/>
    <row r="102" spans="2:23" s="209" customFormat="1"/>
    <row r="103" spans="2:23" s="209" customFormat="1"/>
    <row r="104" spans="2:23" s="209" customFormat="1"/>
    <row r="105" spans="2:23" s="209" customFormat="1"/>
    <row r="106" spans="2:23" s="209" customFormat="1"/>
    <row r="107" spans="2:23" s="209" customFormat="1"/>
    <row r="108" spans="2:23" s="209" customFormat="1"/>
    <row r="109" spans="2:23" s="209" customFormat="1"/>
    <row r="110" spans="2:23" s="209" customFormat="1"/>
    <row r="111" spans="2:23" s="209" customFormat="1"/>
    <row r="112" spans="2:23" s="209" customFormat="1"/>
    <row r="113" s="209" customFormat="1"/>
    <row r="114" s="209" customFormat="1"/>
    <row r="115" s="209" customFormat="1"/>
    <row r="116" s="209" customFormat="1"/>
    <row r="117" s="209" customFormat="1"/>
    <row r="118" s="209" customFormat="1"/>
    <row r="119" s="209" customFormat="1"/>
    <row r="120" s="209" customFormat="1"/>
    <row r="121" s="209" customFormat="1"/>
    <row r="122" s="209" customFormat="1"/>
    <row r="123" s="209" customFormat="1"/>
    <row r="124" s="209" customFormat="1"/>
    <row r="125" s="209" customFormat="1"/>
    <row r="126" s="209" customFormat="1"/>
    <row r="127" s="209" customFormat="1"/>
    <row r="128" s="209" customFormat="1"/>
    <row r="129" s="209" customFormat="1"/>
    <row r="130" s="209" customFormat="1"/>
    <row r="131" s="209" customFormat="1"/>
    <row r="132" s="209" customFormat="1"/>
    <row r="133" s="209" customFormat="1"/>
    <row r="134" s="209" customFormat="1"/>
    <row r="135" s="209" customFormat="1"/>
    <row r="136" s="209" customFormat="1"/>
    <row r="137" s="209" customFormat="1"/>
    <row r="138" s="209" customFormat="1"/>
    <row r="139" s="209" customFormat="1"/>
    <row r="140" s="209" customFormat="1"/>
    <row r="141" s="209" customFormat="1"/>
    <row r="142" s="209" customFormat="1"/>
    <row r="143" s="209" customFormat="1"/>
    <row r="144" s="209" customFormat="1"/>
    <row r="145" s="209" customFormat="1"/>
    <row r="146" s="209" customFormat="1"/>
    <row r="147" s="209" customFormat="1"/>
    <row r="148" s="209" customFormat="1"/>
    <row r="149" s="209" customFormat="1"/>
    <row r="150" s="209" customFormat="1"/>
    <row r="151" s="209" customFormat="1"/>
    <row r="152" s="209" customFormat="1"/>
    <row r="153" s="209" customFormat="1"/>
    <row r="154" s="209" customFormat="1"/>
    <row r="155" s="209" customFormat="1"/>
    <row r="156" s="209" customFormat="1"/>
    <row r="157" s="209" customFormat="1"/>
    <row r="158" s="209" customFormat="1"/>
    <row r="159" s="209" customFormat="1"/>
    <row r="160" s="209" customFormat="1"/>
    <row r="161" s="209" customFormat="1"/>
    <row r="162" s="209" customFormat="1"/>
    <row r="163" s="209" customFormat="1"/>
    <row r="164" s="209" customFormat="1"/>
    <row r="165" s="209" customFormat="1"/>
    <row r="166" s="209" customFormat="1"/>
    <row r="167" s="209" customFormat="1"/>
    <row r="168" s="209" customFormat="1"/>
    <row r="169" s="209" customFormat="1"/>
    <row r="170" s="209" customFormat="1"/>
    <row r="171" s="209" customFormat="1"/>
    <row r="172" s="209" customFormat="1"/>
    <row r="173" s="209" customFormat="1"/>
    <row r="174" s="209" customFormat="1"/>
    <row r="175" s="209" customFormat="1"/>
    <row r="176" s="209" customFormat="1"/>
    <row r="177" s="209" customFormat="1"/>
    <row r="178" s="209" customFormat="1"/>
    <row r="179" s="209" customFormat="1"/>
    <row r="180" s="209" customFormat="1"/>
    <row r="181" s="209" customFormat="1"/>
    <row r="182" s="209" customFormat="1"/>
    <row r="183" s="209" customFormat="1"/>
    <row r="184" s="209" customFormat="1"/>
    <row r="185" s="209" customFormat="1"/>
    <row r="186" s="209" customFormat="1"/>
    <row r="187" s="209" customFormat="1"/>
    <row r="188" s="209" customFormat="1"/>
    <row r="189" s="209" customFormat="1"/>
    <row r="190" s="209" customFormat="1"/>
    <row r="191" s="209" customFormat="1"/>
    <row r="192" s="209" customFormat="1"/>
    <row r="193" s="209" customFormat="1"/>
    <row r="194" s="209" customFormat="1"/>
    <row r="195" s="209" customFormat="1"/>
    <row r="196" s="209" customFormat="1"/>
    <row r="197" s="209" customFormat="1"/>
    <row r="198" s="209" customFormat="1"/>
    <row r="199" s="209" customFormat="1"/>
    <row r="200" s="209" customFormat="1"/>
    <row r="201" s="209" customFormat="1"/>
    <row r="202" s="209" customFormat="1"/>
    <row r="203" s="209" customFormat="1"/>
    <row r="204" s="209" customFormat="1"/>
    <row r="205" s="209" customFormat="1"/>
    <row r="206" s="209" customFormat="1"/>
    <row r="207" s="209" customFormat="1"/>
    <row r="208" s="209" customFormat="1"/>
    <row r="209" s="209" customFormat="1"/>
    <row r="210" s="209" customFormat="1"/>
    <row r="211" s="209" customFormat="1"/>
    <row r="212" s="209" customFormat="1"/>
    <row r="213" s="209" customFormat="1"/>
    <row r="214" s="209" customFormat="1"/>
    <row r="215" s="209" customFormat="1"/>
    <row r="216" s="209" customFormat="1"/>
    <row r="217" s="209" customFormat="1"/>
    <row r="218" s="209" customFormat="1"/>
    <row r="219" s="209" customFormat="1"/>
    <row r="220" s="209" customFormat="1"/>
    <row r="221" s="209" customFormat="1"/>
    <row r="222" s="209" customFormat="1"/>
    <row r="223" s="209" customFormat="1"/>
    <row r="224" s="209" customFormat="1"/>
    <row r="225" s="209" customFormat="1"/>
    <row r="226" s="209" customFormat="1"/>
    <row r="227" s="209" customFormat="1"/>
    <row r="228" s="209" customFormat="1"/>
    <row r="229" s="209" customFormat="1"/>
    <row r="230" s="209" customFormat="1"/>
    <row r="231" s="209" customFormat="1"/>
    <row r="232" s="209" customFormat="1"/>
    <row r="233" s="209" customFormat="1"/>
    <row r="234" s="209" customFormat="1"/>
    <row r="235" s="209" customFormat="1"/>
    <row r="236" s="209" customFormat="1"/>
    <row r="237" s="209" customFormat="1"/>
    <row r="238" s="209" customFormat="1"/>
    <row r="239" s="209" customFormat="1"/>
    <row r="240" s="209" customFormat="1"/>
    <row r="241" s="209" customFormat="1"/>
    <row r="242" s="209" customFormat="1"/>
    <row r="243" s="209" customFormat="1"/>
    <row r="244" s="209" customFormat="1"/>
    <row r="245" s="209" customFormat="1"/>
    <row r="246" s="209" customFormat="1"/>
    <row r="247" s="209" customFormat="1"/>
    <row r="248" s="209" customFormat="1"/>
    <row r="249" s="209" customFormat="1"/>
    <row r="250" s="209" customFormat="1"/>
    <row r="251" s="209" customFormat="1"/>
    <row r="252" s="209" customFormat="1"/>
    <row r="253" s="209" customFormat="1"/>
    <row r="254" s="209" customFormat="1"/>
    <row r="255" s="209" customFormat="1"/>
    <row r="256" s="209" customFormat="1"/>
    <row r="257" s="209" customFormat="1"/>
    <row r="258" s="209" customFormat="1"/>
    <row r="259" s="209" customFormat="1"/>
    <row r="260" s="209" customFormat="1"/>
    <row r="261" s="209" customFormat="1"/>
    <row r="262" s="209" customFormat="1"/>
    <row r="263" s="209" customFormat="1"/>
    <row r="264" s="209" customFormat="1"/>
    <row r="265" s="209" customFormat="1"/>
    <row r="266" s="209" customFormat="1"/>
    <row r="267" s="209" customFormat="1"/>
    <row r="268" s="209" customFormat="1"/>
    <row r="269" s="209" customFormat="1"/>
    <row r="270" s="209" customFormat="1"/>
    <row r="271" s="209" customFormat="1"/>
    <row r="272" s="209" customFormat="1"/>
    <row r="273" s="209" customFormat="1"/>
    <row r="274" s="209" customFormat="1"/>
    <row r="275" s="209" customFormat="1"/>
    <row r="276" s="209" customFormat="1"/>
    <row r="277" s="209" customFormat="1"/>
    <row r="278" s="209" customFormat="1"/>
    <row r="279" s="209" customFormat="1"/>
    <row r="280" s="209" customFormat="1"/>
    <row r="281" s="209" customFormat="1"/>
    <row r="282" s="209" customFormat="1"/>
    <row r="283" s="209" customFormat="1"/>
    <row r="284" s="209" customFormat="1"/>
    <row r="285" s="209" customFormat="1"/>
    <row r="286" s="209" customFormat="1"/>
    <row r="287" s="209" customFormat="1"/>
    <row r="288" s="209" customFormat="1"/>
    <row r="289" s="209" customFormat="1"/>
    <row r="290" s="209" customFormat="1"/>
    <row r="291" s="209" customFormat="1"/>
    <row r="292" s="209" customFormat="1"/>
    <row r="293" s="209" customFormat="1"/>
    <row r="294" s="209" customFormat="1"/>
    <row r="295" s="209" customFormat="1"/>
    <row r="296" s="209" customFormat="1"/>
    <row r="297" s="209" customFormat="1"/>
    <row r="298" s="209" customFormat="1"/>
    <row r="299" s="209" customFormat="1"/>
    <row r="300" s="209" customFormat="1"/>
    <row r="301" s="209" customFormat="1"/>
    <row r="302" s="209" customFormat="1"/>
    <row r="303" s="209" customFormat="1"/>
    <row r="304" s="209" customFormat="1"/>
    <row r="305" s="209" customFormat="1"/>
    <row r="306" s="209" customFormat="1"/>
    <row r="307" s="209" customFormat="1"/>
    <row r="308" s="209" customFormat="1"/>
    <row r="309" s="209" customFormat="1"/>
    <row r="310" s="209" customFormat="1"/>
    <row r="311" s="42" customFormat="1"/>
    <row r="312" s="42" customFormat="1"/>
    <row r="313" s="42" customFormat="1"/>
    <row r="314" s="42" customFormat="1"/>
    <row r="315" s="42" customFormat="1"/>
    <row r="316" s="42" customFormat="1"/>
    <row r="317" s="42" customFormat="1"/>
    <row r="318" s="42" customFormat="1"/>
    <row r="319" s="42" customFormat="1"/>
    <row r="320" s="42" customFormat="1"/>
    <row r="321" s="42" customFormat="1"/>
    <row r="322" s="42" customFormat="1"/>
    <row r="323" s="42" customFormat="1"/>
    <row r="324" s="42" customFormat="1"/>
    <row r="325" s="42" customFormat="1"/>
    <row r="326" s="42" customFormat="1"/>
    <row r="327" s="42" customFormat="1"/>
    <row r="328" s="42" customFormat="1"/>
    <row r="329" s="42" customFormat="1"/>
    <row r="330" s="42" customFormat="1"/>
    <row r="331" s="42" customFormat="1"/>
    <row r="332" s="42" customFormat="1"/>
    <row r="333" s="42" customFormat="1"/>
    <row r="334" s="42" customFormat="1"/>
    <row r="335" s="42" customFormat="1"/>
    <row r="336" s="42" customFormat="1"/>
    <row r="337" s="42" customFormat="1"/>
    <row r="338" s="42" customFormat="1"/>
    <row r="339" s="42" customFormat="1"/>
    <row r="340" s="42" customFormat="1"/>
    <row r="341" s="42" customFormat="1"/>
    <row r="342" s="42" customFormat="1"/>
    <row r="343" s="42" customFormat="1"/>
    <row r="344" s="42" customFormat="1"/>
    <row r="345" s="42" customFormat="1"/>
    <row r="346" s="42" customFormat="1"/>
    <row r="347" s="42" customFormat="1"/>
    <row r="348" s="42" customFormat="1"/>
    <row r="349" s="42" customFormat="1"/>
    <row r="350" s="42" customFormat="1"/>
    <row r="351" s="42" customFormat="1"/>
    <row r="352" s="42" customFormat="1"/>
    <row r="353" s="42" customFormat="1"/>
    <row r="354" s="42" customFormat="1"/>
    <row r="355" s="42" customFormat="1"/>
    <row r="356" s="42" customFormat="1"/>
    <row r="357" s="42" customFormat="1"/>
    <row r="358" s="42" customFormat="1"/>
    <row r="359" s="42" customFormat="1"/>
    <row r="360" s="42" customFormat="1"/>
    <row r="361" s="42" customFormat="1"/>
    <row r="362" s="42" customFormat="1"/>
  </sheetData>
  <sheetProtection algorithmName="SHA-512" hashValue="Wu+EdraH2tjsPRsnpec0LvVFDSdZWwVerMiNtjibLu17WcaT+aKfaoscOiAWcJsBm8PFdOO9hvoLB0xXrlGq8w==" saltValue="IiZKoEFAb7FEYnAUF7RaQg==" spinCount="100000" sheet="1" objects="1" scenarios="1"/>
  <mergeCells count="104">
    <mergeCell ref="R90:W90"/>
    <mergeCell ref="K93:P93"/>
    <mergeCell ref="K94:P94"/>
    <mergeCell ref="K95:P95"/>
    <mergeCell ref="C94:D94"/>
    <mergeCell ref="K88:P88"/>
    <mergeCell ref="E88:J88"/>
    <mergeCell ref="C86:D86"/>
    <mergeCell ref="K85:P85"/>
    <mergeCell ref="K86:P86"/>
    <mergeCell ref="R52:U52"/>
    <mergeCell ref="R54:U54"/>
    <mergeCell ref="R56:U56"/>
    <mergeCell ref="R81:W81"/>
    <mergeCell ref="R82:W82"/>
    <mergeCell ref="R83:W83"/>
    <mergeCell ref="R84:W84"/>
    <mergeCell ref="B74:W74"/>
    <mergeCell ref="K76:W76"/>
    <mergeCell ref="R77:W77"/>
    <mergeCell ref="R78:W78"/>
    <mergeCell ref="R79:W79"/>
    <mergeCell ref="D77:J77"/>
    <mergeCell ref="B78:B86"/>
    <mergeCell ref="K81:P81"/>
    <mergeCell ref="K82:P82"/>
    <mergeCell ref="K83:P83"/>
    <mergeCell ref="K84:P84"/>
    <mergeCell ref="E78:J78"/>
    <mergeCell ref="E82:J82"/>
    <mergeCell ref="E83:J83"/>
    <mergeCell ref="K80:P80"/>
    <mergeCell ref="C84:D84"/>
    <mergeCell ref="C85:D85"/>
    <mergeCell ref="B2:W2"/>
    <mergeCell ref="B3:W3"/>
    <mergeCell ref="L49:P49"/>
    <mergeCell ref="B49:J49"/>
    <mergeCell ref="B28:J28"/>
    <mergeCell ref="L28:W28"/>
    <mergeCell ref="B5:W5"/>
    <mergeCell ref="R49:W49"/>
    <mergeCell ref="R51:U51"/>
    <mergeCell ref="B88:B90"/>
    <mergeCell ref="E89:J89"/>
    <mergeCell ref="E90:J90"/>
    <mergeCell ref="C88:D88"/>
    <mergeCell ref="C89:D89"/>
    <mergeCell ref="C90:D90"/>
    <mergeCell ref="V53:W53"/>
    <mergeCell ref="B71:W71"/>
    <mergeCell ref="B76:B77"/>
    <mergeCell ref="C76:J76"/>
    <mergeCell ref="K77:P77"/>
    <mergeCell ref="R53:U53"/>
    <mergeCell ref="R80:W80"/>
    <mergeCell ref="C78:D78"/>
    <mergeCell ref="C79:D79"/>
    <mergeCell ref="C80:D80"/>
    <mergeCell ref="C81:D81"/>
    <mergeCell ref="C82:D82"/>
    <mergeCell ref="E79:J79"/>
    <mergeCell ref="E81:J81"/>
    <mergeCell ref="K78:P78"/>
    <mergeCell ref="K79:P79"/>
    <mergeCell ref="C83:D83"/>
    <mergeCell ref="E80:J80"/>
    <mergeCell ref="B96:B98"/>
    <mergeCell ref="K96:P96"/>
    <mergeCell ref="K97:P97"/>
    <mergeCell ref="K98:P98"/>
    <mergeCell ref="B92:B95"/>
    <mergeCell ref="E92:J92"/>
    <mergeCell ref="E93:J93"/>
    <mergeCell ref="E94:J94"/>
    <mergeCell ref="E95:J95"/>
    <mergeCell ref="C92:D92"/>
    <mergeCell ref="C93:D93"/>
    <mergeCell ref="C95:D95"/>
    <mergeCell ref="K92:P92"/>
    <mergeCell ref="R96:W96"/>
    <mergeCell ref="R97:W97"/>
    <mergeCell ref="R98:W98"/>
    <mergeCell ref="C96:D96"/>
    <mergeCell ref="C97:D97"/>
    <mergeCell ref="E84:J84"/>
    <mergeCell ref="E85:J85"/>
    <mergeCell ref="E86:J86"/>
    <mergeCell ref="C98:D98"/>
    <mergeCell ref="E96:J96"/>
    <mergeCell ref="E97:J97"/>
    <mergeCell ref="E98:J98"/>
    <mergeCell ref="K89:P89"/>
    <mergeCell ref="K90:P90"/>
    <mergeCell ref="R92:W92"/>
    <mergeCell ref="R93:W93"/>
    <mergeCell ref="R94:W94"/>
    <mergeCell ref="R95:W95"/>
    <mergeCell ref="R85:W85"/>
    <mergeCell ref="R86:W86"/>
    <mergeCell ref="C87:W87"/>
    <mergeCell ref="C91:W91"/>
    <mergeCell ref="R88:W88"/>
    <mergeCell ref="R89:W89"/>
  </mergeCells>
  <pageMargins left="0.7" right="0.7" top="0.75" bottom="0.75" header="0.3" footer="0.3"/>
  <pageSetup paperSize="9"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E329E-0858-3D44-832A-3FDCF6B018EE}">
  <sheetPr codeName="Sheet4">
    <tabColor theme="9"/>
  </sheetPr>
  <dimension ref="A1:T80"/>
  <sheetViews>
    <sheetView zoomScaleNormal="100" workbookViewId="0">
      <selection activeCell="B29" sqref="B29"/>
    </sheetView>
  </sheetViews>
  <sheetFormatPr baseColWidth="10" defaultColWidth="10.83203125" defaultRowHeight="16"/>
  <cols>
    <col min="1" max="1" width="2.6640625" style="1" customWidth="1"/>
    <col min="2" max="2" width="56" style="1" customWidth="1"/>
    <col min="3" max="4" width="18.83203125" style="1" customWidth="1"/>
    <col min="5" max="5" width="1.83203125" style="1" customWidth="1"/>
    <col min="6" max="7" width="25.83203125" style="1" hidden="1" customWidth="1"/>
    <col min="8" max="8" width="1.83203125" style="1" customWidth="1"/>
    <col min="9" max="10" width="18.83203125" style="1" customWidth="1"/>
    <col min="11" max="11" width="1.83203125" style="1" customWidth="1"/>
    <col min="12" max="13" width="18.83203125" style="1" customWidth="1"/>
    <col min="14" max="14" width="1.83203125" style="1" customWidth="1"/>
    <col min="15" max="15" width="7.6640625" style="1" customWidth="1"/>
    <col min="16" max="16" width="45.5" style="518" customWidth="1"/>
    <col min="17" max="17" width="13" style="1" bestFit="1" customWidth="1"/>
    <col min="18" max="19" width="13" style="1" customWidth="1"/>
    <col min="20" max="16384" width="10.83203125" style="1"/>
  </cols>
  <sheetData>
    <row r="1" spans="2:20" ht="17" thickBot="1">
      <c r="E1" s="62"/>
    </row>
    <row r="2" spans="2:20" ht="34" customHeight="1" thickBot="1">
      <c r="B2" s="50"/>
      <c r="C2" s="1483" t="s">
        <v>1681</v>
      </c>
      <c r="D2" s="1484"/>
      <c r="E2" s="63"/>
      <c r="F2" s="226"/>
      <c r="G2" s="226"/>
      <c r="H2" s="63"/>
      <c r="I2" s="226"/>
      <c r="J2" s="226"/>
      <c r="K2" s="226"/>
      <c r="L2" s="226"/>
      <c r="M2" s="226"/>
      <c r="N2" s="63"/>
      <c r="O2" s="1483" t="s">
        <v>113</v>
      </c>
      <c r="P2" s="1484"/>
      <c r="R2" s="3"/>
    </row>
    <row r="3" spans="2:20" ht="28" customHeight="1" thickBot="1">
      <c r="B3" s="51" t="s">
        <v>62</v>
      </c>
      <c r="C3" s="52" t="s">
        <v>114</v>
      </c>
      <c r="D3" s="159" t="s">
        <v>1683</v>
      </c>
      <c r="E3" s="63"/>
      <c r="F3" s="226"/>
      <c r="G3" s="226"/>
      <c r="H3" s="63"/>
      <c r="I3" s="226"/>
      <c r="J3" s="226"/>
      <c r="K3" s="226"/>
      <c r="L3" s="226"/>
      <c r="M3" s="226"/>
      <c r="N3" s="63"/>
      <c r="O3" s="51" t="s">
        <v>115</v>
      </c>
      <c r="P3" s="498" t="s">
        <v>116</v>
      </c>
      <c r="R3" s="3"/>
    </row>
    <row r="4" spans="2:20" s="4" customFormat="1" ht="24" customHeight="1">
      <c r="B4" s="154" t="s">
        <v>117</v>
      </c>
      <c r="C4" s="54" t="s">
        <v>114</v>
      </c>
      <c r="D4" s="160" t="s">
        <v>6</v>
      </c>
      <c r="E4" s="64"/>
      <c r="F4" s="226"/>
      <c r="G4" s="226"/>
      <c r="H4" s="64"/>
      <c r="I4" s="226"/>
      <c r="J4" s="226"/>
      <c r="K4" s="226"/>
      <c r="L4" s="226"/>
      <c r="M4" s="226"/>
      <c r="N4" s="64"/>
      <c r="O4" s="19"/>
      <c r="P4" s="499"/>
      <c r="R4" s="6"/>
    </row>
    <row r="5" spans="2:20" s="4" customFormat="1" ht="20" customHeight="1">
      <c r="B5" s="76" t="s">
        <v>7</v>
      </c>
      <c r="C5" s="20">
        <f>SUM('Output TCO'!G3:G7)</f>
        <v>0</v>
      </c>
      <c r="D5" s="155">
        <f>SUM('Output TCO'!L3:L7)</f>
        <v>0</v>
      </c>
      <c r="E5" s="64"/>
      <c r="F5" s="226"/>
      <c r="G5" s="226"/>
      <c r="H5" s="64"/>
      <c r="I5" s="226"/>
      <c r="J5" s="226"/>
      <c r="K5" s="226"/>
      <c r="L5" s="226"/>
      <c r="M5" s="226"/>
      <c r="N5" s="64"/>
      <c r="O5" s="35" t="s">
        <v>118</v>
      </c>
      <c r="P5" s="500"/>
    </row>
    <row r="6" spans="2:20" s="4" customFormat="1" ht="20" customHeight="1">
      <c r="B6" s="76" t="s">
        <v>12</v>
      </c>
      <c r="C6" s="20">
        <f>SUM('Output TCO'!G9:G13)</f>
        <v>0</v>
      </c>
      <c r="D6" s="155">
        <f>SUM('Output TCO'!L9:L13)</f>
        <v>0</v>
      </c>
      <c r="E6" s="5"/>
      <c r="F6" s="226"/>
      <c r="G6" s="226"/>
      <c r="H6" s="5"/>
      <c r="I6" s="226"/>
      <c r="J6" s="226"/>
      <c r="K6" s="226"/>
      <c r="L6" s="226"/>
      <c r="M6" s="226"/>
      <c r="N6" s="5"/>
      <c r="O6" s="35" t="s">
        <v>118</v>
      </c>
      <c r="P6" s="500"/>
    </row>
    <row r="7" spans="2:20" s="4" customFormat="1" ht="20" customHeight="1">
      <c r="B7" s="76" t="s">
        <v>15</v>
      </c>
      <c r="C7" s="20">
        <f>SUM('Output TCO'!G15:G19)</f>
        <v>0</v>
      </c>
      <c r="D7" s="155">
        <f>SUM('Output TCO'!L15:L19)</f>
        <v>0</v>
      </c>
      <c r="E7" s="5"/>
      <c r="F7" s="226"/>
      <c r="G7" s="226"/>
      <c r="H7" s="5"/>
      <c r="I7" s="226"/>
      <c r="J7" s="226"/>
      <c r="K7" s="226"/>
      <c r="L7" s="226"/>
      <c r="M7" s="226"/>
      <c r="N7" s="5"/>
      <c r="O7" s="35" t="s">
        <v>118</v>
      </c>
      <c r="P7" s="500"/>
    </row>
    <row r="8" spans="2:20" s="4" customFormat="1" ht="20" customHeight="1">
      <c r="B8" s="76" t="s">
        <v>18</v>
      </c>
      <c r="C8" s="20">
        <f>SUM('Output TCO'!G21:G25)</f>
        <v>0</v>
      </c>
      <c r="D8" s="155">
        <f>SUM('Output TCO'!L21:L25)</f>
        <v>0</v>
      </c>
      <c r="E8" s="5"/>
      <c r="F8" s="226"/>
      <c r="G8" s="226"/>
      <c r="H8" s="5"/>
      <c r="I8" s="226"/>
      <c r="J8" s="226"/>
      <c r="K8" s="226"/>
      <c r="L8" s="226"/>
      <c r="M8" s="226"/>
      <c r="N8" s="5"/>
      <c r="O8" s="35" t="s">
        <v>118</v>
      </c>
      <c r="P8" s="500"/>
    </row>
    <row r="9" spans="2:20" s="4" customFormat="1" ht="20" customHeight="1">
      <c r="B9" s="76" t="s">
        <v>21</v>
      </c>
      <c r="C9" s="20">
        <f>SUM('Output TCO'!G27:G31)</f>
        <v>0</v>
      </c>
      <c r="D9" s="155">
        <f>SUM('Output TCO'!L27:L31)</f>
        <v>0</v>
      </c>
      <c r="E9" s="5"/>
      <c r="F9" s="226"/>
      <c r="G9" s="226"/>
      <c r="H9" s="5"/>
      <c r="I9" s="226"/>
      <c r="J9" s="226"/>
      <c r="K9" s="226"/>
      <c r="L9" s="226"/>
      <c r="M9" s="226"/>
      <c r="N9" s="5"/>
      <c r="O9" s="35" t="s">
        <v>118</v>
      </c>
      <c r="P9" s="500"/>
    </row>
    <row r="10" spans="2:20" s="4" customFormat="1" ht="38" customHeight="1">
      <c r="B10" s="76" t="s">
        <v>25</v>
      </c>
      <c r="C10" s="20">
        <f>SUM('Output TCO'!G33:G37)</f>
        <v>0</v>
      </c>
      <c r="D10" s="155">
        <f>SUM('Output TCO'!L33:L37)</f>
        <v>0</v>
      </c>
      <c r="E10" s="5"/>
      <c r="F10" s="226"/>
      <c r="G10" s="226"/>
      <c r="H10" s="5"/>
      <c r="I10" s="226"/>
      <c r="J10" s="226"/>
      <c r="K10" s="226"/>
      <c r="L10" s="226"/>
      <c r="M10" s="226"/>
      <c r="N10" s="5"/>
      <c r="O10" s="35" t="s">
        <v>118</v>
      </c>
      <c r="P10" s="500" t="s">
        <v>1908</v>
      </c>
    </row>
    <row r="11" spans="2:20" s="4" customFormat="1" ht="20" customHeight="1">
      <c r="B11" s="76" t="s">
        <v>159</v>
      </c>
      <c r="C11" s="20">
        <f>SUM('Output TCO'!G39:G43)</f>
        <v>0</v>
      </c>
      <c r="D11" s="155">
        <f>SUM('Output TCO'!L39:L43)</f>
        <v>0</v>
      </c>
      <c r="E11" s="5"/>
      <c r="F11" s="226"/>
      <c r="G11" s="226"/>
      <c r="H11" s="5"/>
      <c r="I11" s="226"/>
      <c r="J11" s="226"/>
      <c r="K11" s="226"/>
      <c r="L11" s="226"/>
      <c r="M11" s="226"/>
      <c r="N11" s="5"/>
      <c r="O11" s="35"/>
      <c r="P11" s="500"/>
    </row>
    <row r="12" spans="2:20" s="4" customFormat="1" ht="20" hidden="1" customHeight="1">
      <c r="B12" s="76" t="s">
        <v>896</v>
      </c>
      <c r="C12" s="20">
        <f>SUM('Output TCO'!G45:G49)</f>
        <v>0</v>
      </c>
      <c r="D12" s="155">
        <f>SUM('Output TCO'!L45:L49)</f>
        <v>0</v>
      </c>
      <c r="E12" s="5"/>
      <c r="F12" s="226"/>
      <c r="G12" s="226"/>
      <c r="H12" s="5"/>
      <c r="I12" s="226"/>
      <c r="J12" s="226"/>
      <c r="K12" s="226"/>
      <c r="L12" s="226"/>
      <c r="M12" s="226"/>
      <c r="N12" s="5"/>
      <c r="O12" s="35"/>
      <c r="P12" s="500"/>
    </row>
    <row r="13" spans="2:20" s="4" customFormat="1" ht="20" customHeight="1">
      <c r="B13" s="76" t="s">
        <v>28</v>
      </c>
      <c r="C13" s="20">
        <f>SUM('Output TCO'!G51:G55)</f>
        <v>0</v>
      </c>
      <c r="D13" s="155">
        <f>SUM('Output TCO'!L51:L55)</f>
        <v>0</v>
      </c>
      <c r="E13" s="5"/>
      <c r="F13" s="226"/>
      <c r="G13" s="226"/>
      <c r="H13" s="5"/>
      <c r="I13" s="226"/>
      <c r="J13" s="226"/>
      <c r="K13" s="226"/>
      <c r="L13" s="226"/>
      <c r="M13" s="226"/>
      <c r="N13" s="5"/>
      <c r="O13" s="35" t="s">
        <v>118</v>
      </c>
      <c r="P13" s="500"/>
      <c r="T13" s="7"/>
    </row>
    <row r="14" spans="2:20" s="4" customFormat="1" ht="20" customHeight="1">
      <c r="B14" s="76" t="s">
        <v>32</v>
      </c>
      <c r="C14" s="20">
        <f>SUM('Output TCO'!G57:G61)</f>
        <v>0</v>
      </c>
      <c r="D14" s="155">
        <f>SUM('Output TCO'!L57:L61)</f>
        <v>0</v>
      </c>
      <c r="E14" s="5"/>
      <c r="F14" s="226"/>
      <c r="G14" s="226"/>
      <c r="H14" s="5"/>
      <c r="I14" s="226"/>
      <c r="J14" s="226"/>
      <c r="K14" s="226"/>
      <c r="L14" s="226"/>
      <c r="M14" s="226"/>
      <c r="N14" s="5"/>
      <c r="O14" s="35" t="s">
        <v>118</v>
      </c>
      <c r="P14" s="500"/>
    </row>
    <row r="15" spans="2:20" s="4" customFormat="1" ht="20" customHeight="1">
      <c r="B15" s="76" t="s">
        <v>890</v>
      </c>
      <c r="C15" s="20">
        <f>SUM('Output TCO'!G63:G67)</f>
        <v>0</v>
      </c>
      <c r="D15" s="155">
        <f>SUM('Output TCO'!L63:L67)</f>
        <v>0</v>
      </c>
      <c r="E15" s="5"/>
      <c r="F15" s="226"/>
      <c r="G15" s="226"/>
      <c r="H15" s="5"/>
      <c r="I15" s="226"/>
      <c r="J15" s="226"/>
      <c r="K15" s="226"/>
      <c r="L15" s="226"/>
      <c r="M15" s="226"/>
      <c r="N15" s="5"/>
      <c r="O15" s="35"/>
      <c r="P15" s="500"/>
    </row>
    <row r="16" spans="2:20" s="4" customFormat="1" ht="20" customHeight="1">
      <c r="B16" s="76" t="s">
        <v>892</v>
      </c>
      <c r="C16" s="20">
        <f>SUM('Output TCO'!G69:G73)</f>
        <v>0</v>
      </c>
      <c r="D16" s="155">
        <f>SUM('Output TCO'!L69:L73)</f>
        <v>0</v>
      </c>
      <c r="E16" s="5"/>
      <c r="F16" s="226"/>
      <c r="G16" s="343"/>
      <c r="H16" s="5"/>
      <c r="I16" s="226"/>
      <c r="J16" s="226"/>
      <c r="K16" s="226"/>
      <c r="L16" s="226"/>
      <c r="M16" s="226"/>
      <c r="N16" s="5"/>
      <c r="O16" s="35"/>
      <c r="P16" s="500"/>
    </row>
    <row r="17" spans="2:16" s="4" customFormat="1" ht="20" customHeight="1">
      <c r="B17" s="153" t="s">
        <v>120</v>
      </c>
      <c r="C17" s="20">
        <f>SUM('Output TCO'!G75:G79)</f>
        <v>0</v>
      </c>
      <c r="D17" s="155">
        <f>SUM('Output TCO'!L75:L79)</f>
        <v>0</v>
      </c>
      <c r="E17" s="5"/>
      <c r="F17" s="226"/>
      <c r="G17" s="226"/>
      <c r="H17" s="5"/>
      <c r="I17" s="226"/>
      <c r="J17" s="226"/>
      <c r="K17" s="226"/>
      <c r="L17" s="226"/>
      <c r="M17" s="226"/>
      <c r="N17" s="5"/>
      <c r="O17" s="35"/>
      <c r="P17" s="500"/>
    </row>
    <row r="18" spans="2:16" s="4" customFormat="1" ht="20" hidden="1" customHeight="1">
      <c r="B18" s="76" t="s">
        <v>773</v>
      </c>
      <c r="C18" s="20">
        <f>SUM('Output TCO'!G81:G85)</f>
        <v>0</v>
      </c>
      <c r="D18" s="155">
        <f>SUM('Output TCO'!L81:L85)</f>
        <v>0</v>
      </c>
      <c r="E18" s="5"/>
      <c r="F18" s="226"/>
      <c r="G18" s="226"/>
      <c r="H18" s="5"/>
      <c r="I18" s="226"/>
      <c r="J18" s="226"/>
      <c r="K18" s="226"/>
      <c r="L18" s="226"/>
      <c r="M18" s="226"/>
      <c r="N18" s="5"/>
      <c r="O18" s="35" t="s">
        <v>118</v>
      </c>
      <c r="P18" s="500"/>
    </row>
    <row r="19" spans="2:16" s="4" customFormat="1" ht="20" hidden="1" customHeight="1">
      <c r="B19" s="76" t="s">
        <v>850</v>
      </c>
      <c r="C19" s="20">
        <f>SUM('Output TCO'!G87:G91)</f>
        <v>0</v>
      </c>
      <c r="D19" s="155">
        <f>SUM('Output TCO'!L87:L91)</f>
        <v>0</v>
      </c>
      <c r="E19" s="5"/>
      <c r="F19" s="226"/>
      <c r="G19" s="226"/>
      <c r="H19" s="5"/>
      <c r="I19" s="226"/>
      <c r="J19" s="226"/>
      <c r="K19" s="226"/>
      <c r="L19" s="226"/>
      <c r="M19" s="226"/>
      <c r="N19" s="5"/>
      <c r="O19" s="35"/>
      <c r="P19" s="500"/>
    </row>
    <row r="20" spans="2:16" s="4" customFormat="1" ht="20" hidden="1" customHeight="1">
      <c r="B20" s="76" t="s">
        <v>774</v>
      </c>
      <c r="C20" s="20">
        <f>SUM('Output TCO'!G93:G97)</f>
        <v>0</v>
      </c>
      <c r="D20" s="155">
        <f>SUM('Output TCO'!L93:L97)</f>
        <v>0</v>
      </c>
      <c r="E20" s="5"/>
      <c r="F20" s="226"/>
      <c r="G20" s="226"/>
      <c r="H20" s="5"/>
      <c r="I20" s="226"/>
      <c r="J20" s="226"/>
      <c r="K20" s="226"/>
      <c r="L20" s="226"/>
      <c r="M20" s="226"/>
      <c r="N20" s="5"/>
      <c r="O20" s="35" t="s">
        <v>118</v>
      </c>
      <c r="P20" s="500"/>
    </row>
    <row r="21" spans="2:16" s="4" customFormat="1" ht="20" hidden="1" customHeight="1">
      <c r="B21" s="76" t="str">
        <f>'1a. Invoer - BESTAAND'!C22</f>
        <v>Rolstoelbus</v>
      </c>
      <c r="C21" s="20">
        <f>SUM('Output TCO'!G99:G103)</f>
        <v>0</v>
      </c>
      <c r="D21" s="155">
        <f>SUM('Output TCO'!L99:L103)</f>
        <v>0</v>
      </c>
      <c r="E21" s="5"/>
      <c r="F21" s="226"/>
      <c r="G21" s="226"/>
      <c r="H21" s="5"/>
      <c r="I21" s="226"/>
      <c r="J21" s="333"/>
      <c r="K21" s="334"/>
      <c r="L21" s="335"/>
      <c r="M21" s="333"/>
      <c r="N21" s="5"/>
      <c r="O21" s="35" t="s">
        <v>118</v>
      </c>
      <c r="P21" s="500"/>
    </row>
    <row r="22" spans="2:16" s="4" customFormat="1" ht="20" customHeight="1">
      <c r="B22" s="76" t="s">
        <v>2044</v>
      </c>
      <c r="C22" s="20">
        <f>SUM('Output TCO'!G105:G109)</f>
        <v>0</v>
      </c>
      <c r="D22" s="155">
        <f>SUM('Output TCO'!L105:L109)</f>
        <v>0</v>
      </c>
      <c r="E22" s="5"/>
      <c r="F22" s="226"/>
      <c r="G22" s="226"/>
      <c r="H22" s="5"/>
      <c r="I22" s="226"/>
      <c r="J22" s="226"/>
      <c r="K22" s="226"/>
      <c r="L22" s="226"/>
      <c r="M22" s="226"/>
      <c r="N22" s="5"/>
      <c r="O22" s="35"/>
      <c r="P22" s="500"/>
    </row>
    <row r="23" spans="2:16" s="4" customFormat="1" ht="20" customHeight="1">
      <c r="B23" s="76" t="s">
        <v>1637</v>
      </c>
      <c r="C23" s="20">
        <f>SUM('Output TCO'!G111:G115)</f>
        <v>0</v>
      </c>
      <c r="D23" s="155">
        <f>SUM('Output TCO'!L111:L115)</f>
        <v>0</v>
      </c>
      <c r="E23" s="5"/>
      <c r="F23" s="226"/>
      <c r="G23" s="226"/>
      <c r="H23" s="5"/>
      <c r="I23" s="226"/>
      <c r="J23" s="226"/>
      <c r="K23" s="226"/>
      <c r="L23" s="226"/>
      <c r="M23" s="226"/>
      <c r="N23" s="5"/>
      <c r="O23" s="35" t="s">
        <v>118</v>
      </c>
      <c r="P23" s="500"/>
    </row>
    <row r="24" spans="2:16" s="4" customFormat="1" ht="20" customHeight="1">
      <c r="B24" s="76" t="s">
        <v>2046</v>
      </c>
      <c r="C24" s="20">
        <f>SUM('Output TCO'!G117:G121)</f>
        <v>0</v>
      </c>
      <c r="D24" s="155">
        <f>SUM('Output TCO'!L117:L121)</f>
        <v>0</v>
      </c>
      <c r="E24" s="5"/>
      <c r="F24" s="226"/>
      <c r="G24" s="226"/>
      <c r="H24" s="5"/>
      <c r="I24" s="226"/>
      <c r="J24" s="333"/>
      <c r="K24" s="334"/>
      <c r="L24" s="335"/>
      <c r="M24" s="333"/>
      <c r="N24" s="5"/>
      <c r="O24" s="35" t="s">
        <v>118</v>
      </c>
      <c r="P24" s="500"/>
    </row>
    <row r="25" spans="2:16" s="4" customFormat="1" ht="24" customHeight="1" thickBot="1">
      <c r="B25" s="229" t="s">
        <v>3</v>
      </c>
      <c r="C25" s="165">
        <f>SUM(C5:C24)</f>
        <v>0</v>
      </c>
      <c r="D25" s="166">
        <f>SUM(D5:D24)</f>
        <v>0</v>
      </c>
      <c r="E25" s="8"/>
      <c r="F25" s="1492" t="s">
        <v>2020</v>
      </c>
      <c r="G25" s="1492"/>
      <c r="I25" s="226"/>
      <c r="J25" s="334"/>
      <c r="K25" s="334"/>
      <c r="L25" s="334"/>
      <c r="M25" s="333"/>
      <c r="O25" s="39" t="s">
        <v>118</v>
      </c>
      <c r="P25" s="501"/>
    </row>
    <row r="26" spans="2:16" ht="18" customHeight="1" thickBot="1">
      <c r="B26" s="21"/>
      <c r="C26" s="9"/>
      <c r="D26" s="22"/>
      <c r="E26" s="9"/>
      <c r="F26" s="226"/>
      <c r="G26" s="226"/>
      <c r="I26" s="227"/>
      <c r="J26" s="227"/>
      <c r="L26" s="227"/>
      <c r="M26" s="227"/>
      <c r="O26" s="21"/>
      <c r="P26" s="519"/>
    </row>
    <row r="27" spans="2:16" ht="48" customHeight="1" thickBot="1">
      <c r="B27" s="50" t="s">
        <v>62</v>
      </c>
      <c r="C27" s="1483" t="s">
        <v>1680</v>
      </c>
      <c r="D27" s="1484"/>
      <c r="E27" s="63"/>
      <c r="F27" s="1485" t="s">
        <v>1682</v>
      </c>
      <c r="G27" s="1486"/>
      <c r="H27" s="63"/>
      <c r="I27" s="1485" t="s">
        <v>4328</v>
      </c>
      <c r="J27" s="1486"/>
      <c r="K27" s="63"/>
      <c r="L27" s="1487" t="s">
        <v>4329</v>
      </c>
      <c r="M27" s="1486"/>
      <c r="O27" s="263"/>
      <c r="P27" s="520"/>
    </row>
    <row r="28" spans="2:16" ht="20" customHeight="1">
      <c r="B28" s="259" t="s">
        <v>1678</v>
      </c>
      <c r="C28" s="54" t="s">
        <v>114</v>
      </c>
      <c r="D28" s="260" t="s">
        <v>6</v>
      </c>
      <c r="E28" s="230"/>
      <c r="F28" s="54" t="s">
        <v>114</v>
      </c>
      <c r="G28" s="260" t="s">
        <v>6</v>
      </c>
      <c r="I28" s="54" t="s">
        <v>114</v>
      </c>
      <c r="J28" s="260" t="s">
        <v>6</v>
      </c>
      <c r="L28" s="54" t="s">
        <v>114</v>
      </c>
      <c r="M28" s="53" t="s">
        <v>6</v>
      </c>
      <c r="O28" s="33"/>
      <c r="P28" s="500"/>
    </row>
    <row r="29" spans="2:16" ht="20" customHeight="1">
      <c r="B29" s="242" t="s">
        <v>1679</v>
      </c>
      <c r="C29" s="222"/>
      <c r="D29" s="24"/>
      <c r="E29" s="44"/>
      <c r="F29" s="222"/>
      <c r="G29" s="24"/>
      <c r="I29" s="222"/>
      <c r="J29" s="24"/>
      <c r="L29" s="43"/>
      <c r="M29" s="24"/>
      <c r="O29" s="33"/>
      <c r="P29" s="500"/>
    </row>
    <row r="30" spans="2:16" ht="20" customHeight="1">
      <c r="B30" s="237" t="s">
        <v>1931</v>
      </c>
      <c r="C30" s="222">
        <f>SUM('Output TCO'!U3:U121)</f>
        <v>0</v>
      </c>
      <c r="D30" s="24">
        <f>SUM('Output TCO'!AD3:AD121)</f>
        <v>0</v>
      </c>
      <c r="E30" s="44"/>
      <c r="F30" s="222">
        <f>IF(C$25=0,0,C30/$C$25)</f>
        <v>0</v>
      </c>
      <c r="G30" s="24">
        <f t="shared" ref="G30:G37" si="0">IF(D$25=0,0,D30/$D$25)</f>
        <v>0</v>
      </c>
      <c r="I30" s="222">
        <f t="shared" ref="I30:J34" si="1">F30/(looptijd*12)</f>
        <v>0</v>
      </c>
      <c r="J30" s="24">
        <f t="shared" si="1"/>
        <v>0</v>
      </c>
      <c r="L30" s="472">
        <f>IF(C$25=0,0,'Output TCO'!V123)</f>
        <v>0</v>
      </c>
      <c r="M30" s="264">
        <f>IF(D$25=0,0,'Output TCO'!AE123)</f>
        <v>0</v>
      </c>
      <c r="O30" s="33" t="s">
        <v>1690</v>
      </c>
      <c r="P30" s="500"/>
    </row>
    <row r="31" spans="2:16" ht="20" customHeight="1">
      <c r="B31" s="237" t="s">
        <v>1740</v>
      </c>
      <c r="C31" s="223">
        <f>IF(BTW_verrekening="ja",0,BTW*(C30))</f>
        <v>0</v>
      </c>
      <c r="D31" s="238">
        <f>IF(BTW_verrekening="ja",0,BTW*(D30))</f>
        <v>0</v>
      </c>
      <c r="E31" s="45"/>
      <c r="F31" s="223">
        <f t="shared" ref="F31:F32" si="2">IF(C$25=0,0,C31/$C$25)</f>
        <v>0</v>
      </c>
      <c r="G31" s="238">
        <f t="shared" si="0"/>
        <v>0</v>
      </c>
      <c r="I31" s="222">
        <f t="shared" si="1"/>
        <v>0</v>
      </c>
      <c r="J31" s="24">
        <f t="shared" si="1"/>
        <v>0</v>
      </c>
      <c r="L31" s="269">
        <f>IF(BTW_verrekening="ja",0,BTW*(L30))</f>
        <v>0</v>
      </c>
      <c r="M31" s="265">
        <f>IF(BTW_verrekening="ja",0,BTW*(M30))</f>
        <v>0</v>
      </c>
      <c r="O31" s="33" t="s">
        <v>1690</v>
      </c>
      <c r="P31" s="521"/>
    </row>
    <row r="32" spans="2:16" ht="20" customHeight="1">
      <c r="B32" s="237" t="s">
        <v>121</v>
      </c>
      <c r="C32" s="222">
        <f>SUM('Output TCO'!W3:W121)</f>
        <v>0</v>
      </c>
      <c r="D32" s="24">
        <f>SUM('Output TCO'!AF3:AF121)</f>
        <v>0</v>
      </c>
      <c r="E32" s="44"/>
      <c r="F32" s="222">
        <f t="shared" si="2"/>
        <v>0</v>
      </c>
      <c r="G32" s="24">
        <f t="shared" si="0"/>
        <v>0</v>
      </c>
      <c r="I32" s="222">
        <f t="shared" si="1"/>
        <v>0</v>
      </c>
      <c r="J32" s="24">
        <f t="shared" si="1"/>
        <v>0</v>
      </c>
      <c r="L32" s="472">
        <f>IF(C$25=0,0,'Output TCO'!X123)</f>
        <v>0</v>
      </c>
      <c r="M32" s="264">
        <f>IF(D$25=0,0,'Output TCO'!AG123)</f>
        <v>0</v>
      </c>
      <c r="O32" s="33" t="s">
        <v>1690</v>
      </c>
      <c r="P32" s="500" t="s">
        <v>4343</v>
      </c>
    </row>
    <row r="33" spans="2:19" ht="20" customHeight="1">
      <c r="B33" s="237" t="s">
        <v>122</v>
      </c>
      <c r="C33" s="224">
        <f>0</f>
        <v>0</v>
      </c>
      <c r="D33" s="16">
        <f>SUM('Output TCO'!AJ3:AJ121)</f>
        <v>0</v>
      </c>
      <c r="E33" s="44"/>
      <c r="F33" s="224">
        <f>IF(C$25=0,0,C33/$C$25)</f>
        <v>0</v>
      </c>
      <c r="G33" s="16">
        <f t="shared" si="0"/>
        <v>0</v>
      </c>
      <c r="I33" s="222">
        <f t="shared" si="1"/>
        <v>0</v>
      </c>
      <c r="J33" s="24">
        <f t="shared" si="1"/>
        <v>0</v>
      </c>
      <c r="L33" s="472">
        <v>0</v>
      </c>
      <c r="M33" s="265">
        <f>IF(D$25=0,0,'Output TCO'!AK123)</f>
        <v>0</v>
      </c>
      <c r="O33" s="33" t="s">
        <v>1690</v>
      </c>
      <c r="P33" s="500"/>
    </row>
    <row r="34" spans="2:19" ht="17">
      <c r="B34" s="237" t="s">
        <v>1741</v>
      </c>
      <c r="C34" s="222">
        <f>SUM('Output TCO'!AA3:AA121)*looptijd</f>
        <v>0</v>
      </c>
      <c r="D34" s="16">
        <f>SUM('Output TCO'!AL3:AL121)*looptijd</f>
        <v>0</v>
      </c>
      <c r="E34" s="44"/>
      <c r="F34" s="222">
        <f t="shared" ref="F34" si="3">IF(C$25=0,0,C34/$C$25)</f>
        <v>0</v>
      </c>
      <c r="G34" s="16">
        <f t="shared" si="0"/>
        <v>0</v>
      </c>
      <c r="I34" s="222">
        <f t="shared" si="1"/>
        <v>0</v>
      </c>
      <c r="J34" s="24">
        <f t="shared" si="1"/>
        <v>0</v>
      </c>
      <c r="L34" s="472">
        <f>IF(C$25=0,0,'Output TCO'!AB123)</f>
        <v>0</v>
      </c>
      <c r="M34" s="265">
        <f>IF(D$25=0,0,'Output TCO'!AM123)</f>
        <v>0</v>
      </c>
      <c r="O34" s="33" t="s">
        <v>1690</v>
      </c>
      <c r="P34" s="500" t="s">
        <v>851</v>
      </c>
    </row>
    <row r="35" spans="2:19" ht="34" customHeight="1">
      <c r="B35" s="239" t="s">
        <v>1684</v>
      </c>
      <c r="C35" s="232">
        <f>SUM(C30:C32)-C33+C34</f>
        <v>0</v>
      </c>
      <c r="D35" s="240">
        <f>SUM(D30:D32)-D33+D34</f>
        <v>0</v>
      </c>
      <c r="E35" s="228"/>
      <c r="F35" s="232">
        <f>IF(C$25=0,0,C35/$C$25)</f>
        <v>0</v>
      </c>
      <c r="G35" s="240">
        <f t="shared" si="0"/>
        <v>0</v>
      </c>
      <c r="I35" s="232">
        <f>SUM(I30:I32)-I33+I34</f>
        <v>0</v>
      </c>
      <c r="J35" s="240">
        <f>SUM(J30:J32)-J33+J34</f>
        <v>0</v>
      </c>
      <c r="L35" s="473">
        <f>SUM(L30:L32)-L33+L34</f>
        <v>0</v>
      </c>
      <c r="M35" s="266">
        <f>SUM(M30:M32)-M33+M34</f>
        <v>0</v>
      </c>
      <c r="O35" s="33" t="s">
        <v>1690</v>
      </c>
      <c r="P35" s="500" t="s">
        <v>1685</v>
      </c>
    </row>
    <row r="36" spans="2:19" ht="20" customHeight="1">
      <c r="B36" s="241" t="s">
        <v>1961</v>
      </c>
      <c r="C36" s="231">
        <f>IF(BTW_verrekening="ja",SUM('Output TCO'!AW3:AW121),SUM('Output TCO'!AX3:AX121))</f>
        <v>0</v>
      </c>
      <c r="D36" s="26">
        <f>IF(BTW_verrekening="ja",SUM('Output TCO'!BK3:BK121),SUM('Output TCO'!BL3:BL121))</f>
        <v>0</v>
      </c>
      <c r="E36" s="228"/>
      <c r="F36" s="231">
        <f>IF(C$25=0,0,C36/$C$25)</f>
        <v>0</v>
      </c>
      <c r="G36" s="26">
        <f t="shared" si="0"/>
        <v>0</v>
      </c>
      <c r="I36" s="231">
        <f>IF(C$25=0,0,F36/(looptijd*12))</f>
        <v>0</v>
      </c>
      <c r="J36" s="26">
        <f>IF(D$25=0,0,G36/(looptijd*12))</f>
        <v>0</v>
      </c>
      <c r="L36" s="277"/>
      <c r="M36" s="267"/>
      <c r="O36" s="33"/>
      <c r="P36" s="500"/>
    </row>
    <row r="37" spans="2:19" ht="20" customHeight="1">
      <c r="B37" s="241" t="s">
        <v>1687</v>
      </c>
      <c r="C37" s="231">
        <f>(SUM('Output TCO'!AY3:AY121)*12*looptijd)+C34</f>
        <v>0</v>
      </c>
      <c r="D37" s="26">
        <f>(SUM('Output TCO'!BQ3:BQ121)*12*looptijd)+D34</f>
        <v>0</v>
      </c>
      <c r="E37" s="228"/>
      <c r="F37" s="231">
        <f>IF(C$25=0,0,C37/$C$25)</f>
        <v>0</v>
      </c>
      <c r="G37" s="26">
        <f t="shared" si="0"/>
        <v>0</v>
      </c>
      <c r="I37" s="231">
        <f>IF(C$25=0,0,F37/(looptijd*12))</f>
        <v>0</v>
      </c>
      <c r="J37" s="26">
        <f>IF(C$25=0,0,G37/(looptijd*12))</f>
        <v>0</v>
      </c>
      <c r="L37" s="277">
        <f>IF(C$25=0,0,'Output TCO'!AZ123+L34)</f>
        <v>0</v>
      </c>
      <c r="M37" s="267">
        <f>IF(D$25=0,0,'Output TCO'!BR123+M34)</f>
        <v>0</v>
      </c>
      <c r="O37" s="33" t="s">
        <v>1690</v>
      </c>
      <c r="P37" s="500" t="s">
        <v>4340</v>
      </c>
    </row>
    <row r="38" spans="2:19" ht="20" customHeight="1">
      <c r="B38" s="241"/>
      <c r="C38" s="312"/>
      <c r="D38" s="313"/>
      <c r="E38" s="228"/>
      <c r="F38" s="236"/>
      <c r="G38" s="26"/>
      <c r="I38" s="312"/>
      <c r="J38" s="26"/>
      <c r="L38" s="336"/>
      <c r="M38" s="268"/>
      <c r="O38" s="33" t="s">
        <v>1690</v>
      </c>
      <c r="P38" s="500"/>
    </row>
    <row r="39" spans="2:19" ht="20" customHeight="1">
      <c r="B39" s="242" t="s">
        <v>1973</v>
      </c>
      <c r="C39" s="225"/>
      <c r="D39" s="268"/>
      <c r="E39" s="80"/>
      <c r="F39" s="225"/>
      <c r="G39" s="243"/>
      <c r="I39" s="225"/>
      <c r="J39" s="243"/>
      <c r="L39" s="262"/>
      <c r="M39" s="268"/>
      <c r="O39" s="33" t="s">
        <v>1690</v>
      </c>
      <c r="P39" s="500"/>
    </row>
    <row r="40" spans="2:19" ht="20" customHeight="1">
      <c r="B40" s="237" t="s">
        <v>2022</v>
      </c>
      <c r="C40" s="224">
        <v>0</v>
      </c>
      <c r="D40" s="16">
        <f>IF('2. Invoer parameters'!C24="ja",_CAPEX_laadpunt_22kW_turn_key*('2. Invoer parameters'!$C$26/_input_aantal_voertuig_per_laadpunt)+_capex_net,0)</f>
        <v>0</v>
      </c>
      <c r="E40" s="44"/>
      <c r="F40" s="224">
        <f t="shared" ref="F40:F44" si="4">IF(C$25=0,0,C40/$C$25)</f>
        <v>0</v>
      </c>
      <c r="G40" s="16">
        <f>IF(D$25=0,0,D40/$D$25)</f>
        <v>0</v>
      </c>
      <c r="I40" s="224">
        <f t="shared" ref="I40:J42" si="5">F40/(looptijd*12)</f>
        <v>0</v>
      </c>
      <c r="J40" s="16">
        <f>G40/(looptijd*12)</f>
        <v>0</v>
      </c>
      <c r="L40" s="474">
        <v>0</v>
      </c>
      <c r="M40" s="265">
        <f>IF($D$25=0,0,D40/'Output TCO'!$S$123)</f>
        <v>0</v>
      </c>
      <c r="O40" s="33" t="s">
        <v>1690</v>
      </c>
      <c r="P40" s="500" t="s">
        <v>2019</v>
      </c>
    </row>
    <row r="41" spans="2:19" ht="20" customHeight="1">
      <c r="B41" s="237" t="s">
        <v>1974</v>
      </c>
      <c r="C41" s="224">
        <f>IF(BTW_verrekening="ja",0,BTW*(C40))</f>
        <v>0</v>
      </c>
      <c r="D41" s="16">
        <f>IF(BTW_verrekening="ja",0,BTW*(D40))</f>
        <v>0</v>
      </c>
      <c r="E41" s="44"/>
      <c r="F41" s="224">
        <f t="shared" si="4"/>
        <v>0</v>
      </c>
      <c r="G41" s="16">
        <f>IF(D$25=0,0,D41/$D$25)</f>
        <v>0</v>
      </c>
      <c r="I41" s="224">
        <f t="shared" si="5"/>
        <v>0</v>
      </c>
      <c r="J41" s="16">
        <f>G41/(looptijd*12)</f>
        <v>0</v>
      </c>
      <c r="L41" s="474">
        <v>0</v>
      </c>
      <c r="M41" s="265">
        <f>IF(BTW_verrekening="ja",0,BTW*(M40))</f>
        <v>0</v>
      </c>
      <c r="O41" s="33" t="s">
        <v>1690</v>
      </c>
      <c r="P41" s="522"/>
    </row>
    <row r="42" spans="2:19" ht="20" customHeight="1">
      <c r="B42" s="237" t="s">
        <v>1975</v>
      </c>
      <c r="C42" s="235">
        <f>(((C40+C41)-(C40+C41)*_restwaarde_perc_laadpunten)*Rente_financiering)*looptijd</f>
        <v>0</v>
      </c>
      <c r="D42" s="244">
        <f>((((D40+D41)-(D40+D41)*_restwaarde_perc_laadpunten)/2)*Rente_financiering)*looptijd</f>
        <v>0</v>
      </c>
      <c r="E42" s="44"/>
      <c r="F42" s="235">
        <f t="shared" si="4"/>
        <v>0</v>
      </c>
      <c r="G42" s="244">
        <f>IF(D$25=0,0,D42/$D$25)</f>
        <v>0</v>
      </c>
      <c r="I42" s="224">
        <f t="shared" si="5"/>
        <v>0</v>
      </c>
      <c r="J42" s="16">
        <f t="shared" si="5"/>
        <v>0</v>
      </c>
      <c r="L42" s="475">
        <v>0</v>
      </c>
      <c r="M42" s="478">
        <f>IF($D$25=0,0,D42/'Output TCO'!$S$123)</f>
        <v>0</v>
      </c>
      <c r="O42" s="33" t="s">
        <v>1690</v>
      </c>
      <c r="P42" s="500" t="s">
        <v>2019</v>
      </c>
    </row>
    <row r="43" spans="2:19" ht="20" customHeight="1">
      <c r="B43" s="239" t="s">
        <v>1686</v>
      </c>
      <c r="C43" s="233">
        <f>SUM(C40:C42)</f>
        <v>0</v>
      </c>
      <c r="D43" s="245">
        <f>SUM(D40:D42)</f>
        <v>0</v>
      </c>
      <c r="E43" s="234"/>
      <c r="F43" s="233">
        <f t="shared" si="4"/>
        <v>0</v>
      </c>
      <c r="G43" s="245">
        <f>IF(D$25=0,0,D43/$D$25)</f>
        <v>0</v>
      </c>
      <c r="I43" s="233">
        <f>SUM(I40:I42)</f>
        <v>0</v>
      </c>
      <c r="J43" s="245">
        <f>SUM(J40:J42)</f>
        <v>0</v>
      </c>
      <c r="L43" s="476">
        <v>0</v>
      </c>
      <c r="M43" s="471">
        <f>SUM(M40:M42)</f>
        <v>0</v>
      </c>
      <c r="O43" s="33" t="s">
        <v>1690</v>
      </c>
      <c r="P43" s="500"/>
    </row>
    <row r="44" spans="2:19" ht="34" customHeight="1" thickBot="1">
      <c r="B44" s="246" t="s">
        <v>1981</v>
      </c>
      <c r="C44" s="247">
        <f>((C40+C41)-(C40+C41)*_restwaarde_perc_laadpunten)+C42</f>
        <v>0</v>
      </c>
      <c r="D44" s="248">
        <f>((D40+D41)-(D40+D41)*_restwaarde_perc_laadpunten)+D42</f>
        <v>0</v>
      </c>
      <c r="E44" s="234"/>
      <c r="F44" s="247">
        <f t="shared" si="4"/>
        <v>0</v>
      </c>
      <c r="G44" s="248">
        <f>IF(D$25=0,0,D44/$D$25)</f>
        <v>0</v>
      </c>
      <c r="I44" s="225">
        <f t="shared" ref="I44" si="6">C44/(looptijd*12)</f>
        <v>0</v>
      </c>
      <c r="J44" s="243">
        <f>G44/(looptijd*12)</f>
        <v>0</v>
      </c>
      <c r="L44" s="477">
        <v>0</v>
      </c>
      <c r="M44" s="290">
        <f>IF($D$25=0,0,D44/'Output TCO'!$S$123)</f>
        <v>0</v>
      </c>
      <c r="O44" s="27" t="s">
        <v>1690</v>
      </c>
      <c r="P44" s="501" t="s">
        <v>1722</v>
      </c>
    </row>
    <row r="45" spans="2:19" ht="20" customHeight="1" thickBot="1">
      <c r="B45" s="79"/>
      <c r="C45" s="25"/>
      <c r="D45" s="24"/>
      <c r="E45" s="10"/>
      <c r="F45" s="30"/>
      <c r="G45" s="16"/>
      <c r="I45" s="275"/>
      <c r="J45" s="276"/>
      <c r="L45" s="45"/>
      <c r="M45" s="45"/>
      <c r="O45" s="33"/>
      <c r="P45" s="500"/>
    </row>
    <row r="46" spans="2:19" ht="20" customHeight="1">
      <c r="B46" s="291" t="s">
        <v>1689</v>
      </c>
      <c r="C46" s="54" t="s">
        <v>114</v>
      </c>
      <c r="D46" s="53" t="s">
        <v>6</v>
      </c>
      <c r="E46" s="62"/>
      <c r="F46" s="54" t="s">
        <v>114</v>
      </c>
      <c r="G46" s="53" t="s">
        <v>6</v>
      </c>
      <c r="I46" s="54" t="s">
        <v>114</v>
      </c>
      <c r="J46" s="53" t="s">
        <v>6</v>
      </c>
      <c r="L46" s="54" t="s">
        <v>114</v>
      </c>
      <c r="M46" s="53" t="s">
        <v>6</v>
      </c>
      <c r="O46" s="36"/>
      <c r="P46" s="523"/>
    </row>
    <row r="47" spans="2:19" ht="20" customHeight="1">
      <c r="B47" s="292" t="s">
        <v>1679</v>
      </c>
      <c r="C47" s="43"/>
      <c r="D47" s="24"/>
      <c r="E47" s="44"/>
      <c r="F47" s="43"/>
      <c r="G47" s="24"/>
      <c r="I47" s="43"/>
      <c r="J47" s="24"/>
      <c r="L47" s="43"/>
      <c r="M47" s="24"/>
      <c r="O47" s="33"/>
      <c r="P47" s="500"/>
    </row>
    <row r="48" spans="2:19" ht="20" customHeight="1">
      <c r="B48" s="293" t="s">
        <v>123</v>
      </c>
      <c r="C48" s="43">
        <f>SUM('Output TCO'!AO3:AO121)*12*looptijd</f>
        <v>0</v>
      </c>
      <c r="D48" s="24">
        <f>SUM('Output TCO'!BD3:BD121)*12*looptijd</f>
        <v>0</v>
      </c>
      <c r="E48" s="10"/>
      <c r="F48" s="30">
        <f>IF(C$25=0,0,C48/$C$25)</f>
        <v>0</v>
      </c>
      <c r="G48" s="16">
        <f t="shared" ref="G48:G52" si="7">IF($D$25=0,0,D48/$D$25)</f>
        <v>0</v>
      </c>
      <c r="I48" s="43">
        <f t="shared" ref="I48:J52" si="8">F48/(looptijd*12)</f>
        <v>0</v>
      </c>
      <c r="J48" s="24">
        <f t="shared" si="8"/>
        <v>0</v>
      </c>
      <c r="L48" s="269">
        <f>IF(C$25=0,0,'Output TCO'!AP123)</f>
        <v>0</v>
      </c>
      <c r="M48" s="265">
        <f>IF(D$25=0,0,'Output TCO'!BE123)</f>
        <v>0</v>
      </c>
      <c r="O48" s="33" t="s">
        <v>1690</v>
      </c>
      <c r="P48" s="500"/>
      <c r="S48" s="12"/>
    </row>
    <row r="49" spans="2:19" ht="20" customHeight="1">
      <c r="B49" s="293" t="s">
        <v>124</v>
      </c>
      <c r="C49" s="43">
        <f>SUM('Output TCO'!AQ3:AQ121)</f>
        <v>0</v>
      </c>
      <c r="D49" s="24">
        <f>SUM('Output TCO'!BF3:BF121)</f>
        <v>0</v>
      </c>
      <c r="E49" s="10"/>
      <c r="F49" s="30">
        <f t="shared" ref="F49:F51" si="9">IF(C$25=0,0,C49/$C$25)</f>
        <v>0</v>
      </c>
      <c r="G49" s="16">
        <f t="shared" si="7"/>
        <v>0</v>
      </c>
      <c r="I49" s="43">
        <f t="shared" si="8"/>
        <v>0</v>
      </c>
      <c r="J49" s="24">
        <f t="shared" si="8"/>
        <v>0</v>
      </c>
      <c r="L49" s="269">
        <f>IF(C$25=0,0,'Output TCO'!AR123)</f>
        <v>0</v>
      </c>
      <c r="M49" s="265">
        <f>IF(D$25=0,0,'Output TCO'!BG123)</f>
        <v>0</v>
      </c>
      <c r="O49" s="33" t="s">
        <v>1690</v>
      </c>
      <c r="P49" s="500" t="s">
        <v>4342</v>
      </c>
      <c r="Q49" s="12"/>
    </row>
    <row r="50" spans="2:19" ht="20" customHeight="1">
      <c r="B50" s="293" t="s">
        <v>4207</v>
      </c>
      <c r="C50" s="43">
        <f>SUM('Output TCO'!AU3:AU121)*looptijd</f>
        <v>0</v>
      </c>
      <c r="D50" s="24">
        <f>SUM('Output TCO'!BN3:BN121)*looptijd</f>
        <v>0</v>
      </c>
      <c r="E50" s="10"/>
      <c r="F50" s="30">
        <f t="shared" si="9"/>
        <v>0</v>
      </c>
      <c r="G50" s="16">
        <f t="shared" si="7"/>
        <v>0</v>
      </c>
      <c r="I50" s="43">
        <f t="shared" si="8"/>
        <v>0</v>
      </c>
      <c r="J50" s="24">
        <f t="shared" si="8"/>
        <v>0</v>
      </c>
      <c r="L50" s="469">
        <f>IF(C$25=0,0,'Output TCO'!AV123)</f>
        <v>0</v>
      </c>
      <c r="M50" s="470">
        <f>IF(D$25=0,0,'Output TCO'!BO123)</f>
        <v>0</v>
      </c>
      <c r="O50" s="33" t="s">
        <v>1690</v>
      </c>
      <c r="P50" s="500" t="s">
        <v>4331</v>
      </c>
      <c r="S50" s="12"/>
    </row>
    <row r="51" spans="2:19" ht="20" customHeight="1">
      <c r="B51" s="293" t="s">
        <v>771</v>
      </c>
      <c r="C51" s="43">
        <f>SUM('Output TCO'!BA3:BA121)*12*looptijd</f>
        <v>0</v>
      </c>
      <c r="D51" s="24">
        <f>SUM('Output TCO'!BT3:BT121)*12*looptijd</f>
        <v>0</v>
      </c>
      <c r="E51" s="10"/>
      <c r="F51" s="30">
        <f t="shared" si="9"/>
        <v>0</v>
      </c>
      <c r="G51" s="16">
        <f t="shared" si="7"/>
        <v>0</v>
      </c>
      <c r="I51" s="43">
        <f t="shared" si="8"/>
        <v>0</v>
      </c>
      <c r="J51" s="24">
        <f t="shared" si="8"/>
        <v>0</v>
      </c>
      <c r="L51" s="269">
        <f>IF(C$25=0,0,'Output TCO'!BB123)</f>
        <v>0</v>
      </c>
      <c r="M51" s="265">
        <f>IF(C$25=0,0,'Output TCO'!BU123)</f>
        <v>0</v>
      </c>
      <c r="O51" s="33" t="s">
        <v>1690</v>
      </c>
      <c r="P51" s="500"/>
      <c r="S51" s="12"/>
    </row>
    <row r="52" spans="2:19" ht="20" customHeight="1">
      <c r="B52" s="293" t="s">
        <v>145</v>
      </c>
      <c r="C52" s="43">
        <f>SUM('Output TCO'!AS3:AS121)*looptijd/prijs_CNG</f>
        <v>0</v>
      </c>
      <c r="D52" s="24">
        <f>SUM('Output TCO'!BH3:BH121)*looptijd</f>
        <v>0</v>
      </c>
      <c r="E52" s="10"/>
      <c r="F52" s="30">
        <f>IF(C$25=0,0,C52/$C$25)</f>
        <v>0</v>
      </c>
      <c r="G52" s="16">
        <f t="shared" si="7"/>
        <v>0</v>
      </c>
      <c r="I52" s="43">
        <f>F52/(looptijd*12)</f>
        <v>0</v>
      </c>
      <c r="J52" s="24">
        <f t="shared" si="8"/>
        <v>0</v>
      </c>
      <c r="L52" s="269">
        <f>IF(C$25=0,0,'Output TCO'!AT123)</f>
        <v>0</v>
      </c>
      <c r="M52" s="265">
        <f>IF(C$25=0,0,'Output TCO'!BI123)</f>
        <v>0</v>
      </c>
      <c r="O52" s="33" t="s">
        <v>1690</v>
      </c>
      <c r="P52" s="500"/>
    </row>
    <row r="53" spans="2:19" ht="20" customHeight="1">
      <c r="B53" s="293" t="s">
        <v>2021</v>
      </c>
      <c r="C53" s="43">
        <v>0</v>
      </c>
      <c r="D53" s="24">
        <f>IF('2. Invoer parameters'!C32="ja",_laadtijd_buiten_pauze*_uurloon_chauffeur*_actieve_dagen_per_jaar*'Output TCO'!$Q$126*looptijd,0)</f>
        <v>0</v>
      </c>
      <c r="E53" s="10"/>
      <c r="F53" s="30">
        <f>IF(C$25=0,0,C53/$C$25)</f>
        <v>0</v>
      </c>
      <c r="G53" s="16">
        <f t="shared" ref="G53" si="10">IF($D$25=0,0,D53/$D$25)</f>
        <v>0</v>
      </c>
      <c r="I53" s="43">
        <f t="shared" ref="I53" si="11">F53/(looptijd*12)</f>
        <v>0</v>
      </c>
      <c r="J53" s="24">
        <f t="shared" ref="J53" si="12">G53/(looptijd*12)</f>
        <v>0</v>
      </c>
      <c r="L53" s="269">
        <v>0</v>
      </c>
      <c r="M53" s="265">
        <f>IF($D$25=0,0,D53/'Output TCO'!$S$123)</f>
        <v>0</v>
      </c>
      <c r="O53" s="33" t="s">
        <v>1690</v>
      </c>
      <c r="P53" s="500"/>
    </row>
    <row r="54" spans="2:19" ht="24" customHeight="1">
      <c r="B54" s="294" t="s">
        <v>1706</v>
      </c>
      <c r="C54" s="281">
        <f>SUM(C48:C53)</f>
        <v>0</v>
      </c>
      <c r="D54" s="280">
        <f>SUM(D48:D53)</f>
        <v>0</v>
      </c>
      <c r="E54" s="3"/>
      <c r="F54" s="281">
        <f>IF(C$25=0,0,C54/$C$25)</f>
        <v>0</v>
      </c>
      <c r="G54" s="280">
        <f>IF($D$25=0,0,D54/$D$25)</f>
        <v>0</v>
      </c>
      <c r="I54" s="281">
        <f>SUM(I48:I53)</f>
        <v>0</v>
      </c>
      <c r="J54" s="280">
        <f>SUM(J48:J53)</f>
        <v>0</v>
      </c>
      <c r="L54" s="282">
        <f>SUM(L48:L53)</f>
        <v>0</v>
      </c>
      <c r="M54" s="283">
        <f>SUM(M48:M53)</f>
        <v>0</v>
      </c>
      <c r="O54" s="33" t="s">
        <v>1690</v>
      </c>
      <c r="P54" s="500"/>
    </row>
    <row r="55" spans="2:19" ht="24" customHeight="1">
      <c r="B55" s="295"/>
      <c r="C55" s="272"/>
      <c r="D55" s="26"/>
      <c r="E55" s="3"/>
      <c r="F55" s="272"/>
      <c r="G55" s="26"/>
      <c r="I55" s="272"/>
      <c r="J55" s="26"/>
      <c r="L55" s="277"/>
      <c r="M55" s="267"/>
      <c r="O55" s="33"/>
      <c r="P55" s="500"/>
    </row>
    <row r="56" spans="2:19" ht="24" customHeight="1">
      <c r="B56" s="292" t="s">
        <v>1973</v>
      </c>
      <c r="C56" s="272"/>
      <c r="D56" s="26"/>
      <c r="E56" s="3"/>
      <c r="F56" s="272"/>
      <c r="G56" s="26"/>
      <c r="I56" s="272"/>
      <c r="J56" s="26"/>
      <c r="L56" s="277"/>
      <c r="M56" s="267"/>
      <c r="O56" s="33"/>
      <c r="P56" s="500"/>
    </row>
    <row r="57" spans="2:19" ht="24" customHeight="1" thickBot="1">
      <c r="B57" s="296" t="s">
        <v>1980</v>
      </c>
      <c r="C57" s="274">
        <v>0</v>
      </c>
      <c r="D57" s="273">
        <f>IF('2. Invoer parameters'!$C$24="ja",_OPEX_laadpunt_22kW_jaar*looptijd*('2. Invoer parameters'!$C$26/_input_aantal_voertuig_per_laadpunt)+(_periodiek_net*looptijd),0)</f>
        <v>0</v>
      </c>
      <c r="E57" s="3"/>
      <c r="F57" s="274">
        <f>IF(C$25=0,0,C57/$C$25)</f>
        <v>0</v>
      </c>
      <c r="G57" s="273">
        <f>IF($D$25=0,0,D57/$D$25)</f>
        <v>0</v>
      </c>
      <c r="I57" s="297">
        <f>C57/(looptijd*12)</f>
        <v>0</v>
      </c>
      <c r="J57" s="298">
        <f>G57/(looptijd*12)</f>
        <v>0</v>
      </c>
      <c r="L57" s="278">
        <v>0</v>
      </c>
      <c r="M57" s="279">
        <f>IF($D$25=0,0,D57/'Output TCO'!$S$123)</f>
        <v>0</v>
      </c>
      <c r="O57" s="33" t="s">
        <v>1690</v>
      </c>
      <c r="P57" s="500" t="s">
        <v>4336</v>
      </c>
    </row>
    <row r="58" spans="2:19" ht="20" customHeight="1" thickBot="1">
      <c r="B58" s="79"/>
      <c r="C58" s="25"/>
      <c r="D58" s="24"/>
      <c r="E58" s="10"/>
      <c r="F58" s="30"/>
      <c r="G58" s="16"/>
      <c r="I58" s="45"/>
      <c r="J58" s="45"/>
      <c r="L58" s="45"/>
      <c r="M58" s="45"/>
      <c r="O58" s="173"/>
      <c r="P58" s="524"/>
    </row>
    <row r="59" spans="2:19" ht="23" customHeight="1">
      <c r="B59" s="66" t="s">
        <v>127</v>
      </c>
      <c r="C59" s="67" t="s">
        <v>114</v>
      </c>
      <c r="D59" s="68" t="s">
        <v>6</v>
      </c>
      <c r="E59" s="69"/>
      <c r="F59" s="67" t="s">
        <v>114</v>
      </c>
      <c r="G59" s="68" t="s">
        <v>6</v>
      </c>
      <c r="I59" s="67" t="s">
        <v>114</v>
      </c>
      <c r="J59" s="68" t="s">
        <v>6</v>
      </c>
      <c r="L59" s="67" t="s">
        <v>114</v>
      </c>
      <c r="M59" s="68" t="s">
        <v>6</v>
      </c>
      <c r="O59" s="33"/>
      <c r="P59" s="500"/>
    </row>
    <row r="60" spans="2:19" ht="24" customHeight="1">
      <c r="B60" s="254" t="s">
        <v>128</v>
      </c>
      <c r="C60" s="299">
        <f>(SUM('Output TCO'!BX3:BX121)/1000)*looptijd</f>
        <v>0</v>
      </c>
      <c r="D60" s="300">
        <f>(SUM('Output TCO'!CB3:CB121)/1000)*looptijd</f>
        <v>0</v>
      </c>
      <c r="E60" s="249"/>
      <c r="F60" s="299">
        <f>IF($C$25=0,0,C60/$C$25)</f>
        <v>0</v>
      </c>
      <c r="G60" s="300">
        <f>IF($D$25=0,0,D60/$D$25)</f>
        <v>0</v>
      </c>
      <c r="I60" s="299">
        <f>F60/(looptijd*12)</f>
        <v>0</v>
      </c>
      <c r="J60" s="300">
        <f>G60/(looptijd*12)</f>
        <v>0</v>
      </c>
      <c r="L60" s="301">
        <f>IF(C$25=0,0,'Output TCO'!BY123)</f>
        <v>0</v>
      </c>
      <c r="M60" s="302">
        <f>IF(C$25=0,0,'Output TCO'!CC123)</f>
        <v>0</v>
      </c>
      <c r="O60" s="33" t="s">
        <v>129</v>
      </c>
      <c r="P60" s="500" t="s">
        <v>130</v>
      </c>
    </row>
    <row r="61" spans="2:19" ht="37" customHeight="1" thickBot="1">
      <c r="B61" s="250" t="s">
        <v>131</v>
      </c>
      <c r="C61" s="251"/>
      <c r="D61" s="253">
        <f>D60-C60</f>
        <v>0</v>
      </c>
      <c r="E61" s="252"/>
      <c r="F61" s="251"/>
      <c r="G61" s="253">
        <f>G60-F60</f>
        <v>0</v>
      </c>
      <c r="I61" s="251"/>
      <c r="J61" s="253">
        <f>J60-I60</f>
        <v>0</v>
      </c>
      <c r="L61" s="34"/>
      <c r="M61" s="303">
        <f>M60-L60</f>
        <v>0</v>
      </c>
      <c r="O61" s="27" t="s">
        <v>129</v>
      </c>
      <c r="P61" s="501" t="s">
        <v>132</v>
      </c>
    </row>
    <row r="62" spans="2:19" ht="17" customHeight="1" thickBot="1">
      <c r="D62" s="12"/>
      <c r="E62" s="12"/>
      <c r="F62" s="12"/>
      <c r="G62" s="12"/>
      <c r="I62" s="12"/>
      <c r="J62" s="12"/>
      <c r="L62" s="12"/>
      <c r="M62" s="12"/>
    </row>
    <row r="63" spans="2:19" ht="24" customHeight="1">
      <c r="B63" s="66" t="s">
        <v>865</v>
      </c>
      <c r="C63" s="67" t="s">
        <v>114</v>
      </c>
      <c r="D63" s="68" t="s">
        <v>6</v>
      </c>
      <c r="E63" s="69"/>
      <c r="F63" s="67" t="s">
        <v>114</v>
      </c>
      <c r="G63" s="68" t="s">
        <v>6</v>
      </c>
      <c r="I63" s="67" t="s">
        <v>114</v>
      </c>
      <c r="J63" s="68" t="s">
        <v>6</v>
      </c>
      <c r="L63" s="67" t="s">
        <v>114</v>
      </c>
      <c r="M63" s="68" t="s">
        <v>6</v>
      </c>
      <c r="O63" s="36"/>
      <c r="P63" s="523"/>
    </row>
    <row r="64" spans="2:19" ht="25" customHeight="1">
      <c r="B64" s="254" t="s">
        <v>866</v>
      </c>
      <c r="C64" s="262">
        <f>Euro_ton_CO2*C60</f>
        <v>0</v>
      </c>
      <c r="D64" s="243">
        <f>Euro_ton_CO2*D60</f>
        <v>0</v>
      </c>
      <c r="E64" s="255"/>
      <c r="F64" s="262">
        <f>IF($C$25=0,0,C64/$C$25)</f>
        <v>0</v>
      </c>
      <c r="G64" s="243">
        <f>IF($D$25=0,0,D64/$D$25)</f>
        <v>0</v>
      </c>
      <c r="I64" s="262">
        <f>F64/(looptijd*12)</f>
        <v>0</v>
      </c>
      <c r="J64" s="243">
        <f>G64/(looptijd*12)</f>
        <v>0</v>
      </c>
      <c r="L64" s="337">
        <f>Euro_ton_CO2/1000*L60</f>
        <v>0</v>
      </c>
      <c r="M64" s="338">
        <f>Euro_ton_CO2/1000*M60</f>
        <v>0</v>
      </c>
      <c r="O64" s="33" t="s">
        <v>1690</v>
      </c>
      <c r="P64" s="500"/>
    </row>
    <row r="65" spans="1:16" ht="25" customHeight="1" thickBot="1">
      <c r="B65" s="250" t="s">
        <v>867</v>
      </c>
      <c r="C65" s="256"/>
      <c r="D65" s="257">
        <f>D64-C64</f>
        <v>0</v>
      </c>
      <c r="E65" s="258"/>
      <c r="F65" s="256"/>
      <c r="G65" s="257">
        <f>G64-F64</f>
        <v>0</v>
      </c>
      <c r="I65" s="256"/>
      <c r="J65" s="257">
        <f>J64-I64</f>
        <v>0</v>
      </c>
      <c r="L65" s="304"/>
      <c r="M65" s="305">
        <f>M64-L64</f>
        <v>0</v>
      </c>
      <c r="O65" s="27" t="s">
        <v>1690</v>
      </c>
      <c r="P65" s="501"/>
    </row>
    <row r="66" spans="1:16" ht="17" thickBot="1">
      <c r="C66" s="10"/>
      <c r="D66" s="10"/>
      <c r="E66" s="10"/>
      <c r="F66" s="10"/>
      <c r="G66" s="10"/>
      <c r="I66" s="10"/>
      <c r="J66" s="10"/>
      <c r="L66" s="10"/>
      <c r="M66" s="10"/>
    </row>
    <row r="67" spans="1:16" ht="24" customHeight="1" thickBot="1">
      <c r="A67" s="61"/>
      <c r="B67" s="55" t="s">
        <v>126</v>
      </c>
      <c r="C67" s="56" t="s">
        <v>114</v>
      </c>
      <c r="D67" s="57" t="s">
        <v>6</v>
      </c>
      <c r="E67" s="70"/>
      <c r="F67" s="56" t="s">
        <v>114</v>
      </c>
      <c r="G67" s="57" t="s">
        <v>6</v>
      </c>
      <c r="I67" s="56" t="s">
        <v>114</v>
      </c>
      <c r="J67" s="57" t="s">
        <v>6</v>
      </c>
      <c r="L67" s="56" t="s">
        <v>114</v>
      </c>
      <c r="M67" s="57" t="s">
        <v>6</v>
      </c>
      <c r="O67" s="36"/>
      <c r="P67" s="523"/>
    </row>
    <row r="68" spans="1:16" ht="24" customHeight="1">
      <c r="B68" s="59" t="s">
        <v>1691</v>
      </c>
      <c r="C68" s="28">
        <f>C37+C44+C54+C57</f>
        <v>0</v>
      </c>
      <c r="D68" s="14">
        <f>D37+D44+D54+D57</f>
        <v>0</v>
      </c>
      <c r="E68" s="13"/>
      <c r="F68" s="28">
        <f>IF($C$25=0,0,C68/$C$25)</f>
        <v>0</v>
      </c>
      <c r="G68" s="14">
        <f>IF($D$25=0,0,D68/$D$25)</f>
        <v>0</v>
      </c>
      <c r="I68" s="28">
        <f>I37+I44+I54+I57</f>
        <v>0</v>
      </c>
      <c r="J68" s="14">
        <f>J37+J44+J54+J57</f>
        <v>0</v>
      </c>
      <c r="L68" s="516">
        <f>L37+L44+L54+L57</f>
        <v>0</v>
      </c>
      <c r="M68" s="517">
        <f>M37+M44+M54+M57</f>
        <v>0</v>
      </c>
      <c r="O68" s="33" t="s">
        <v>1690</v>
      </c>
      <c r="P68" s="500" t="s">
        <v>125</v>
      </c>
    </row>
    <row r="69" spans="1:16" ht="24" customHeight="1">
      <c r="B69" s="58" t="s">
        <v>1692</v>
      </c>
      <c r="C69" s="29">
        <f>C37+C44+C54+C57+C64</f>
        <v>0</v>
      </c>
      <c r="D69" s="15">
        <f>D37+D44+D54+D57+D64</f>
        <v>0</v>
      </c>
      <c r="E69" s="13"/>
      <c r="F69" s="29">
        <f>IF($C$25=0,0,C69/$C$25)</f>
        <v>0</v>
      </c>
      <c r="G69" s="15">
        <f>IF($D$25=0,0,D69/$D$25)</f>
        <v>0</v>
      </c>
      <c r="I69" s="29">
        <f>I37+I44+I54+I57+I64</f>
        <v>0</v>
      </c>
      <c r="J69" s="15">
        <f>J37+J44+J54+J57+J64</f>
        <v>0</v>
      </c>
      <c r="L69" s="270">
        <f>L37+L44+L54+L57+L64</f>
        <v>0</v>
      </c>
      <c r="M69" s="479">
        <f>M37+M44+M54+M57+M64</f>
        <v>0</v>
      </c>
      <c r="O69" s="33" t="s">
        <v>1690</v>
      </c>
      <c r="P69" s="500"/>
    </row>
    <row r="70" spans="1:16" ht="24" customHeight="1">
      <c r="B70" s="58"/>
      <c r="C70" s="29"/>
      <c r="D70" s="15"/>
      <c r="E70" s="13"/>
      <c r="F70" s="29"/>
      <c r="G70" s="15"/>
      <c r="I70" s="29"/>
      <c r="J70" s="15"/>
      <c r="L70" s="270"/>
      <c r="M70" s="271"/>
      <c r="O70" s="33"/>
      <c r="P70" s="500"/>
    </row>
    <row r="71" spans="1:16" ht="24" hidden="1" customHeight="1">
      <c r="B71" s="59" t="s">
        <v>4341</v>
      </c>
      <c r="C71" s="1488" t="e">
        <f>D68/C68</f>
        <v>#DIV/0!</v>
      </c>
      <c r="D71" s="1489"/>
      <c r="E71" s="13"/>
      <c r="F71" s="1488" t="e">
        <f>G68/F68</f>
        <v>#DIV/0!</v>
      </c>
      <c r="G71" s="1489"/>
      <c r="H71" s="3"/>
      <c r="I71" s="1488" t="e">
        <f>J68/I68</f>
        <v>#DIV/0!</v>
      </c>
      <c r="J71" s="1489"/>
      <c r="K71" s="3"/>
      <c r="L71" s="1490" t="e">
        <f>M68/L68</f>
        <v>#DIV/0!</v>
      </c>
      <c r="M71" s="1491"/>
      <c r="O71" s="33"/>
      <c r="P71" s="500"/>
    </row>
    <row r="72" spans="1:16" ht="24" hidden="1" customHeight="1">
      <c r="B72" s="47"/>
      <c r="C72" s="33"/>
      <c r="D72" s="23"/>
      <c r="F72" s="30"/>
      <c r="G72" s="16"/>
      <c r="I72" s="30"/>
      <c r="J72" s="16"/>
      <c r="L72" s="30"/>
      <c r="M72" s="16"/>
      <c r="O72" s="33"/>
      <c r="P72" s="500"/>
    </row>
    <row r="73" spans="1:16" ht="24" customHeight="1">
      <c r="B73" s="59" t="s">
        <v>1693</v>
      </c>
      <c r="C73" s="37"/>
      <c r="D73" s="65">
        <f>D68-C68</f>
        <v>0</v>
      </c>
      <c r="E73" s="17"/>
      <c r="F73" s="31"/>
      <c r="G73" s="18">
        <f>G68-F68</f>
        <v>0</v>
      </c>
      <c r="I73" s="31"/>
      <c r="J73" s="65">
        <f>J68-I68</f>
        <v>0</v>
      </c>
      <c r="L73" s="31"/>
      <c r="M73" s="339">
        <f>M68-L68</f>
        <v>0</v>
      </c>
      <c r="O73" s="33" t="s">
        <v>118</v>
      </c>
      <c r="P73" s="500"/>
    </row>
    <row r="74" spans="1:16" ht="34" customHeight="1" thickBot="1">
      <c r="B74" s="60" t="s">
        <v>1694</v>
      </c>
      <c r="C74" s="38"/>
      <c r="D74" s="172">
        <f>D69-C69</f>
        <v>0</v>
      </c>
      <c r="E74" s="2"/>
      <c r="F74" s="32"/>
      <c r="G74" s="261">
        <f>G69-F69</f>
        <v>0</v>
      </c>
      <c r="I74" s="32"/>
      <c r="J74" s="172">
        <f>J69-I69</f>
        <v>0</v>
      </c>
      <c r="L74" s="32"/>
      <c r="M74" s="340">
        <f>M69-L69</f>
        <v>0</v>
      </c>
      <c r="O74" s="27" t="s">
        <v>118</v>
      </c>
      <c r="P74" s="501" t="s">
        <v>1724</v>
      </c>
    </row>
    <row r="75" spans="1:16">
      <c r="C75" s="10"/>
      <c r="D75" s="10"/>
      <c r="E75" s="10"/>
      <c r="F75" s="10"/>
      <c r="G75" s="10"/>
      <c r="I75" s="10"/>
      <c r="J75" s="10"/>
      <c r="L75" s="10"/>
      <c r="M75" s="10"/>
    </row>
    <row r="77" spans="1:16">
      <c r="D77" s="314"/>
      <c r="G77" s="314"/>
      <c r="J77" s="314"/>
      <c r="M77" s="314"/>
    </row>
    <row r="79" spans="1:16">
      <c r="G79" s="11"/>
      <c r="I79" s="11"/>
      <c r="J79" s="11"/>
      <c r="L79" s="11"/>
      <c r="M79" s="11"/>
    </row>
    <row r="80" spans="1:16">
      <c r="G80" s="11"/>
      <c r="I80" s="11"/>
      <c r="J80" s="11"/>
      <c r="L80" s="11"/>
      <c r="M80" s="11"/>
    </row>
  </sheetData>
  <sheetProtection algorithmName="SHA-512" hashValue="g+A+GaAR92926P+rla94xhEfvqflJgU1ALJsAh+TbvEos/rRBszbIKv3lzWIC2cnAs/N9nItQ7jb1XXR/H2Frg==" saltValue="F6vK8v8M4vOrrWlvH9laFA==" spinCount="100000" sheet="1" objects="1" scenarios="1"/>
  <mergeCells count="11">
    <mergeCell ref="C71:D71"/>
    <mergeCell ref="F71:G71"/>
    <mergeCell ref="I71:J71"/>
    <mergeCell ref="L71:M71"/>
    <mergeCell ref="F25:G25"/>
    <mergeCell ref="C2:D2"/>
    <mergeCell ref="O2:P2"/>
    <mergeCell ref="C27:D27"/>
    <mergeCell ref="F27:G27"/>
    <mergeCell ref="L27:M27"/>
    <mergeCell ref="I27:J27"/>
  </mergeCells>
  <conditionalFormatting sqref="D61">
    <cfRule type="colorScale" priority="37">
      <colorScale>
        <cfvo type="num" val="0"/>
        <cfvo type="max"/>
        <color theme="9"/>
        <color rgb="FFFF0000"/>
      </colorScale>
    </cfRule>
  </conditionalFormatting>
  <conditionalFormatting sqref="G61">
    <cfRule type="colorScale" priority="36">
      <colorScale>
        <cfvo type="num" val="0"/>
        <cfvo type="max"/>
        <color theme="9"/>
        <color rgb="FFFF0000"/>
      </colorScale>
    </cfRule>
  </conditionalFormatting>
  <conditionalFormatting sqref="G73">
    <cfRule type="colorScale" priority="33">
      <colorScale>
        <cfvo type="num" val="0"/>
        <cfvo type="max"/>
        <color theme="9"/>
        <color rgb="FFFF0000"/>
      </colorScale>
    </cfRule>
  </conditionalFormatting>
  <conditionalFormatting sqref="D65">
    <cfRule type="colorScale" priority="30">
      <colorScale>
        <cfvo type="num" val="0"/>
        <cfvo type="max"/>
        <color theme="9"/>
        <color rgb="FFFF0000"/>
      </colorScale>
    </cfRule>
  </conditionalFormatting>
  <conditionalFormatting sqref="G65">
    <cfRule type="colorScale" priority="28">
      <colorScale>
        <cfvo type="num" val="0"/>
        <cfvo type="max"/>
        <color theme="9"/>
        <color rgb="FFFF0000"/>
      </colorScale>
    </cfRule>
  </conditionalFormatting>
  <conditionalFormatting sqref="D73:F73">
    <cfRule type="colorScale" priority="43">
      <colorScale>
        <cfvo type="num" val="0"/>
        <cfvo type="max"/>
        <color theme="9"/>
        <color rgb="FFFF0000"/>
      </colorScale>
    </cfRule>
  </conditionalFormatting>
  <conditionalFormatting sqref="I73">
    <cfRule type="colorScale" priority="18">
      <colorScale>
        <cfvo type="num" val="0"/>
        <cfvo type="max"/>
        <color theme="9"/>
        <color rgb="FFFF0000"/>
      </colorScale>
    </cfRule>
  </conditionalFormatting>
  <conditionalFormatting sqref="J61">
    <cfRule type="colorScale" priority="15">
      <colorScale>
        <cfvo type="num" val="0"/>
        <cfvo type="max"/>
        <color theme="9"/>
        <color rgb="FFFF0000"/>
      </colorScale>
    </cfRule>
  </conditionalFormatting>
  <conditionalFormatting sqref="J65">
    <cfRule type="colorScale" priority="13">
      <colorScale>
        <cfvo type="num" val="0"/>
        <cfvo type="max"/>
        <color theme="9"/>
        <color rgb="FFFF0000"/>
      </colorScale>
    </cfRule>
  </conditionalFormatting>
  <conditionalFormatting sqref="J73">
    <cfRule type="colorScale" priority="12">
      <colorScale>
        <cfvo type="num" val="0"/>
        <cfvo type="max"/>
        <color theme="9"/>
        <color rgb="FFFF0000"/>
      </colorScale>
    </cfRule>
  </conditionalFormatting>
  <conditionalFormatting sqref="D74">
    <cfRule type="colorScale" priority="11">
      <colorScale>
        <cfvo type="num" val="0"/>
        <cfvo type="max"/>
        <color theme="9"/>
        <color rgb="FFFF0000"/>
      </colorScale>
    </cfRule>
  </conditionalFormatting>
  <conditionalFormatting sqref="G74">
    <cfRule type="colorScale" priority="10">
      <colorScale>
        <cfvo type="num" val="0"/>
        <cfvo type="max"/>
        <color theme="9"/>
        <color rgb="FFFF0000"/>
      </colorScale>
    </cfRule>
  </conditionalFormatting>
  <conditionalFormatting sqref="J74">
    <cfRule type="colorScale" priority="9">
      <colorScale>
        <cfvo type="num" val="0"/>
        <cfvo type="max"/>
        <color theme="9"/>
        <color rgb="FFFF0000"/>
      </colorScale>
    </cfRule>
  </conditionalFormatting>
  <conditionalFormatting sqref="L73">
    <cfRule type="colorScale" priority="7">
      <colorScale>
        <cfvo type="num" val="0"/>
        <cfvo type="max"/>
        <color theme="9"/>
        <color rgb="FFFF0000"/>
      </colorScale>
    </cfRule>
  </conditionalFormatting>
  <conditionalFormatting sqref="M73">
    <cfRule type="colorScale" priority="4">
      <colorScale>
        <cfvo type="num" val="0"/>
        <cfvo type="max"/>
        <color theme="9"/>
        <color rgb="FFFF0000"/>
      </colorScale>
    </cfRule>
  </conditionalFormatting>
  <conditionalFormatting sqref="M74">
    <cfRule type="colorScale" priority="3">
      <colorScale>
        <cfvo type="num" val="0"/>
        <cfvo type="max"/>
        <color theme="9"/>
        <color rgb="FFFF0000"/>
      </colorScale>
    </cfRule>
  </conditionalFormatting>
  <conditionalFormatting sqref="M61">
    <cfRule type="colorScale" priority="2">
      <colorScale>
        <cfvo type="num" val="0"/>
        <cfvo type="max"/>
        <color theme="9"/>
        <color rgb="FFFF0000"/>
      </colorScale>
    </cfRule>
  </conditionalFormatting>
  <conditionalFormatting sqref="M65">
    <cfRule type="colorScale" priority="1">
      <colorScale>
        <cfvo type="num" val="0"/>
        <cfvo type="max"/>
        <color theme="9"/>
        <color rgb="FFFF0000"/>
      </colorScale>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84DC9-B1F7-7A45-A255-456BF700B6F5}">
  <sheetPr codeName="Sheet21">
    <tabColor theme="4"/>
  </sheetPr>
  <dimension ref="A1:F39"/>
  <sheetViews>
    <sheetView showGridLines="0" zoomScaleNormal="100" workbookViewId="0">
      <selection sqref="A1:A1048576"/>
    </sheetView>
  </sheetViews>
  <sheetFormatPr baseColWidth="10" defaultColWidth="11" defaultRowHeight="16"/>
  <cols>
    <col min="1" max="1" width="4.83203125" customWidth="1"/>
    <col min="6" max="6" width="185" customWidth="1"/>
  </cols>
  <sheetData>
    <row r="1" spans="1:6" ht="17" thickBot="1"/>
    <row r="2" spans="1:6" ht="29" thickBot="1">
      <c r="B2" s="1503" t="s">
        <v>4181</v>
      </c>
      <c r="C2" s="1504"/>
      <c r="D2" s="1504"/>
      <c r="E2" s="1504"/>
      <c r="F2" s="1505"/>
    </row>
    <row r="3" spans="1:6" ht="101" customHeight="1" thickBot="1">
      <c r="B3" s="1506" t="s">
        <v>4434</v>
      </c>
      <c r="C3" s="1507"/>
      <c r="D3" s="1507"/>
      <c r="E3" s="1507"/>
      <c r="F3" s="1508"/>
    </row>
    <row r="5" spans="1:6" ht="17" thickBot="1"/>
    <row r="6" spans="1:6" ht="34" customHeight="1" thickBot="1">
      <c r="B6" s="1509" t="s">
        <v>4182</v>
      </c>
      <c r="C6" s="1510"/>
      <c r="D6" s="1510"/>
      <c r="E6" s="1510"/>
      <c r="F6" s="1511"/>
    </row>
    <row r="7" spans="1:6" ht="331" customHeight="1">
      <c r="B7" s="1512" t="s">
        <v>4436</v>
      </c>
      <c r="C7" s="1513"/>
      <c r="D7" s="1513"/>
      <c r="E7" s="1513"/>
      <c r="F7" s="1514"/>
    </row>
    <row r="8" spans="1:6" s="480" customFormat="1" ht="34" customHeight="1">
      <c r="A8" s="480" t="s">
        <v>1670</v>
      </c>
      <c r="B8" s="1515" t="s">
        <v>4183</v>
      </c>
      <c r="C8" s="1516"/>
      <c r="D8" s="1516"/>
      <c r="E8" s="1516"/>
      <c r="F8" s="1517"/>
    </row>
    <row r="9" spans="1:6" ht="34" customHeight="1">
      <c r="B9" s="1528" t="s">
        <v>4435</v>
      </c>
      <c r="C9" s="1529"/>
      <c r="D9" s="1529"/>
      <c r="E9" s="1529"/>
      <c r="F9" s="1530"/>
    </row>
    <row r="10" spans="1:6" s="480" customFormat="1" ht="34" customHeight="1">
      <c r="B10" s="1531" t="s">
        <v>4223</v>
      </c>
      <c r="C10" s="1532"/>
      <c r="D10" s="1532"/>
      <c r="E10" s="1532"/>
      <c r="F10" s="1533"/>
    </row>
    <row r="11" spans="1:6" ht="353" customHeight="1" thickBot="1">
      <c r="A11" t="s">
        <v>4184</v>
      </c>
      <c r="B11" s="1518" t="s">
        <v>4437</v>
      </c>
      <c r="C11" s="1519"/>
      <c r="D11" s="1519"/>
      <c r="E11" s="1519"/>
      <c r="F11" s="1520"/>
    </row>
    <row r="12" spans="1:6" ht="17" thickBot="1">
      <c r="B12" s="42"/>
      <c r="C12" s="42"/>
      <c r="D12" s="42"/>
      <c r="E12" s="42"/>
      <c r="F12" s="42"/>
    </row>
    <row r="13" spans="1:6" ht="32" customHeight="1" thickBot="1">
      <c r="B13" s="1534" t="s">
        <v>4316</v>
      </c>
      <c r="C13" s="1535"/>
      <c r="D13" s="1535"/>
      <c r="E13" s="1535"/>
      <c r="F13" s="1536"/>
    </row>
    <row r="14" spans="1:6" ht="29" customHeight="1">
      <c r="B14" s="1493" t="s">
        <v>4438</v>
      </c>
      <c r="C14" s="1494"/>
      <c r="D14" s="1494"/>
      <c r="E14" s="1494"/>
      <c r="F14" s="1495"/>
    </row>
    <row r="15" spans="1:6" ht="29" customHeight="1">
      <c r="B15" s="1496"/>
      <c r="C15" s="1497"/>
      <c r="D15" s="1497"/>
      <c r="E15" s="1497"/>
      <c r="F15" s="1498"/>
    </row>
    <row r="16" spans="1:6" ht="269" customHeight="1" thickBot="1">
      <c r="B16" s="1499"/>
      <c r="C16" s="1500"/>
      <c r="D16" s="1500"/>
      <c r="E16" s="1500"/>
      <c r="F16" s="1501"/>
    </row>
    <row r="17" spans="2:6" ht="17" thickBot="1">
      <c r="B17" s="42"/>
      <c r="C17" s="42"/>
      <c r="D17" s="42"/>
      <c r="E17" s="42"/>
      <c r="F17" s="42"/>
    </row>
    <row r="18" spans="2:6" ht="29" thickBot="1">
      <c r="B18" s="1521" t="s">
        <v>4185</v>
      </c>
      <c r="C18" s="1522"/>
      <c r="D18" s="1522"/>
      <c r="E18" s="1522"/>
      <c r="F18" s="1523"/>
    </row>
    <row r="19" spans="2:6" ht="28">
      <c r="B19" s="481" t="s">
        <v>4186</v>
      </c>
      <c r="C19" s="482"/>
      <c r="D19" s="482"/>
      <c r="E19" s="482"/>
      <c r="F19" s="483"/>
    </row>
    <row r="20" spans="2:6" ht="28">
      <c r="B20" s="484" t="s">
        <v>4187</v>
      </c>
      <c r="C20" s="485"/>
      <c r="D20" s="485"/>
      <c r="E20" s="485"/>
      <c r="F20" s="486"/>
    </row>
    <row r="21" spans="2:6" ht="32" customHeight="1" thickBot="1">
      <c r="B21" s="1524" t="s">
        <v>4224</v>
      </c>
      <c r="C21" s="1525"/>
      <c r="D21" s="1525"/>
      <c r="E21" s="1525"/>
      <c r="F21" s="1526"/>
    </row>
    <row r="22" spans="2:6">
      <c r="B22" s="42"/>
      <c r="C22" s="42"/>
      <c r="D22" s="42"/>
      <c r="E22" s="42"/>
      <c r="F22" s="42"/>
    </row>
    <row r="23" spans="2:6">
      <c r="B23" s="42"/>
      <c r="C23" s="42"/>
      <c r="D23" s="42"/>
      <c r="E23" s="42"/>
      <c r="F23" s="42"/>
    </row>
    <row r="24" spans="2:6" ht="28">
      <c r="B24" s="1527"/>
      <c r="C24" s="1527"/>
      <c r="D24" s="1527"/>
      <c r="E24" s="1527"/>
      <c r="F24" s="1527"/>
    </row>
    <row r="25" spans="2:6" ht="23">
      <c r="B25" s="1502"/>
      <c r="C25" s="1502"/>
      <c r="D25" s="1502"/>
      <c r="E25" s="1502"/>
      <c r="F25" s="1502"/>
    </row>
    <row r="26" spans="2:6">
      <c r="B26" s="42"/>
      <c r="C26" s="42"/>
      <c r="D26" s="42"/>
      <c r="E26" s="42"/>
      <c r="F26" s="42"/>
    </row>
    <row r="27" spans="2:6">
      <c r="B27" s="42"/>
      <c r="C27" s="42"/>
      <c r="D27" s="42"/>
      <c r="E27" s="42"/>
      <c r="F27" s="42"/>
    </row>
    <row r="28" spans="2:6">
      <c r="B28" s="42"/>
      <c r="C28" s="42"/>
      <c r="D28" s="42"/>
      <c r="E28" s="42"/>
      <c r="F28" s="42"/>
    </row>
    <row r="29" spans="2:6" ht="28">
      <c r="B29" s="1527"/>
      <c r="C29" s="1527"/>
      <c r="D29" s="1527"/>
      <c r="E29" s="1527"/>
      <c r="F29" s="1527"/>
    </row>
    <row r="30" spans="2:6" ht="23">
      <c r="B30" s="1502"/>
      <c r="C30" s="1502"/>
      <c r="D30" s="1502"/>
      <c r="E30" s="1502"/>
      <c r="F30" s="1502"/>
    </row>
    <row r="31" spans="2:6">
      <c r="B31" s="42"/>
      <c r="C31" s="42"/>
      <c r="D31" s="42"/>
      <c r="E31" s="42"/>
      <c r="F31" s="42"/>
    </row>
    <row r="32" spans="2:6">
      <c r="B32" s="42"/>
      <c r="C32" s="42"/>
      <c r="D32" s="42"/>
      <c r="E32" s="42"/>
      <c r="F32" s="42"/>
    </row>
    <row r="33" spans="2:6">
      <c r="B33" s="42"/>
      <c r="C33" s="42"/>
      <c r="D33" s="42"/>
      <c r="E33" s="42"/>
      <c r="F33" s="42"/>
    </row>
    <row r="34" spans="2:6">
      <c r="B34" s="42"/>
      <c r="C34" s="42"/>
      <c r="D34" s="42"/>
      <c r="E34" s="42"/>
      <c r="F34" s="42"/>
    </row>
    <row r="35" spans="2:6">
      <c r="B35" s="42"/>
      <c r="C35" s="42"/>
      <c r="D35" s="42"/>
      <c r="E35" s="42"/>
      <c r="F35" s="42"/>
    </row>
    <row r="36" spans="2:6">
      <c r="B36" s="42"/>
      <c r="C36" s="42"/>
      <c r="D36" s="42"/>
      <c r="E36" s="42"/>
      <c r="F36" s="42"/>
    </row>
    <row r="37" spans="2:6">
      <c r="B37" s="42"/>
      <c r="C37" s="42"/>
      <c r="D37" s="42"/>
      <c r="E37" s="42"/>
      <c r="F37" s="42"/>
    </row>
    <row r="38" spans="2:6">
      <c r="B38" s="42"/>
      <c r="C38" s="42"/>
      <c r="D38" s="42"/>
      <c r="E38" s="42"/>
      <c r="F38" s="42"/>
    </row>
    <row r="39" spans="2:6">
      <c r="B39" s="42"/>
      <c r="C39" s="42"/>
      <c r="D39" s="42"/>
      <c r="E39" s="42"/>
      <c r="F39" s="42"/>
    </row>
  </sheetData>
  <sheetProtection algorithmName="SHA-512" hashValue="TgZw7cKlKT2v8CBxPONNZWarib8DRi3dhkx8Wi06A6GAxSMRuPTg1Mu6yczZn0o5QI/61O4YA3F4QbdOh2952A==" saltValue="VjwfKq3m98TPZ25QWr7K/A==" spinCount="100000" sheet="1" objects="1" scenarios="1"/>
  <mergeCells count="16">
    <mergeCell ref="B14:F16"/>
    <mergeCell ref="B30:F30"/>
    <mergeCell ref="B2:F2"/>
    <mergeCell ref="B3:F3"/>
    <mergeCell ref="B6:F6"/>
    <mergeCell ref="B7:F7"/>
    <mergeCell ref="B8:F8"/>
    <mergeCell ref="B11:F11"/>
    <mergeCell ref="B18:F18"/>
    <mergeCell ref="B21:F21"/>
    <mergeCell ref="B24:F24"/>
    <mergeCell ref="B25:F25"/>
    <mergeCell ref="B29:F29"/>
    <mergeCell ref="B9:F9"/>
    <mergeCell ref="B10:F10"/>
    <mergeCell ref="B13:F13"/>
  </mergeCells>
  <hyperlinks>
    <hyperlink ref="B20" r:id="rId1" tooltip="PIANOo, inkoopproces aanbsesteden" xr:uid="{8BA42898-49E5-664F-BDAF-53EF14B6A489}"/>
    <hyperlink ref="B8" r:id="rId2" xr:uid="{914C6771-BD21-C04B-B5E1-7FD71FCFB4D6}"/>
    <hyperlink ref="B8:F8" r:id="rId3" tooltip="Vijf tips voor laadpunten op bedrijfsterreinen en bij kantoorgebouwen" display="https://www.evconsult.nl/vijf-tips-voor-laadpunten-op-bedrijfsterreinen-en-bij-kantoorgebouwen/" xr:uid="{E0A40AA3-432B-354D-886D-1C88DBDFDEF3}"/>
    <hyperlink ref="B10" r:id="rId4" location="tanklocaties" xr:uid="{00F7ACF1-8364-5148-B0C3-3E169029988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FF232-A139-6F49-B688-29938050984C}">
  <sheetPr codeName="Sheet5">
    <tabColor theme="7"/>
  </sheetPr>
  <dimension ref="A1:AE708"/>
  <sheetViews>
    <sheetView zoomScaleNormal="100" workbookViewId="0">
      <pane xSplit="1" topLeftCell="E1" activePane="topRight" state="frozen"/>
      <selection pane="topRight" sqref="A1:XFD1048576"/>
    </sheetView>
  </sheetViews>
  <sheetFormatPr baseColWidth="10" defaultColWidth="11" defaultRowHeight="16"/>
  <cols>
    <col min="1" max="1" width="73" style="171" customWidth="1"/>
    <col min="2" max="2" width="17" style="171" customWidth="1"/>
    <col min="3" max="3" width="17.5" style="171" customWidth="1"/>
    <col min="4" max="4" width="17.33203125" style="171" customWidth="1"/>
    <col min="5" max="5" width="18.1640625" style="171" customWidth="1"/>
    <col min="6" max="6" width="15.33203125" style="171" customWidth="1"/>
    <col min="7" max="7" width="14.83203125" style="171" customWidth="1"/>
    <col min="8" max="9" width="17.1640625" style="171" customWidth="1"/>
    <col min="10" max="10" width="20" style="171" customWidth="1"/>
    <col min="11" max="11" width="18.1640625" style="171" customWidth="1"/>
    <col min="12" max="12" width="12" style="171" bestFit="1" customWidth="1"/>
    <col min="13" max="13" width="12.33203125" style="171" customWidth="1"/>
    <col min="14" max="14" width="25.33203125" style="171" customWidth="1"/>
    <col min="15" max="15" width="18.6640625" style="171" customWidth="1"/>
    <col min="16" max="17" width="3.1640625" style="171" customWidth="1"/>
    <col min="18" max="19" width="11" style="171"/>
    <col min="20" max="20" width="14.5" style="171" bestFit="1" customWidth="1"/>
    <col min="21" max="22" width="17.1640625" style="171" customWidth="1"/>
    <col min="23" max="23" width="21.33203125" style="171" customWidth="1"/>
    <col min="24" max="24" width="11.33203125" style="171" customWidth="1"/>
    <col min="25" max="25" width="11" style="171"/>
    <col min="26" max="26" width="59.5" style="171" customWidth="1"/>
    <col min="27" max="27" width="11.5" style="171" customWidth="1"/>
    <col min="28" max="29" width="15.33203125" style="171" customWidth="1"/>
    <col min="30" max="30" width="15.5" style="171" customWidth="1"/>
    <col min="31" max="16384" width="11" style="171"/>
  </cols>
  <sheetData>
    <row r="1" spans="1:25">
      <c r="B1" s="540"/>
      <c r="C1" s="171" t="s">
        <v>4262</v>
      </c>
      <c r="R1" s="541"/>
      <c r="S1" s="541"/>
      <c r="T1" s="541"/>
      <c r="U1" s="541"/>
      <c r="V1" s="541"/>
    </row>
    <row r="2" spans="1:25" ht="17" thickBot="1">
      <c r="J2" s="541"/>
      <c r="K2" s="541"/>
      <c r="L2" s="541"/>
      <c r="M2" s="541"/>
    </row>
    <row r="3" spans="1:25" ht="27" customHeight="1">
      <c r="A3" s="344" t="s">
        <v>133</v>
      </c>
      <c r="B3" s="167"/>
      <c r="C3" s="542"/>
      <c r="D3" s="1558" t="s">
        <v>134</v>
      </c>
      <c r="E3" s="1559"/>
      <c r="F3" s="1559"/>
      <c r="G3" s="1559"/>
      <c r="H3" s="1559"/>
      <c r="I3" s="1559"/>
      <c r="J3" s="1560"/>
      <c r="K3" s="1560"/>
      <c r="L3" s="1560"/>
      <c r="M3" s="1560"/>
      <c r="N3" s="1560"/>
      <c r="O3" s="1560"/>
      <c r="P3" s="1560"/>
      <c r="Q3" s="1560"/>
      <c r="R3" s="1560"/>
      <c r="S3" s="1560"/>
      <c r="T3" s="1560"/>
      <c r="U3" s="1560"/>
      <c r="V3" s="1560"/>
      <c r="W3" s="1560"/>
      <c r="X3" s="1561"/>
    </row>
    <row r="4" spans="1:25">
      <c r="A4" s="345"/>
      <c r="B4" s="543" t="s">
        <v>135</v>
      </c>
      <c r="C4" s="544"/>
      <c r="D4" s="1553" t="s">
        <v>136</v>
      </c>
      <c r="E4" s="1554"/>
      <c r="F4" s="1554"/>
      <c r="G4" s="1554"/>
      <c r="H4" s="1554"/>
      <c r="I4" s="545"/>
      <c r="J4" s="546"/>
      <c r="K4" s="1553" t="s">
        <v>137</v>
      </c>
      <c r="L4" s="1553"/>
      <c r="M4" s="1553"/>
      <c r="N4" s="1554"/>
      <c r="O4" s="547"/>
      <c r="P4" s="546"/>
      <c r="Q4" s="546"/>
      <c r="R4" s="1553" t="s">
        <v>138</v>
      </c>
      <c r="S4" s="1553"/>
      <c r="T4" s="1553"/>
      <c r="U4" s="1553"/>
      <c r="V4" s="1553"/>
      <c r="W4" s="1553"/>
      <c r="X4" s="1555"/>
    </row>
    <row r="5" spans="1:25" ht="68">
      <c r="A5" s="345"/>
      <c r="B5" s="548"/>
      <c r="C5" s="549" t="s">
        <v>1383</v>
      </c>
      <c r="D5" s="547" t="s">
        <v>139</v>
      </c>
      <c r="E5" s="547" t="s">
        <v>140</v>
      </c>
      <c r="F5" s="547" t="s">
        <v>1389</v>
      </c>
      <c r="G5" s="547"/>
      <c r="H5" s="547" t="s">
        <v>141</v>
      </c>
      <c r="I5" s="547" t="s">
        <v>142</v>
      </c>
      <c r="J5" s="199"/>
      <c r="K5" s="549" t="s">
        <v>769</v>
      </c>
      <c r="L5" s="547" t="s">
        <v>121</v>
      </c>
      <c r="M5" s="547" t="s">
        <v>77</v>
      </c>
      <c r="N5" s="547" t="s">
        <v>143</v>
      </c>
      <c r="O5" s="547" t="s">
        <v>144</v>
      </c>
      <c r="P5" s="546"/>
      <c r="Q5" s="546"/>
      <c r="R5" s="547" t="s">
        <v>124</v>
      </c>
      <c r="S5" s="549" t="s">
        <v>1563</v>
      </c>
      <c r="T5" s="547" t="s">
        <v>145</v>
      </c>
      <c r="U5" s="549" t="s">
        <v>737</v>
      </c>
      <c r="V5" s="549" t="s">
        <v>738</v>
      </c>
      <c r="W5" s="547" t="s">
        <v>146</v>
      </c>
      <c r="X5" s="550" t="s">
        <v>106</v>
      </c>
    </row>
    <row r="6" spans="1:25">
      <c r="A6" s="345"/>
      <c r="B6" s="548"/>
      <c r="C6" s="545" t="s">
        <v>147</v>
      </c>
      <c r="D6" s="545" t="s">
        <v>147</v>
      </c>
      <c r="E6" s="545" t="s">
        <v>147</v>
      </c>
      <c r="F6" s="545" t="s">
        <v>148</v>
      </c>
      <c r="G6" s="545"/>
      <c r="H6" s="545" t="s">
        <v>149</v>
      </c>
      <c r="I6" s="545" t="s">
        <v>149</v>
      </c>
      <c r="J6" s="199"/>
      <c r="K6" s="545" t="s">
        <v>150</v>
      </c>
      <c r="L6" s="545" t="s">
        <v>151</v>
      </c>
      <c r="M6" s="545" t="s">
        <v>151</v>
      </c>
      <c r="N6" s="545" t="s">
        <v>152</v>
      </c>
      <c r="O6" s="545" t="s">
        <v>151</v>
      </c>
      <c r="P6" s="546"/>
      <c r="Q6" s="546"/>
      <c r="R6" s="545" t="s">
        <v>1562</v>
      </c>
      <c r="S6" s="545" t="s">
        <v>153</v>
      </c>
      <c r="T6" s="545" t="s">
        <v>154</v>
      </c>
      <c r="U6" s="545" t="s">
        <v>155</v>
      </c>
      <c r="V6" s="545" t="s">
        <v>155</v>
      </c>
      <c r="W6" s="545" t="s">
        <v>156</v>
      </c>
      <c r="X6" s="551" t="s">
        <v>157</v>
      </c>
      <c r="Y6" s="552" t="s">
        <v>739</v>
      </c>
    </row>
    <row r="7" spans="1:25">
      <c r="A7" s="346" t="s">
        <v>7</v>
      </c>
      <c r="B7" s="553" t="s">
        <v>158</v>
      </c>
      <c r="C7" s="554"/>
      <c r="D7" s="554"/>
      <c r="E7" s="554"/>
      <c r="F7" s="555"/>
      <c r="G7" s="555"/>
      <c r="H7" s="556"/>
      <c r="I7" s="556"/>
      <c r="J7" s="556"/>
      <c r="K7" s="557"/>
      <c r="L7" s="556"/>
      <c r="M7" s="558"/>
      <c r="N7" s="558"/>
      <c r="O7" s="559"/>
      <c r="P7" s="559"/>
      <c r="Q7" s="559"/>
      <c r="R7" s="556"/>
      <c r="S7" s="556"/>
      <c r="T7" s="556"/>
      <c r="U7" s="560"/>
      <c r="V7" s="560"/>
      <c r="W7" s="560"/>
      <c r="X7" s="561"/>
    </row>
    <row r="8" spans="1:25">
      <c r="A8" s="346" t="s">
        <v>12</v>
      </c>
      <c r="B8" s="562"/>
      <c r="C8" s="563">
        <f t="shared" ref="C8:C16" si="0">F8*10*I8</f>
        <v>135.83775</v>
      </c>
      <c r="D8" s="563">
        <f>gCO2_km_die_B</f>
        <v>137.75</v>
      </c>
      <c r="E8" s="563">
        <f t="shared" ref="E8:E15" si="1">F8*H8*10</f>
        <v>168.36375000000001</v>
      </c>
      <c r="F8" s="564">
        <f>verbr_die_B</f>
        <v>5.2125000000000004</v>
      </c>
      <c r="G8" s="564"/>
      <c r="H8" s="199">
        <f t="shared" ref="H8:H29" si="2">Efac_die_WTW</f>
        <v>3.23</v>
      </c>
      <c r="I8" s="565">
        <f t="shared" ref="I8:I29" si="3">Efac_die_TTW</f>
        <v>2.6059999999999999</v>
      </c>
      <c r="J8" s="199"/>
      <c r="K8" s="566">
        <f>cat_prijs_net_dies_B</f>
        <v>13301.25</v>
      </c>
      <c r="L8" s="566">
        <f>IF(BPM_belasting="ja",((D8-$A$298)*$H$298+$F$298)+(D8-$A$324)*$E$324,0)</f>
        <v>7672.6049999999996</v>
      </c>
      <c r="M8" s="567">
        <f t="shared" ref="M8:M13" si="4">$B$227*K8</f>
        <v>2793.2624999999998</v>
      </c>
      <c r="N8" s="567">
        <f t="shared" ref="N8:N16" si="5">K8+L8+M8</f>
        <v>23767.1175</v>
      </c>
      <c r="O8" s="568">
        <v>0</v>
      </c>
      <c r="P8" s="568"/>
      <c r="Q8" s="568"/>
      <c r="R8" s="567">
        <f>IF(MRB_belasting="ja",MRB_die_B*12*looptijd,0)</f>
        <v>5320</v>
      </c>
      <c r="S8" s="567">
        <f t="shared" ref="S8:S16" si="6">$R8/(12*looptijd)</f>
        <v>88.666666666666671</v>
      </c>
      <c r="T8" s="565">
        <f t="shared" ref="T8:T29" si="7">prijs_die</f>
        <v>1.1301818181818182</v>
      </c>
      <c r="U8" s="569">
        <f>$C$477</f>
        <v>3.1E-2</v>
      </c>
      <c r="V8" s="569">
        <f>$C$546</f>
        <v>4.8000000000000001E-2</v>
      </c>
      <c r="W8" s="570">
        <f t="shared" ref="W8:W29" si="8">Rest_perc</f>
        <v>0.3</v>
      </c>
      <c r="X8" s="571">
        <f t="shared" ref="X8:X16" si="9">(_verzekering_vast+_verzekering_variabel*K8)/12</f>
        <v>27.751041666666666</v>
      </c>
      <c r="Y8" s="572">
        <f t="shared" ref="Y8:Y13" si="10">V8/U8</f>
        <v>1.5483870967741935</v>
      </c>
    </row>
    <row r="9" spans="1:25">
      <c r="A9" s="346" t="s">
        <v>15</v>
      </c>
      <c r="B9" s="562"/>
      <c r="C9" s="563">
        <f t="shared" si="0"/>
        <v>141.37549999999999</v>
      </c>
      <c r="D9" s="563">
        <f>gCO2_km_die_C</f>
        <v>139.625</v>
      </c>
      <c r="E9" s="563">
        <f t="shared" si="1"/>
        <v>175.22749999999999</v>
      </c>
      <c r="F9" s="564">
        <f>verbr_die_C</f>
        <v>5.4249999999999998</v>
      </c>
      <c r="G9" s="564"/>
      <c r="H9" s="199">
        <f t="shared" si="2"/>
        <v>3.23</v>
      </c>
      <c r="I9" s="565">
        <f t="shared" si="3"/>
        <v>2.6059999999999999</v>
      </c>
      <c r="J9" s="199"/>
      <c r="K9" s="566">
        <f>cat_prijs_net_dies_C</f>
        <v>17984.25</v>
      </c>
      <c r="L9" s="566">
        <f>IF(BPM_belasting="ja",((D9-$A$299)*$H$299+$F$299)+(D9-$A$324)*$E$324,0)</f>
        <v>9443.1424999999999</v>
      </c>
      <c r="M9" s="567">
        <f t="shared" si="4"/>
        <v>3776.6924999999997</v>
      </c>
      <c r="N9" s="567">
        <f t="shared" si="5"/>
        <v>31204.085000000003</v>
      </c>
      <c r="O9" s="568">
        <v>0</v>
      </c>
      <c r="P9" s="568"/>
      <c r="Q9" s="568"/>
      <c r="R9" s="567">
        <f>IF(MRB_belasting="ja",MRB_die_C*12*looptijd,0)</f>
        <v>6640</v>
      </c>
      <c r="S9" s="567">
        <f t="shared" si="6"/>
        <v>110.66666666666667</v>
      </c>
      <c r="T9" s="565">
        <f t="shared" si="7"/>
        <v>1.1301818181818182</v>
      </c>
      <c r="U9" s="569">
        <f>$D$477</f>
        <v>3.9E-2</v>
      </c>
      <c r="V9" s="569">
        <f>$D$546</f>
        <v>5.6999999999999995E-2</v>
      </c>
      <c r="W9" s="570">
        <f t="shared" si="8"/>
        <v>0.3</v>
      </c>
      <c r="X9" s="571">
        <f t="shared" si="9"/>
        <v>31.653541666666666</v>
      </c>
      <c r="Y9" s="572">
        <f t="shared" si="10"/>
        <v>1.4615384615384615</v>
      </c>
    </row>
    <row r="10" spans="1:25">
      <c r="A10" s="346" t="s">
        <v>18</v>
      </c>
      <c r="B10" s="562"/>
      <c r="C10" s="563">
        <f t="shared" si="0"/>
        <v>143.98149999999998</v>
      </c>
      <c r="D10" s="563">
        <f>gCO2_km_die_D</f>
        <v>143.625</v>
      </c>
      <c r="E10" s="563">
        <f t="shared" si="1"/>
        <v>178.45750000000004</v>
      </c>
      <c r="F10" s="564">
        <f>verbr_die_D</f>
        <v>5.5250000000000004</v>
      </c>
      <c r="G10" s="564"/>
      <c r="H10" s="199">
        <f t="shared" si="2"/>
        <v>3.23</v>
      </c>
      <c r="I10" s="565">
        <f t="shared" si="3"/>
        <v>2.6059999999999999</v>
      </c>
      <c r="J10" s="199"/>
      <c r="K10" s="566">
        <f>cat_prijs_net_dies_D</f>
        <v>29155.75</v>
      </c>
      <c r="L10" s="566">
        <f>IF(BPM_belasting="ja",((D10-$A$299)*$H$299+$F$299)+(D10-$A$324)*$E$324,0)</f>
        <v>10254.422500000001</v>
      </c>
      <c r="M10" s="567">
        <f t="shared" si="4"/>
        <v>6122.7074999999995</v>
      </c>
      <c r="N10" s="567">
        <f t="shared" si="5"/>
        <v>45532.88</v>
      </c>
      <c r="O10" s="568">
        <v>0</v>
      </c>
      <c r="P10" s="568"/>
      <c r="Q10" s="568"/>
      <c r="R10" s="567">
        <f>IF(MRB_belasting="ja",MRB_die_D*12*looptijd,0)</f>
        <v>8040</v>
      </c>
      <c r="S10" s="567">
        <f t="shared" si="6"/>
        <v>134</v>
      </c>
      <c r="T10" s="565">
        <f t="shared" si="7"/>
        <v>1.1301818181818182</v>
      </c>
      <c r="U10" s="569">
        <f>$E$477</f>
        <v>4.8000000000000001E-2</v>
      </c>
      <c r="V10" s="569">
        <f>$E$546</f>
        <v>5.9000000000000004E-2</v>
      </c>
      <c r="W10" s="570">
        <f t="shared" si="8"/>
        <v>0.3</v>
      </c>
      <c r="X10" s="571">
        <f t="shared" si="9"/>
        <v>40.963124999999998</v>
      </c>
      <c r="Y10" s="572">
        <f t="shared" si="10"/>
        <v>1.2291666666666667</v>
      </c>
    </row>
    <row r="11" spans="1:25">
      <c r="A11" s="346" t="s">
        <v>21</v>
      </c>
      <c r="B11" s="562"/>
      <c r="C11" s="563">
        <f t="shared" si="0"/>
        <v>163.5265</v>
      </c>
      <c r="D11" s="563">
        <f>gCO2_km_die_E</f>
        <v>164.125</v>
      </c>
      <c r="E11" s="563">
        <f t="shared" si="1"/>
        <v>202.6825</v>
      </c>
      <c r="F11" s="564">
        <f>verbr_die_E</f>
        <v>6.2750000000000004</v>
      </c>
      <c r="G11" s="564"/>
      <c r="H11" s="199">
        <f t="shared" si="2"/>
        <v>3.23</v>
      </c>
      <c r="I11" s="565">
        <f t="shared" si="3"/>
        <v>2.6059999999999999</v>
      </c>
      <c r="J11" s="199"/>
      <c r="K11" s="566">
        <f>cat_prijs_net_dies_E</f>
        <v>41355</v>
      </c>
      <c r="L11" s="566">
        <f>IF(BPM_belasting="ja",((D11-$A$300)*$H$300+$F$300)+(D11-$A$324)*$E$324,0)</f>
        <v>14502.232499999998</v>
      </c>
      <c r="M11" s="567">
        <f t="shared" si="4"/>
        <v>8684.5499999999993</v>
      </c>
      <c r="N11" s="567">
        <f t="shared" si="5"/>
        <v>64541.782500000001</v>
      </c>
      <c r="O11" s="568">
        <v>0</v>
      </c>
      <c r="P11" s="568"/>
      <c r="Q11" s="568"/>
      <c r="R11" s="567">
        <f>IF(MRB_belasting="ja",MRB_die_E*12*looptijd,0)</f>
        <v>8880</v>
      </c>
      <c r="S11" s="567">
        <f t="shared" si="6"/>
        <v>148</v>
      </c>
      <c r="T11" s="565">
        <f t="shared" si="7"/>
        <v>1.1301818181818182</v>
      </c>
      <c r="U11" s="569">
        <f>$B$481</f>
        <v>0.05</v>
      </c>
      <c r="V11" s="573">
        <f>$B$555</f>
        <v>0.08</v>
      </c>
      <c r="W11" s="570">
        <f t="shared" si="8"/>
        <v>0.3</v>
      </c>
      <c r="X11" s="571">
        <f t="shared" si="9"/>
        <v>51.129166666666663</v>
      </c>
      <c r="Y11" s="572">
        <f t="shared" si="10"/>
        <v>1.5999999999999999</v>
      </c>
    </row>
    <row r="12" spans="1:25">
      <c r="A12" s="346" t="s">
        <v>25</v>
      </c>
      <c r="B12" s="562"/>
      <c r="C12" s="563">
        <f t="shared" si="0"/>
        <v>187.63200000000001</v>
      </c>
      <c r="D12" s="563">
        <f>gCO2_km_die_F</f>
        <v>184.5</v>
      </c>
      <c r="E12" s="563">
        <f t="shared" si="1"/>
        <v>232.56</v>
      </c>
      <c r="F12" s="564">
        <f>verbr_die_F</f>
        <v>7.2</v>
      </c>
      <c r="G12" s="564"/>
      <c r="H12" s="199">
        <f t="shared" si="2"/>
        <v>3.23</v>
      </c>
      <c r="I12" s="565">
        <f t="shared" si="3"/>
        <v>2.6059999999999999</v>
      </c>
      <c r="J12" s="199"/>
      <c r="K12" s="566">
        <f>cat_prijs_net_dies_F</f>
        <v>80581.75</v>
      </c>
      <c r="L12" s="566">
        <f>IF(BPM_belasting="ja",((D12-$A$301)*$H$301+$F$301)+(D12-$A$324)*$E$324,0)</f>
        <v>21386.69</v>
      </c>
      <c r="M12" s="567">
        <f t="shared" si="4"/>
        <v>16922.1675</v>
      </c>
      <c r="N12" s="567">
        <f t="shared" si="5"/>
        <v>118890.6075</v>
      </c>
      <c r="O12" s="568">
        <v>0</v>
      </c>
      <c r="P12" s="568"/>
      <c r="Q12" s="568"/>
      <c r="R12" s="567">
        <f>IF(MRB_belasting="ja",MRB_die_F*12*looptijd,0)</f>
        <v>11000</v>
      </c>
      <c r="S12" s="567">
        <f t="shared" si="6"/>
        <v>183.33333333333334</v>
      </c>
      <c r="T12" s="565">
        <f t="shared" si="7"/>
        <v>1.1301818181818182</v>
      </c>
      <c r="U12" s="569">
        <f>$C$481</f>
        <v>5.6399999999999992E-2</v>
      </c>
      <c r="V12" s="569">
        <f>$C$555</f>
        <v>8.7300000000000003E-2</v>
      </c>
      <c r="W12" s="570">
        <f t="shared" si="8"/>
        <v>0.3</v>
      </c>
      <c r="X12" s="571">
        <f t="shared" si="9"/>
        <v>83.818124999999995</v>
      </c>
      <c r="Y12" s="572">
        <f t="shared" si="10"/>
        <v>1.5478723404255321</v>
      </c>
    </row>
    <row r="13" spans="1:25">
      <c r="A13" s="346" t="s">
        <v>159</v>
      </c>
      <c r="B13" s="562"/>
      <c r="C13" s="563">
        <f t="shared" si="0"/>
        <v>160.9205</v>
      </c>
      <c r="D13" s="563">
        <f>gCO2_km_die_J</f>
        <v>161</v>
      </c>
      <c r="E13" s="563">
        <f t="shared" si="1"/>
        <v>199.45250000000001</v>
      </c>
      <c r="F13" s="564">
        <f>verbr_die_J</f>
        <v>6.1750000000000007</v>
      </c>
      <c r="G13" s="564"/>
      <c r="H13" s="199">
        <f t="shared" si="2"/>
        <v>3.23</v>
      </c>
      <c r="I13" s="565">
        <f t="shared" si="3"/>
        <v>2.6059999999999999</v>
      </c>
      <c r="J13" s="199"/>
      <c r="K13" s="566">
        <f>cat_prijs_net_dies_J</f>
        <v>16927</v>
      </c>
      <c r="L13" s="566">
        <f>IF(BPM_belasting="ja",((D13-$A$299)*$H$299+$F$299)+(D13-$A$324)*$E$324,0)</f>
        <v>13778.419999999998</v>
      </c>
      <c r="M13" s="567">
        <f t="shared" si="4"/>
        <v>3554.67</v>
      </c>
      <c r="N13" s="567">
        <f t="shared" si="5"/>
        <v>34260.089999999997</v>
      </c>
      <c r="O13" s="568">
        <v>0</v>
      </c>
      <c r="P13" s="568"/>
      <c r="Q13" s="568"/>
      <c r="R13" s="567">
        <f>IF(MRB_belasting="ja",MRB_die_J*12*looptijd,0)</f>
        <v>6040</v>
      </c>
      <c r="S13" s="567">
        <f t="shared" si="6"/>
        <v>100.66666666666667</v>
      </c>
      <c r="T13" s="565">
        <f t="shared" si="7"/>
        <v>1.1301818181818182</v>
      </c>
      <c r="U13" s="569">
        <f>$D$481</f>
        <v>3.7999999999999999E-2</v>
      </c>
      <c r="V13" s="569">
        <f>$D$555</f>
        <v>5.1999999999999998E-2</v>
      </c>
      <c r="W13" s="570">
        <f t="shared" si="8"/>
        <v>0.3</v>
      </c>
      <c r="X13" s="571">
        <f t="shared" si="9"/>
        <v>30.772499999999997</v>
      </c>
      <c r="Y13" s="572">
        <f t="shared" si="10"/>
        <v>1.368421052631579</v>
      </c>
    </row>
    <row r="14" spans="1:25" hidden="1">
      <c r="A14" s="346" t="s">
        <v>896</v>
      </c>
      <c r="B14" s="562"/>
      <c r="C14" s="563"/>
      <c r="D14" s="563"/>
      <c r="E14" s="563"/>
      <c r="F14" s="564"/>
      <c r="G14" s="564"/>
      <c r="H14" s="199"/>
      <c r="I14" s="565"/>
      <c r="J14" s="199"/>
      <c r="K14" s="566"/>
      <c r="L14" s="566"/>
      <c r="M14" s="567"/>
      <c r="N14" s="567"/>
      <c r="O14" s="568"/>
      <c r="P14" s="568"/>
      <c r="Q14" s="568"/>
      <c r="R14" s="567"/>
      <c r="S14" s="567">
        <f t="shared" si="6"/>
        <v>0</v>
      </c>
      <c r="T14" s="565"/>
      <c r="U14" s="569"/>
      <c r="V14" s="569"/>
      <c r="W14" s="570"/>
      <c r="X14" s="571">
        <f t="shared" si="9"/>
        <v>16.666666666666668</v>
      </c>
      <c r="Y14" s="572"/>
    </row>
    <row r="15" spans="1:25">
      <c r="A15" s="346" t="s">
        <v>28</v>
      </c>
      <c r="B15" s="562"/>
      <c r="C15" s="563">
        <f t="shared" si="0"/>
        <v>153.75399999999999</v>
      </c>
      <c r="D15" s="563">
        <f>gCO2_km_die_L</f>
        <v>156.25</v>
      </c>
      <c r="E15" s="563">
        <f t="shared" si="1"/>
        <v>190.57000000000002</v>
      </c>
      <c r="F15" s="564">
        <f>verbr_die_L</f>
        <v>5.9</v>
      </c>
      <c r="G15" s="564"/>
      <c r="H15" s="199">
        <f t="shared" si="2"/>
        <v>3.23</v>
      </c>
      <c r="I15" s="565">
        <f t="shared" si="3"/>
        <v>2.6059999999999999</v>
      </c>
      <c r="J15" s="199"/>
      <c r="K15" s="566">
        <f>cat_prijs_net_dies_L</f>
        <v>21277.75</v>
      </c>
      <c r="L15" s="566">
        <f>IF(BPM_belasting="ja",((D15-$A$299)*$H$299+$F$299)+(D15-$A$324)*$E$324,0)</f>
        <v>12815.025</v>
      </c>
      <c r="M15" s="567">
        <f>$B$227*K15</f>
        <v>4468.3274999999994</v>
      </c>
      <c r="N15" s="567">
        <f t="shared" si="5"/>
        <v>38561.102500000001</v>
      </c>
      <c r="O15" s="568">
        <v>0</v>
      </c>
      <c r="P15" s="568"/>
      <c r="Q15" s="568"/>
      <c r="R15" s="567">
        <f>IF(MRB_belasting="ja",MRB_die_L*12*looptijd,0)</f>
        <v>7460</v>
      </c>
      <c r="S15" s="567">
        <f t="shared" si="6"/>
        <v>124.33333333333333</v>
      </c>
      <c r="T15" s="565">
        <f t="shared" si="7"/>
        <v>1.1301818181818182</v>
      </c>
      <c r="U15" s="569">
        <f>$E$481</f>
        <v>0.04</v>
      </c>
      <c r="V15" s="569">
        <f>$F$555</f>
        <v>5.6000000000000001E-2</v>
      </c>
      <c r="W15" s="570">
        <f t="shared" si="8"/>
        <v>0.3</v>
      </c>
      <c r="X15" s="571">
        <f t="shared" si="9"/>
        <v>34.398125</v>
      </c>
      <c r="Y15" s="572">
        <f>V15/U15</f>
        <v>1.4</v>
      </c>
    </row>
    <row r="16" spans="1:25">
      <c r="A16" s="346" t="s">
        <v>32</v>
      </c>
      <c r="B16" s="562"/>
      <c r="C16" s="563">
        <f t="shared" si="0"/>
        <v>233.23699999999999</v>
      </c>
      <c r="D16" s="563">
        <f>gCO2_km_die_M</f>
        <v>220.5</v>
      </c>
      <c r="E16" s="563">
        <f>F16*H16*10</f>
        <v>289.08499999999998</v>
      </c>
      <c r="F16" s="564">
        <f>verbr_die_M</f>
        <v>8.9499999999999993</v>
      </c>
      <c r="G16" s="564"/>
      <c r="H16" s="199">
        <f t="shared" si="2"/>
        <v>3.23</v>
      </c>
      <c r="I16" s="565">
        <f t="shared" si="3"/>
        <v>2.6059999999999999</v>
      </c>
      <c r="J16" s="199"/>
      <c r="K16" s="566">
        <f>cat_prijs_net_dies_M</f>
        <v>52292</v>
      </c>
      <c r="L16" s="566">
        <f>IF(BPM_belasting="ja",((D16-$A$301)*$H$301+$F$301)+(D16-$A$324)*$E$324,0)</f>
        <v>38912.21</v>
      </c>
      <c r="M16" s="567">
        <f>$B$227*K16</f>
        <v>10981.32</v>
      </c>
      <c r="N16" s="567">
        <f t="shared" si="5"/>
        <v>102185.53</v>
      </c>
      <c r="O16" s="568">
        <v>0</v>
      </c>
      <c r="P16" s="565"/>
      <c r="Q16" s="565"/>
      <c r="R16" s="567">
        <f>IF(MRB_belasting="ja",MRB_die_M*12*looptijd,0)</f>
        <v>11720</v>
      </c>
      <c r="S16" s="567">
        <f t="shared" si="6"/>
        <v>195.33333333333334</v>
      </c>
      <c r="T16" s="565">
        <f t="shared" si="7"/>
        <v>1.1301818181818182</v>
      </c>
      <c r="U16" s="569">
        <f>$F$481</f>
        <v>6.2E-2</v>
      </c>
      <c r="V16" s="569">
        <f>$H$555</f>
        <v>8.1000000000000003E-2</v>
      </c>
      <c r="W16" s="570">
        <f t="shared" si="8"/>
        <v>0.3</v>
      </c>
      <c r="X16" s="571">
        <f t="shared" si="9"/>
        <v>60.243333333333332</v>
      </c>
      <c r="Y16" s="572">
        <f>V16/U16</f>
        <v>1.3064516129032258</v>
      </c>
    </row>
    <row r="17" spans="1:27">
      <c r="A17" s="347"/>
      <c r="B17" s="574"/>
      <c r="C17" s="575"/>
      <c r="D17" s="575"/>
      <c r="E17" s="575"/>
      <c r="F17" s="576"/>
      <c r="G17" s="576"/>
      <c r="H17" s="577"/>
      <c r="I17" s="578"/>
      <c r="J17" s="577"/>
      <c r="K17" s="579"/>
      <c r="L17" s="579"/>
      <c r="M17" s="580"/>
      <c r="N17" s="580"/>
      <c r="O17" s="581"/>
      <c r="P17" s="578"/>
      <c r="Q17" s="578"/>
      <c r="R17" s="580"/>
      <c r="S17" s="580"/>
      <c r="T17" s="578"/>
      <c r="U17" s="582"/>
      <c r="V17" s="582"/>
      <c r="W17" s="583"/>
      <c r="X17" s="584"/>
      <c r="Y17" s="572"/>
    </row>
    <row r="18" spans="1:27">
      <c r="A18" s="346" t="s">
        <v>741</v>
      </c>
      <c r="B18" s="562"/>
      <c r="C18" s="585">
        <f>F18*10*I18</f>
        <v>158.31449999999998</v>
      </c>
      <c r="D18" s="563">
        <f>gCO2_km_die_kleine_taxibus</f>
        <v>161</v>
      </c>
      <c r="E18" s="563">
        <f>F18*H18*10</f>
        <v>196.22250000000003</v>
      </c>
      <c r="F18" s="564">
        <f>verbr_die_kleine_taxibus</f>
        <v>6.0750000000000002</v>
      </c>
      <c r="G18" s="564"/>
      <c r="H18" s="199">
        <f t="shared" si="2"/>
        <v>3.23</v>
      </c>
      <c r="I18" s="565">
        <f t="shared" si="3"/>
        <v>2.6059999999999999</v>
      </c>
      <c r="J18" s="199"/>
      <c r="K18" s="566">
        <f>cat_prijs_net_dies_kleine_taxibus</f>
        <v>17391.5</v>
      </c>
      <c r="L18" s="566">
        <f>IF(BPM_belasting="ja",((D18-$A$299)*$H$299+$F$299)+(D18-$A$324)*$E$324,0)</f>
        <v>13778.419999999998</v>
      </c>
      <c r="M18" s="567">
        <f>$B$227*K18</f>
        <v>3652.2149999999997</v>
      </c>
      <c r="N18" s="567">
        <f>K18+L18+M18</f>
        <v>34822.134999999995</v>
      </c>
      <c r="O18" s="568">
        <v>0</v>
      </c>
      <c r="P18" s="568"/>
      <c r="Q18" s="568"/>
      <c r="R18" s="567">
        <f>IF(MRB_belasting="ja",MRB_die_kleine_taxibus*12*looptijd,0)</f>
        <v>7000</v>
      </c>
      <c r="S18" s="567">
        <f>$R18/(12*looptijd)</f>
        <v>116.66666666666667</v>
      </c>
      <c r="T18" s="565">
        <f t="shared" si="7"/>
        <v>1.1301818181818182</v>
      </c>
      <c r="U18" s="569">
        <f>$E$485</f>
        <v>3.1E-2</v>
      </c>
      <c r="V18" s="569">
        <f>$E$564</f>
        <v>5.4000000000000006E-2</v>
      </c>
      <c r="W18" s="570">
        <f t="shared" si="8"/>
        <v>0.3</v>
      </c>
      <c r="X18" s="571">
        <f>(_verzekering_vast+_verzekering_variabel*K18)/12</f>
        <v>31.15958333333333</v>
      </c>
      <c r="Y18" s="572">
        <f t="shared" ref="Y18:Y29" si="11">V18/U18</f>
        <v>1.741935483870968</v>
      </c>
      <c r="Z18" s="171" t="s">
        <v>844</v>
      </c>
    </row>
    <row r="19" spans="1:27">
      <c r="A19" s="346" t="s">
        <v>850</v>
      </c>
      <c r="B19" s="562"/>
      <c r="C19" s="585">
        <f>F19*10*I19</f>
        <v>197.40449999999998</v>
      </c>
      <c r="D19" s="563">
        <f>gCO2_km_die_middel_taxibus</f>
        <v>193.83333333333334</v>
      </c>
      <c r="E19" s="563">
        <f>F19*H19*10</f>
        <v>244.67250000000001</v>
      </c>
      <c r="F19" s="564">
        <f>verbr_die_middel_taxibus</f>
        <v>7.5750000000000002</v>
      </c>
      <c r="G19" s="564"/>
      <c r="H19" s="199">
        <f t="shared" si="2"/>
        <v>3.23</v>
      </c>
      <c r="I19" s="565">
        <f t="shared" si="3"/>
        <v>2.6059999999999999</v>
      </c>
      <c r="J19" s="199"/>
      <c r="K19" s="566">
        <f>cat_prijs_net_die_middel_taxibus</f>
        <v>29680</v>
      </c>
      <c r="L19" s="566">
        <f>IF(BPM_belasting="ja",((D19-$A$301)*$H$301+$F$301)+(D19-$A$324)*$E$324,0)</f>
        <v>25930.343333333338</v>
      </c>
      <c r="M19" s="567">
        <f>$B$227*K19</f>
        <v>6232.8</v>
      </c>
      <c r="N19" s="567">
        <f>K19+L19+M19</f>
        <v>61843.143333333341</v>
      </c>
      <c r="O19" s="568">
        <v>0</v>
      </c>
      <c r="P19" s="568"/>
      <c r="Q19" s="568"/>
      <c r="R19" s="567">
        <f>IF(MRB_belasting="ja",MRB_die_middel_taxibus*12*looptijd,0)</f>
        <v>11460</v>
      </c>
      <c r="S19" s="567">
        <f>$R19/(12*looptijd)</f>
        <v>191</v>
      </c>
      <c r="T19" s="565">
        <f t="shared" si="7"/>
        <v>1.1301818181818182</v>
      </c>
      <c r="U19" s="569">
        <f>$F$485</f>
        <v>4.4999999999999998E-2</v>
      </c>
      <c r="V19" s="573">
        <f>$F$564</f>
        <v>6.7000000000000004E-2</v>
      </c>
      <c r="W19" s="570">
        <f t="shared" si="8"/>
        <v>0.3</v>
      </c>
      <c r="X19" s="571">
        <f>(_verzekering_vast+_verzekering_variabel*K19)/12</f>
        <v>41.4</v>
      </c>
      <c r="Y19" s="572">
        <f t="shared" si="11"/>
        <v>1.4888888888888889</v>
      </c>
      <c r="Z19" s="171" t="s">
        <v>1435</v>
      </c>
    </row>
    <row r="20" spans="1:27">
      <c r="A20" s="346" t="s">
        <v>742</v>
      </c>
      <c r="B20" s="562"/>
      <c r="C20" s="585">
        <f>F20*10*I20</f>
        <v>224.11599999999999</v>
      </c>
      <c r="D20" s="563">
        <f>gCO2_km_die_groot_taxibus</f>
        <v>224.25</v>
      </c>
      <c r="E20" s="563">
        <f t="shared" ref="E20:E21" si="12">F20*H20*10</f>
        <v>277.77999999999997</v>
      </c>
      <c r="F20" s="564">
        <f>verbr_die_groot_taxibus</f>
        <v>8.6</v>
      </c>
      <c r="G20" s="564"/>
      <c r="H20" s="199">
        <f t="shared" si="2"/>
        <v>3.23</v>
      </c>
      <c r="I20" s="565">
        <f t="shared" si="3"/>
        <v>2.6059999999999999</v>
      </c>
      <c r="J20" s="199"/>
      <c r="K20" s="566">
        <f>cat_prijs_net_die_groot_taxibus</f>
        <v>37500</v>
      </c>
      <c r="L20" s="566">
        <f>IF(BPM_belasting="ja",((D20-$A$301)*$H$301+$F$301)+(D20-$A$324)*$E$324,0)</f>
        <v>40737.785000000003</v>
      </c>
      <c r="M20" s="567">
        <f>$B$227*K20</f>
        <v>7875</v>
      </c>
      <c r="N20" s="567">
        <f>K20+L20+M20</f>
        <v>86112.785000000003</v>
      </c>
      <c r="O20" s="568">
        <v>0</v>
      </c>
      <c r="P20" s="568"/>
      <c r="Q20" s="568"/>
      <c r="R20" s="567">
        <f>IF(MRB_belasting="ja",MRB_die_groot_taxibus*12*looptijd,0)</f>
        <v>12940</v>
      </c>
      <c r="S20" s="567">
        <f>$R20/(12*looptijd)</f>
        <v>215.66666666666666</v>
      </c>
      <c r="T20" s="565">
        <f t="shared" si="7"/>
        <v>1.1301818181818182</v>
      </c>
      <c r="U20" s="569">
        <f>$H$485</f>
        <v>0.06</v>
      </c>
      <c r="V20" s="573">
        <f>$H$564</f>
        <v>8.1000000000000003E-2</v>
      </c>
      <c r="W20" s="570">
        <f t="shared" si="8"/>
        <v>0.3</v>
      </c>
      <c r="X20" s="571">
        <f>(_verzekering_vast+_verzekering_variabel*K20)/12</f>
        <v>47.916666666666664</v>
      </c>
      <c r="Y20" s="572">
        <f t="shared" si="11"/>
        <v>1.35</v>
      </c>
    </row>
    <row r="21" spans="1:27">
      <c r="A21" s="346" t="s">
        <v>714</v>
      </c>
      <c r="B21" s="562"/>
      <c r="C21" s="585">
        <f>F21*10*I21</f>
        <v>239.75200000000004</v>
      </c>
      <c r="D21" s="563">
        <f>gCO2_km_die_rolstoelbus</f>
        <v>231.7101372892098</v>
      </c>
      <c r="E21" s="563">
        <f t="shared" si="12"/>
        <v>297.16000000000003</v>
      </c>
      <c r="F21" s="564">
        <f>verbr_die_rolstoelbus</f>
        <v>9.2000000000000011</v>
      </c>
      <c r="G21" s="564"/>
      <c r="H21" s="199">
        <f t="shared" si="2"/>
        <v>3.23</v>
      </c>
      <c r="I21" s="565">
        <f t="shared" si="3"/>
        <v>2.6059999999999999</v>
      </c>
      <c r="J21" s="199"/>
      <c r="K21" s="566">
        <f>cat_prijs_net_dies_rolstoelbus</f>
        <v>48500</v>
      </c>
      <c r="L21" s="566">
        <f>IF(BPM_belasting="ja",((D21-$A$301)*$H$301+$F$301)+(D21-$A$324)*$E$324,0)</f>
        <v>44369.529035133113</v>
      </c>
      <c r="M21" s="567">
        <f>$B$227*K21</f>
        <v>10185</v>
      </c>
      <c r="N21" s="567">
        <f>K21+L21+M21</f>
        <v>103054.52903513311</v>
      </c>
      <c r="O21" s="568">
        <v>0</v>
      </c>
      <c r="P21" s="568"/>
      <c r="Q21" s="568"/>
      <c r="R21" s="567">
        <f>IF(MRB_belasting="ja",MRB_die_rolstoelbus*12*looptijd,0)</f>
        <v>7900</v>
      </c>
      <c r="S21" s="567">
        <f>$R21/(12*looptijd)</f>
        <v>131.66666666666666</v>
      </c>
      <c r="T21" s="565">
        <f t="shared" si="7"/>
        <v>1.1301818181818182</v>
      </c>
      <c r="U21" s="569">
        <f>$I$485</f>
        <v>0.06</v>
      </c>
      <c r="V21" s="569">
        <f>$I$559</f>
        <v>8.1000000000000003E-2</v>
      </c>
      <c r="W21" s="570">
        <f t="shared" si="8"/>
        <v>0.3</v>
      </c>
      <c r="X21" s="571">
        <f>(_verzekering_vast+_verzekering_variabel*K21)/12</f>
        <v>57.083333333333336</v>
      </c>
      <c r="Y21" s="572">
        <f t="shared" si="11"/>
        <v>1.35</v>
      </c>
    </row>
    <row r="22" spans="1:27">
      <c r="A22" s="347"/>
      <c r="B22" s="574"/>
      <c r="C22" s="586"/>
      <c r="D22" s="575"/>
      <c r="E22" s="575"/>
      <c r="F22" s="576"/>
      <c r="G22" s="576"/>
      <c r="H22" s="577"/>
      <c r="I22" s="578"/>
      <c r="J22" s="577"/>
      <c r="K22" s="579"/>
      <c r="L22" s="579"/>
      <c r="M22" s="580"/>
      <c r="N22" s="580"/>
      <c r="O22" s="581"/>
      <c r="P22" s="581"/>
      <c r="Q22" s="581"/>
      <c r="R22" s="580"/>
      <c r="S22" s="580"/>
      <c r="T22" s="578"/>
      <c r="U22" s="582"/>
      <c r="V22" s="587"/>
      <c r="W22" s="583"/>
      <c r="X22" s="584"/>
      <c r="Y22" s="572"/>
    </row>
    <row r="23" spans="1:27">
      <c r="A23" s="346" t="s">
        <v>160</v>
      </c>
      <c r="B23" s="562"/>
      <c r="C23" s="563">
        <f>F23*10*I23</f>
        <v>149.32379999999998</v>
      </c>
      <c r="D23" s="563">
        <f>gCO2_km_bestel_dies_klein</f>
        <v>136.4</v>
      </c>
      <c r="E23" s="563">
        <f t="shared" ref="E23:E25" si="13">F23*H23*10</f>
        <v>185.07900000000001</v>
      </c>
      <c r="F23" s="564">
        <f>verbr_die_bestel_klein</f>
        <v>5.7299999999999995</v>
      </c>
      <c r="G23" s="564"/>
      <c r="H23" s="199">
        <f t="shared" si="2"/>
        <v>3.23</v>
      </c>
      <c r="I23" s="565">
        <f t="shared" si="3"/>
        <v>2.6059999999999999</v>
      </c>
      <c r="J23" s="199"/>
      <c r="K23" s="566">
        <f>cat_prijs_net_die_bestel_klein</f>
        <v>13941.5</v>
      </c>
      <c r="L23" s="566">
        <f>IF(BPM_belasting="ja",(K23*$D$335)+$F$335,0)</f>
        <v>5528.9454999999998</v>
      </c>
      <c r="M23" s="566">
        <f>$B$227*K23</f>
        <v>2927.7149999999997</v>
      </c>
      <c r="N23" s="567">
        <f>K23+L23+M23</f>
        <v>22398.160500000002</v>
      </c>
      <c r="O23" s="568">
        <v>0</v>
      </c>
      <c r="P23" s="546"/>
      <c r="Q23" s="546"/>
      <c r="R23" s="588">
        <f>IF(MRB_belasting="ja",input_MRB_die_bestel_klein_berek,0)</f>
        <v>5000</v>
      </c>
      <c r="S23" s="567">
        <f>$R23/(12*looptijd)</f>
        <v>83.333333333333329</v>
      </c>
      <c r="T23" s="565">
        <f t="shared" si="7"/>
        <v>1.1301818181818182</v>
      </c>
      <c r="U23" s="589">
        <f>$B$485</f>
        <v>3.1E-2</v>
      </c>
      <c r="V23" s="589">
        <f>$B$564</f>
        <v>5.4000000000000006E-2</v>
      </c>
      <c r="W23" s="570">
        <f t="shared" si="8"/>
        <v>0.3</v>
      </c>
      <c r="X23" s="571">
        <f>(_verzekering_vast+_verzekering_variabel*K23)/12</f>
        <v>28.28458333333333</v>
      </c>
      <c r="Y23" s="572">
        <f t="shared" si="11"/>
        <v>1.741935483870968</v>
      </c>
    </row>
    <row r="24" spans="1:27">
      <c r="A24" s="346" t="s">
        <v>161</v>
      </c>
      <c r="B24" s="562"/>
      <c r="C24" s="563">
        <f>F24*10*I24</f>
        <v>210.65166666666667</v>
      </c>
      <c r="D24" s="563">
        <f>gCO2_km_bestel_dies_middel</f>
        <v>211.83333333333334</v>
      </c>
      <c r="E24" s="563">
        <f t="shared" si="13"/>
        <v>261.0916666666667</v>
      </c>
      <c r="F24" s="564">
        <f>verbr_die_bestel_middel</f>
        <v>8.0833333333333339</v>
      </c>
      <c r="G24" s="564"/>
      <c r="H24" s="199">
        <f t="shared" si="2"/>
        <v>3.23</v>
      </c>
      <c r="I24" s="565">
        <f t="shared" si="3"/>
        <v>2.6059999999999999</v>
      </c>
      <c r="J24" s="199"/>
      <c r="K24" s="566">
        <f>cat_prijs_net_die_bestel_middel</f>
        <v>21618.75</v>
      </c>
      <c r="L24" s="566">
        <f>IF(BPM_belasting="ja",(K24*$D$335)+$F$335,0)</f>
        <v>8423.2687499999993</v>
      </c>
      <c r="M24" s="566">
        <f>$B$227*K24</f>
        <v>4539.9375</v>
      </c>
      <c r="N24" s="567">
        <f>K24+L24+M24</f>
        <v>34581.956250000003</v>
      </c>
      <c r="O24" s="568">
        <v>0</v>
      </c>
      <c r="P24" s="199"/>
      <c r="Q24" s="199"/>
      <c r="R24" s="588">
        <f>IF(MRB_belasting="ja",input_MRB_die_bestel_middel_berek,0)</f>
        <v>7660</v>
      </c>
      <c r="S24" s="567">
        <f>$R24/(12*looptijd)</f>
        <v>127.66666666666667</v>
      </c>
      <c r="T24" s="565">
        <f t="shared" si="7"/>
        <v>1.1301818181818182</v>
      </c>
      <c r="U24" s="589">
        <f>$C$485</f>
        <v>4.4999999999999998E-2</v>
      </c>
      <c r="V24" s="589">
        <f>$C$564</f>
        <v>6.7000000000000004E-2</v>
      </c>
      <c r="W24" s="570">
        <f t="shared" si="8"/>
        <v>0.3</v>
      </c>
      <c r="X24" s="571">
        <f>(_verzekering_vast+_verzekering_variabel*K24)/12</f>
        <v>34.682291666666664</v>
      </c>
      <c r="Y24" s="572">
        <f t="shared" si="11"/>
        <v>1.4888888888888889</v>
      </c>
    </row>
    <row r="25" spans="1:27" ht="17" thickBot="1">
      <c r="A25" s="348" t="s">
        <v>162</v>
      </c>
      <c r="B25" s="590"/>
      <c r="C25" s="591">
        <f>F25*10*I25</f>
        <v>224.11599999999999</v>
      </c>
      <c r="D25" s="591">
        <f>gCO2_km_bestel_dies_groot</f>
        <v>224.25</v>
      </c>
      <c r="E25" s="591">
        <f t="shared" si="13"/>
        <v>277.77999999999997</v>
      </c>
      <c r="F25" s="592">
        <f>verbr_die_bestel_groot</f>
        <v>8.6</v>
      </c>
      <c r="G25" s="592"/>
      <c r="H25" s="593">
        <f t="shared" si="2"/>
        <v>3.23</v>
      </c>
      <c r="I25" s="594">
        <f t="shared" si="3"/>
        <v>2.6059999999999999</v>
      </c>
      <c r="J25" s="593"/>
      <c r="K25" s="595">
        <f>cat_prijs_net_die_bestel_groot</f>
        <v>26215</v>
      </c>
      <c r="L25" s="595">
        <f>IF(BPM_belasting="ja",(K25*$D$335)+$F$335,0)</f>
        <v>10156.055</v>
      </c>
      <c r="M25" s="595">
        <f>$B$227*K25</f>
        <v>5505.15</v>
      </c>
      <c r="N25" s="596">
        <f>K25+L25+M25</f>
        <v>41876.205000000002</v>
      </c>
      <c r="O25" s="597">
        <v>0</v>
      </c>
      <c r="P25" s="593"/>
      <c r="Q25" s="593"/>
      <c r="R25" s="598">
        <f>IF(MRB_belasting="ja",input_MRB_die_bestel_groot_berek,0)</f>
        <v>8200</v>
      </c>
      <c r="S25" s="596">
        <f>$R25/(12*looptijd)</f>
        <v>136.66666666666666</v>
      </c>
      <c r="T25" s="594">
        <f t="shared" si="7"/>
        <v>1.1301818181818182</v>
      </c>
      <c r="U25" s="599">
        <f>$D$485</f>
        <v>0.06</v>
      </c>
      <c r="V25" s="599">
        <f>$D$564</f>
        <v>8.1000000000000003E-2</v>
      </c>
      <c r="W25" s="600">
        <f t="shared" si="8"/>
        <v>0.3</v>
      </c>
      <c r="X25" s="571">
        <f>(_verzekering_vast+_verzekering_variabel*K25)/12</f>
        <v>38.512499999999996</v>
      </c>
      <c r="Y25" s="572">
        <f t="shared" si="11"/>
        <v>1.35</v>
      </c>
    </row>
    <row r="26" spans="1:27">
      <c r="A26" s="347"/>
      <c r="B26" s="574"/>
      <c r="C26" s="586"/>
      <c r="D26" s="575"/>
      <c r="E26" s="575"/>
      <c r="F26" s="576"/>
      <c r="G26" s="576"/>
      <c r="H26" s="577"/>
      <c r="I26" s="578"/>
      <c r="J26" s="577"/>
      <c r="K26" s="579"/>
      <c r="L26" s="579"/>
      <c r="M26" s="580"/>
      <c r="N26" s="580"/>
      <c r="O26" s="581"/>
      <c r="P26" s="581"/>
      <c r="Q26" s="581"/>
      <c r="R26" s="580"/>
      <c r="S26" s="580"/>
      <c r="T26" s="578"/>
      <c r="U26" s="582"/>
      <c r="V26" s="587"/>
      <c r="W26" s="583"/>
      <c r="X26" s="584"/>
      <c r="Y26" s="572"/>
    </row>
    <row r="27" spans="1:27">
      <c r="A27" s="346" t="s">
        <v>2044</v>
      </c>
      <c r="B27" s="562"/>
      <c r="C27" s="585">
        <f>F27*10*I27</f>
        <v>260.59999999999997</v>
      </c>
      <c r="D27" s="563">
        <f>gCO2_km_die_veegvuilwagen</f>
        <v>0</v>
      </c>
      <c r="E27" s="563">
        <f>F27*H27*10</f>
        <v>323</v>
      </c>
      <c r="F27" s="564">
        <f>verbr_die_veegvuilwagen</f>
        <v>10</v>
      </c>
      <c r="G27" s="564"/>
      <c r="H27" s="199">
        <f t="shared" si="2"/>
        <v>3.23</v>
      </c>
      <c r="I27" s="565">
        <f t="shared" si="3"/>
        <v>2.6059999999999999</v>
      </c>
      <c r="J27" s="199"/>
      <c r="K27" s="566">
        <f>cat_prijs_net_dies_veegvuilwagen</f>
        <v>28899</v>
      </c>
      <c r="L27" s="566">
        <f>IF(BPM_belasting="ja",_fossiel_specials!J13,0)</f>
        <v>12000</v>
      </c>
      <c r="M27" s="567">
        <f>$B$227*K27</f>
        <v>6068.79</v>
      </c>
      <c r="N27" s="567">
        <f>K27+L27+M27</f>
        <v>46967.79</v>
      </c>
      <c r="O27" s="568">
        <v>0</v>
      </c>
      <c r="P27" s="568"/>
      <c r="Q27" s="568"/>
      <c r="R27" s="567">
        <f>IF(MRB_belasting="ja",MRB_die_veegvuilwagen*12*looptijd,0)</f>
        <v>12000</v>
      </c>
      <c r="S27" s="567">
        <f>$R27/(12*looptijd)</f>
        <v>200</v>
      </c>
      <c r="T27" s="565">
        <f t="shared" si="7"/>
        <v>1.1301818181818182</v>
      </c>
      <c r="U27" s="601">
        <f>B498</f>
        <v>6.1066666666666665E-2</v>
      </c>
      <c r="V27" s="601">
        <f>Onderh_die_veegvuilwagen*$H$476</f>
        <v>7.572266666666666E-2</v>
      </c>
      <c r="W27" s="570">
        <f t="shared" si="8"/>
        <v>0.3</v>
      </c>
      <c r="X27" s="571">
        <f>$B$601/12</f>
        <v>125.60676470588237</v>
      </c>
      <c r="Y27" s="572">
        <f t="shared" si="11"/>
        <v>1.24</v>
      </c>
      <c r="Z27" s="171" t="s">
        <v>844</v>
      </c>
    </row>
    <row r="28" spans="1:27">
      <c r="A28" s="346" t="s">
        <v>1637</v>
      </c>
      <c r="B28" s="562"/>
      <c r="C28" s="585">
        <f>F28*10*I28</f>
        <v>1485.4199999999998</v>
      </c>
      <c r="D28" s="563">
        <f>gCO2_km_die_vuilniswagen</f>
        <v>0</v>
      </c>
      <c r="E28" s="563">
        <f>F28*H28*10</f>
        <v>1841.1</v>
      </c>
      <c r="F28" s="564">
        <f>verbr_die_vuilniswagen</f>
        <v>57</v>
      </c>
      <c r="G28" s="564"/>
      <c r="H28" s="199">
        <f t="shared" si="2"/>
        <v>3.23</v>
      </c>
      <c r="I28" s="565">
        <f t="shared" si="3"/>
        <v>2.6059999999999999</v>
      </c>
      <c r="J28" s="199"/>
      <c r="K28" s="566">
        <f>cat_prijs_net_die_vuilniswagen</f>
        <v>120000</v>
      </c>
      <c r="L28" s="566">
        <f>IF(BPM_belasting="ja",_fossiel_specials!$J$24,0)</f>
        <v>0</v>
      </c>
      <c r="M28" s="567">
        <f>$B$227*K28</f>
        <v>25200</v>
      </c>
      <c r="N28" s="567">
        <f>K28+L28+M28</f>
        <v>145200</v>
      </c>
      <c r="O28" s="568">
        <v>0</v>
      </c>
      <c r="P28" s="568"/>
      <c r="Q28" s="568"/>
      <c r="R28" s="567">
        <f>IF(MRB_belasting="ja",MRB_die_vuilniswagen*12*looptijd,0)</f>
        <v>1560</v>
      </c>
      <c r="S28" s="567">
        <f>$R28/(12*looptijd)</f>
        <v>26</v>
      </c>
      <c r="T28" s="565">
        <f t="shared" si="7"/>
        <v>1.1301818181818182</v>
      </c>
      <c r="U28" s="601">
        <f>B506</f>
        <v>0.73290789473684215</v>
      </c>
      <c r="V28" s="602">
        <f>Onderh_die_vuilniswagen*$H$476</f>
        <v>0.90880578947368429</v>
      </c>
      <c r="W28" s="570">
        <f t="shared" si="8"/>
        <v>0.3</v>
      </c>
      <c r="X28" s="571">
        <f>C601/12</f>
        <v>372.54901960784315</v>
      </c>
      <c r="Y28" s="572">
        <f t="shared" si="11"/>
        <v>1.24</v>
      </c>
      <c r="Z28" s="171" t="s">
        <v>1435</v>
      </c>
    </row>
    <row r="29" spans="1:27" ht="17" thickBot="1">
      <c r="A29" s="348" t="s">
        <v>4286</v>
      </c>
      <c r="B29" s="590"/>
      <c r="C29" s="603">
        <f>F29*10*I29</f>
        <v>312.71999999999997</v>
      </c>
      <c r="D29" s="603">
        <f>gCO2_km_die_veegwagen</f>
        <v>0</v>
      </c>
      <c r="E29" s="603">
        <f t="shared" ref="E29" si="14">F29*H29*10</f>
        <v>387.59999999999997</v>
      </c>
      <c r="F29" s="604">
        <f>verbr_die_veegwagen</f>
        <v>12</v>
      </c>
      <c r="G29" s="592"/>
      <c r="H29" s="593">
        <f t="shared" si="2"/>
        <v>3.23</v>
      </c>
      <c r="I29" s="594">
        <f t="shared" si="3"/>
        <v>2.6059999999999999</v>
      </c>
      <c r="J29" s="593"/>
      <c r="K29" s="595">
        <f>cat_prijs_net_die_veegwagen</f>
        <v>134490</v>
      </c>
      <c r="L29" s="595">
        <f>IF(BPM_belasting="ja",(K29*$D$351)+$F$351,0)</f>
        <v>0</v>
      </c>
      <c r="M29" s="596">
        <f>$B$227*K29</f>
        <v>28242.899999999998</v>
      </c>
      <c r="N29" s="596">
        <f>K29+L29+M29</f>
        <v>162732.9</v>
      </c>
      <c r="O29" s="597">
        <v>0</v>
      </c>
      <c r="P29" s="597"/>
      <c r="Q29" s="597"/>
      <c r="R29" s="596">
        <f>IF(MRB_belasting="ja",MRB_die_veegwagen*12*looptijd,0)</f>
        <v>0</v>
      </c>
      <c r="S29" s="596">
        <f>$R29/(12*looptijd)</f>
        <v>0</v>
      </c>
      <c r="T29" s="594">
        <f t="shared" si="7"/>
        <v>1.1301818181818182</v>
      </c>
      <c r="U29" s="605">
        <f>D513</f>
        <v>12.274597701149426</v>
      </c>
      <c r="V29" s="606">
        <f>Onderh_die_veegwagen*$H$476</f>
        <v>15.220501149425289</v>
      </c>
      <c r="W29" s="600">
        <f t="shared" si="8"/>
        <v>0.3</v>
      </c>
      <c r="X29" s="607">
        <f>$D$601/12</f>
        <v>167.01372549019609</v>
      </c>
      <c r="Y29" s="572">
        <f t="shared" si="11"/>
        <v>1.24</v>
      </c>
    </row>
    <row r="30" spans="1:27" ht="17" thickBot="1"/>
    <row r="31" spans="1:27" ht="25" customHeight="1">
      <c r="A31" s="167" t="s">
        <v>133</v>
      </c>
      <c r="B31" s="542"/>
      <c r="C31" s="542"/>
      <c r="D31" s="1558" t="s">
        <v>163</v>
      </c>
      <c r="E31" s="1559"/>
      <c r="F31" s="1559"/>
      <c r="G31" s="1559"/>
      <c r="H31" s="1559"/>
      <c r="I31" s="1559"/>
      <c r="J31" s="1560"/>
      <c r="K31" s="1560"/>
      <c r="L31" s="1560"/>
      <c r="M31" s="1560"/>
      <c r="N31" s="1560"/>
      <c r="O31" s="1560"/>
      <c r="P31" s="1560"/>
      <c r="Q31" s="1560"/>
      <c r="R31" s="1560"/>
      <c r="S31" s="1560"/>
      <c r="T31" s="1560"/>
      <c r="U31" s="1560"/>
      <c r="V31" s="1560"/>
      <c r="W31" s="1560"/>
      <c r="X31" s="1561"/>
      <c r="Z31" s="171" t="s">
        <v>840</v>
      </c>
      <c r="AA31" s="608"/>
    </row>
    <row r="32" spans="1:27">
      <c r="A32" s="168"/>
      <c r="B32" s="609" t="s">
        <v>135</v>
      </c>
      <c r="C32" s="609"/>
      <c r="D32" s="1553" t="s">
        <v>136</v>
      </c>
      <c r="E32" s="1554"/>
      <c r="F32" s="1554"/>
      <c r="G32" s="1554"/>
      <c r="H32" s="1554"/>
      <c r="I32" s="545"/>
      <c r="J32" s="546"/>
      <c r="K32" s="1553" t="s">
        <v>137</v>
      </c>
      <c r="L32" s="1553"/>
      <c r="M32" s="1553"/>
      <c r="N32" s="1554"/>
      <c r="O32" s="547"/>
      <c r="P32" s="546"/>
      <c r="Q32" s="546"/>
      <c r="R32" s="1553" t="s">
        <v>164</v>
      </c>
      <c r="S32" s="1553"/>
      <c r="T32" s="1553"/>
      <c r="U32" s="1553"/>
      <c r="V32" s="1553"/>
      <c r="W32" s="1553"/>
      <c r="X32" s="1555"/>
    </row>
    <row r="33" spans="1:26" ht="68">
      <c r="A33" s="168"/>
      <c r="B33" s="609"/>
      <c r="C33" s="549" t="s">
        <v>1383</v>
      </c>
      <c r="D33" s="547" t="s">
        <v>139</v>
      </c>
      <c r="E33" s="547" t="s">
        <v>140</v>
      </c>
      <c r="F33" s="547" t="s">
        <v>1389</v>
      </c>
      <c r="G33" s="547"/>
      <c r="H33" s="547" t="s">
        <v>141</v>
      </c>
      <c r="I33" s="547" t="s">
        <v>142</v>
      </c>
      <c r="J33" s="199"/>
      <c r="K33" s="549" t="s">
        <v>769</v>
      </c>
      <c r="L33" s="547" t="s">
        <v>121</v>
      </c>
      <c r="M33" s="547" t="s">
        <v>77</v>
      </c>
      <c r="N33" s="547" t="s">
        <v>143</v>
      </c>
      <c r="O33" s="547" t="s">
        <v>144</v>
      </c>
      <c r="P33" s="546"/>
      <c r="Q33" s="546"/>
      <c r="R33" s="547" t="s">
        <v>124</v>
      </c>
      <c r="S33" s="549" t="s">
        <v>1563</v>
      </c>
      <c r="T33" s="547" t="s">
        <v>145</v>
      </c>
      <c r="U33" s="549" t="s">
        <v>737</v>
      </c>
      <c r="V33" s="549" t="s">
        <v>738</v>
      </c>
      <c r="W33" s="547" t="s">
        <v>146</v>
      </c>
      <c r="X33" s="550" t="s">
        <v>106</v>
      </c>
    </row>
    <row r="34" spans="1:26">
      <c r="A34" s="168"/>
      <c r="B34" s="609"/>
      <c r="C34" s="545" t="s">
        <v>147</v>
      </c>
      <c r="D34" s="545" t="s">
        <v>147</v>
      </c>
      <c r="E34" s="545" t="s">
        <v>147</v>
      </c>
      <c r="F34" s="545" t="s">
        <v>148</v>
      </c>
      <c r="G34" s="545"/>
      <c r="H34" s="545" t="s">
        <v>149</v>
      </c>
      <c r="I34" s="545" t="s">
        <v>149</v>
      </c>
      <c r="J34" s="199"/>
      <c r="K34" s="545" t="s">
        <v>150</v>
      </c>
      <c r="L34" s="545" t="s">
        <v>151</v>
      </c>
      <c r="M34" s="545" t="s">
        <v>151</v>
      </c>
      <c r="N34" s="545" t="s">
        <v>152</v>
      </c>
      <c r="O34" s="545" t="s">
        <v>151</v>
      </c>
      <c r="P34" s="546"/>
      <c r="Q34" s="546"/>
      <c r="R34" s="545" t="s">
        <v>1562</v>
      </c>
      <c r="S34" s="545" t="s">
        <v>153</v>
      </c>
      <c r="T34" s="545" t="s">
        <v>154</v>
      </c>
      <c r="U34" s="545" t="s">
        <v>155</v>
      </c>
      <c r="V34" s="545" t="s">
        <v>155</v>
      </c>
      <c r="W34" s="545" t="s">
        <v>156</v>
      </c>
      <c r="X34" s="551" t="s">
        <v>157</v>
      </c>
    </row>
    <row r="35" spans="1:26">
      <c r="A35" s="169" t="s">
        <v>7</v>
      </c>
      <c r="B35" s="585"/>
      <c r="C35" s="585">
        <f>F35*I35*10</f>
        <v>137.84174999999999</v>
      </c>
      <c r="D35" s="585">
        <f>gCO2_km_benz_A</f>
        <v>136.25</v>
      </c>
      <c r="E35" s="585">
        <f>F35*H35*10</f>
        <v>166.45499999999998</v>
      </c>
      <c r="F35" s="610">
        <f>verbr_benz_A</f>
        <v>6.0749999999999993</v>
      </c>
      <c r="G35" s="610"/>
      <c r="H35" s="611">
        <f t="shared" ref="H35:H46" si="15">Efac_benz_WTW</f>
        <v>2.74</v>
      </c>
      <c r="I35" s="612">
        <f t="shared" ref="I35:I44" si="16">Efac_benz_TTW</f>
        <v>2.2690000000000001</v>
      </c>
      <c r="J35" s="611"/>
      <c r="K35" s="613">
        <f>cat_prijs_net_benz_A</f>
        <v>7564</v>
      </c>
      <c r="L35" s="613">
        <f>IF(BPM_belasting="ja",((D35-$A$299)*$H$299+$F$299),0)</f>
        <v>4325</v>
      </c>
      <c r="M35" s="588">
        <f t="shared" ref="M35:M41" si="17">$B$227*K35</f>
        <v>1588.44</v>
      </c>
      <c r="N35" s="588">
        <f t="shared" ref="N35:N41" si="18">K35+L35+M35</f>
        <v>13477.44</v>
      </c>
      <c r="O35" s="614">
        <v>0</v>
      </c>
      <c r="P35" s="614"/>
      <c r="Q35" s="614"/>
      <c r="R35" s="588">
        <f>IF(MRB_belasting="ja",MRB_benz_A*12*looptijd,0)</f>
        <v>1300</v>
      </c>
      <c r="S35" s="567">
        <f t="shared" ref="S35:S44" si="19">$R35/(12*looptijd)</f>
        <v>21.666666666666668</v>
      </c>
      <c r="T35" s="612">
        <f t="shared" ref="T35:T51" si="20">prijs_benz</f>
        <v>1.3603305785123967</v>
      </c>
      <c r="U35" s="601">
        <f>$B$477</f>
        <v>2.1999999999999999E-2</v>
      </c>
      <c r="V35" s="601">
        <f>$B$546</f>
        <v>3.4000000000000002E-2</v>
      </c>
      <c r="W35" s="615">
        <f t="shared" ref="W35:W51" si="21">Rest_perc</f>
        <v>0.3</v>
      </c>
      <c r="X35" s="571">
        <f t="shared" ref="X35:X44" si="22">(_verzekering_vast+_verzekering_variabel*K35)/12</f>
        <v>22.97</v>
      </c>
      <c r="Z35" s="616">
        <f>AVERAGE(F35:F44)/AVERAGE(F8:F16)</f>
        <v>1.2147928831866659</v>
      </c>
    </row>
    <row r="36" spans="1:26">
      <c r="A36" s="169" t="s">
        <v>12</v>
      </c>
      <c r="B36" s="585"/>
      <c r="C36" s="585">
        <f t="shared" ref="C36:C51" si="23">F36*I36*10</f>
        <v>139.25987500000002</v>
      </c>
      <c r="D36" s="585">
        <f>gCO2_km_benz_B</f>
        <v>138.125</v>
      </c>
      <c r="E36" s="585">
        <f t="shared" ref="E36:E51" si="24">F36*H36*10</f>
        <v>168.16750000000002</v>
      </c>
      <c r="F36" s="610">
        <f>verbr_benz_B</f>
        <v>6.1375000000000002</v>
      </c>
      <c r="G36" s="610"/>
      <c r="H36" s="611">
        <f t="shared" si="15"/>
        <v>2.74</v>
      </c>
      <c r="I36" s="612">
        <f t="shared" si="16"/>
        <v>2.2690000000000001</v>
      </c>
      <c r="J36" s="611"/>
      <c r="K36" s="613">
        <f>cat_prijs_net_benz_B</f>
        <v>11742.25</v>
      </c>
      <c r="L36" s="613">
        <f>IF(BPM_belasting="ja",((D36-$A$299)*$H$299+$F$299),0)</f>
        <v>4557.5</v>
      </c>
      <c r="M36" s="588">
        <f t="shared" si="17"/>
        <v>2465.8724999999999</v>
      </c>
      <c r="N36" s="588">
        <f t="shared" si="18"/>
        <v>18765.622500000001</v>
      </c>
      <c r="O36" s="614">
        <v>0</v>
      </c>
      <c r="P36" s="614"/>
      <c r="Q36" s="614"/>
      <c r="R36" s="588">
        <f>IF(MRB_belasting="ja",MRB_benz_B*12*looptijd,0)</f>
        <v>2440</v>
      </c>
      <c r="S36" s="567">
        <f t="shared" si="19"/>
        <v>40.666666666666664</v>
      </c>
      <c r="T36" s="612">
        <f t="shared" si="20"/>
        <v>1.3603305785123967</v>
      </c>
      <c r="U36" s="601">
        <f>$C$477</f>
        <v>3.1E-2</v>
      </c>
      <c r="V36" s="601">
        <f>$C$546</f>
        <v>4.8000000000000001E-2</v>
      </c>
      <c r="W36" s="615">
        <f t="shared" si="21"/>
        <v>0.3</v>
      </c>
      <c r="X36" s="571">
        <f t="shared" si="22"/>
        <v>26.451875000000001</v>
      </c>
    </row>
    <row r="37" spans="1:26">
      <c r="A37" s="169" t="s">
        <v>15</v>
      </c>
      <c r="B37" s="585"/>
      <c r="C37" s="585">
        <f t="shared" si="23"/>
        <v>142.37975000000003</v>
      </c>
      <c r="D37" s="585">
        <f>gCO2_km_benz_C</f>
        <v>141.5</v>
      </c>
      <c r="E37" s="585">
        <f t="shared" si="24"/>
        <v>171.93500000000003</v>
      </c>
      <c r="F37" s="610">
        <f>verbr_benz_C</f>
        <v>6.2750000000000004</v>
      </c>
      <c r="G37" s="610"/>
      <c r="H37" s="611">
        <f t="shared" si="15"/>
        <v>2.74</v>
      </c>
      <c r="I37" s="612">
        <f t="shared" si="16"/>
        <v>2.2690000000000001</v>
      </c>
      <c r="J37" s="611"/>
      <c r="K37" s="613">
        <f>cat_prijs_net_benz_C</f>
        <v>15280.25</v>
      </c>
      <c r="L37" s="613">
        <f>IF(BPM_belasting="ja",((D37-$A$299)*$H$299+$F$299),0)</f>
        <v>4976</v>
      </c>
      <c r="M37" s="588">
        <f t="shared" si="17"/>
        <v>3208.8525</v>
      </c>
      <c r="N37" s="588">
        <f t="shared" si="18"/>
        <v>23465.102500000001</v>
      </c>
      <c r="O37" s="614">
        <v>0</v>
      </c>
      <c r="P37" s="614"/>
      <c r="Q37" s="614"/>
      <c r="R37" s="588">
        <f>IF(MRB_belasting="ja",MRB_benz_C*12*looptijd,0)</f>
        <v>3240</v>
      </c>
      <c r="S37" s="567">
        <f t="shared" si="19"/>
        <v>54</v>
      </c>
      <c r="T37" s="612">
        <f t="shared" si="20"/>
        <v>1.3603305785123967</v>
      </c>
      <c r="U37" s="601">
        <f>$D$477</f>
        <v>3.9E-2</v>
      </c>
      <c r="V37" s="601">
        <f>$D$546</f>
        <v>5.6999999999999995E-2</v>
      </c>
      <c r="W37" s="615">
        <f t="shared" si="21"/>
        <v>0.3</v>
      </c>
      <c r="X37" s="571">
        <f t="shared" si="22"/>
        <v>29.400208333333335</v>
      </c>
    </row>
    <row r="38" spans="1:26">
      <c r="A38" s="169" t="s">
        <v>18</v>
      </c>
      <c r="B38" s="585"/>
      <c r="C38" s="585">
        <f t="shared" si="23"/>
        <v>158.26275000000001</v>
      </c>
      <c r="D38" s="585">
        <f>gCO2_km_benz_D</f>
        <v>162.5</v>
      </c>
      <c r="E38" s="585">
        <f t="shared" si="24"/>
        <v>191.11500000000001</v>
      </c>
      <c r="F38" s="610">
        <f>verbr_benz_D</f>
        <v>6.9749999999999996</v>
      </c>
      <c r="G38" s="610"/>
      <c r="H38" s="611">
        <f t="shared" si="15"/>
        <v>2.74</v>
      </c>
      <c r="I38" s="612">
        <f t="shared" si="16"/>
        <v>2.2690000000000001</v>
      </c>
      <c r="J38" s="611"/>
      <c r="K38" s="613">
        <f>cat_prijs_net_benz_D</f>
        <v>28063.5</v>
      </c>
      <c r="L38" s="613">
        <f>IF(BPM_belasting="ja",((D38-$A$300)*$H$300+$F$300),0)</f>
        <v>7540</v>
      </c>
      <c r="M38" s="588">
        <f t="shared" si="17"/>
        <v>5893.335</v>
      </c>
      <c r="N38" s="588">
        <f t="shared" si="18"/>
        <v>41496.834999999999</v>
      </c>
      <c r="O38" s="614">
        <v>0</v>
      </c>
      <c r="P38" s="614"/>
      <c r="Q38" s="614"/>
      <c r="R38" s="588">
        <f>IF(MRB_belasting="ja",MRB_benz_D*12*looptijd,0)</f>
        <v>4120</v>
      </c>
      <c r="S38" s="567">
        <f t="shared" si="19"/>
        <v>68.666666666666671</v>
      </c>
      <c r="T38" s="612">
        <f t="shared" si="20"/>
        <v>1.3603305785123967</v>
      </c>
      <c r="U38" s="601">
        <f>$E$477</f>
        <v>4.8000000000000001E-2</v>
      </c>
      <c r="V38" s="601">
        <f>$E$546</f>
        <v>5.9000000000000004E-2</v>
      </c>
      <c r="W38" s="615">
        <f t="shared" si="21"/>
        <v>0.3</v>
      </c>
      <c r="X38" s="571">
        <f t="shared" si="22"/>
        <v>40.052916666666668</v>
      </c>
    </row>
    <row r="39" spans="1:26">
      <c r="A39" s="169" t="s">
        <v>21</v>
      </c>
      <c r="B39" s="585"/>
      <c r="C39" s="585">
        <f t="shared" si="23"/>
        <v>204.20999999999998</v>
      </c>
      <c r="D39" s="585">
        <f>gCO2_km_benz_E</f>
        <v>203.5</v>
      </c>
      <c r="E39" s="585">
        <f t="shared" si="24"/>
        <v>246.60000000000002</v>
      </c>
      <c r="F39" s="610">
        <f>verbr_benz_E</f>
        <v>9</v>
      </c>
      <c r="G39" s="610"/>
      <c r="H39" s="611">
        <f t="shared" si="15"/>
        <v>2.74</v>
      </c>
      <c r="I39" s="612">
        <f t="shared" si="16"/>
        <v>2.2690000000000001</v>
      </c>
      <c r="J39" s="611"/>
      <c r="K39" s="613">
        <f>cat_prijs_net_benz_E</f>
        <v>41475.25</v>
      </c>
      <c r="L39" s="613">
        <f>IF(BPM_belasting="ja",((D39-$A$299)*$H$299+$F$299),0)</f>
        <v>12664</v>
      </c>
      <c r="M39" s="588">
        <f t="shared" si="17"/>
        <v>8709.8024999999998</v>
      </c>
      <c r="N39" s="588">
        <f t="shared" si="18"/>
        <v>62849.052499999998</v>
      </c>
      <c r="O39" s="614">
        <v>0</v>
      </c>
      <c r="P39" s="614"/>
      <c r="Q39" s="614"/>
      <c r="R39" s="588">
        <f>IF(MRB_belasting="ja",MRB_benz_E*12*looptijd,0)</f>
        <v>4700</v>
      </c>
      <c r="S39" s="567">
        <f t="shared" si="19"/>
        <v>78.333333333333329</v>
      </c>
      <c r="T39" s="612">
        <f t="shared" si="20"/>
        <v>1.3603305785123967</v>
      </c>
      <c r="U39" s="601">
        <f>$B$481</f>
        <v>0.05</v>
      </c>
      <c r="V39" s="602">
        <f>$B$555</f>
        <v>0.08</v>
      </c>
      <c r="W39" s="615">
        <f t="shared" si="21"/>
        <v>0.3</v>
      </c>
      <c r="X39" s="571">
        <f t="shared" si="22"/>
        <v>51.229375000000005</v>
      </c>
    </row>
    <row r="40" spans="1:26">
      <c r="A40" s="169" t="s">
        <v>25</v>
      </c>
      <c r="B40" s="611"/>
      <c r="C40" s="585">
        <f t="shared" si="23"/>
        <v>211.01700000000005</v>
      </c>
      <c r="D40" s="585">
        <f>gCO2_km_benz_F</f>
        <v>215.75</v>
      </c>
      <c r="E40" s="585">
        <f t="shared" si="24"/>
        <v>254.82000000000002</v>
      </c>
      <c r="F40" s="610">
        <f>verbr_benz_F</f>
        <v>9.3000000000000007</v>
      </c>
      <c r="G40" s="610"/>
      <c r="H40" s="611">
        <f t="shared" si="15"/>
        <v>2.74</v>
      </c>
      <c r="I40" s="612">
        <f t="shared" si="16"/>
        <v>2.2690000000000001</v>
      </c>
      <c r="J40" s="611"/>
      <c r="K40" s="613">
        <f>cat_prijs_net_benz_F</f>
        <v>76073</v>
      </c>
      <c r="L40" s="613">
        <f>IF(BPM_belasting="ja",((D40-$A$301)*$H$301+$F$301)+(D40-$A$324)*$E$324,0)</f>
        <v>36599.815000000002</v>
      </c>
      <c r="M40" s="588">
        <f t="shared" si="17"/>
        <v>15975.33</v>
      </c>
      <c r="N40" s="588">
        <f t="shared" si="18"/>
        <v>128648.145</v>
      </c>
      <c r="O40" s="614">
        <v>0</v>
      </c>
      <c r="P40" s="614"/>
      <c r="Q40" s="614"/>
      <c r="R40" s="588">
        <f>IF(MRB_belasting="ja",MRB_benz_F*12*looptijd,0)</f>
        <v>6060</v>
      </c>
      <c r="S40" s="567">
        <f t="shared" si="19"/>
        <v>101</v>
      </c>
      <c r="T40" s="612">
        <f t="shared" si="20"/>
        <v>1.3603305785123967</v>
      </c>
      <c r="U40" s="601">
        <f>$C$481</f>
        <v>5.6399999999999992E-2</v>
      </c>
      <c r="V40" s="601">
        <f>$C$555</f>
        <v>8.7300000000000003E-2</v>
      </c>
      <c r="W40" s="615">
        <f t="shared" si="21"/>
        <v>0.3</v>
      </c>
      <c r="X40" s="571">
        <f t="shared" si="22"/>
        <v>80.060833333333335</v>
      </c>
    </row>
    <row r="41" spans="1:26">
      <c r="A41" s="169" t="s">
        <v>159</v>
      </c>
      <c r="B41" s="611"/>
      <c r="C41" s="585">
        <f t="shared" si="23"/>
        <v>149.75400000000002</v>
      </c>
      <c r="D41" s="585">
        <f>gCO2_km_benz_J</f>
        <v>148.5</v>
      </c>
      <c r="E41" s="585">
        <f t="shared" si="24"/>
        <v>180.84000000000003</v>
      </c>
      <c r="F41" s="610">
        <f>verbr_benz_J</f>
        <v>6.6000000000000005</v>
      </c>
      <c r="G41" s="610"/>
      <c r="H41" s="611">
        <f t="shared" si="15"/>
        <v>2.74</v>
      </c>
      <c r="I41" s="612">
        <f t="shared" si="16"/>
        <v>2.2690000000000001</v>
      </c>
      <c r="J41" s="611"/>
      <c r="K41" s="613">
        <f>cat_prijs_net_benz_J</f>
        <v>11331</v>
      </c>
      <c r="L41" s="613">
        <f>IF(BPM_belasting="ja",((D41-$A$299)*$H$299+$F$299),0)</f>
        <v>5844</v>
      </c>
      <c r="M41" s="588">
        <f t="shared" si="17"/>
        <v>2379.5099999999998</v>
      </c>
      <c r="N41" s="588">
        <f t="shared" si="18"/>
        <v>19554.509999999998</v>
      </c>
      <c r="O41" s="614">
        <v>0</v>
      </c>
      <c r="P41" s="614"/>
      <c r="Q41" s="614"/>
      <c r="R41" s="588">
        <f>IF(MRB_belasting="ja",MRB_benz_J*12*looptijd,0)</f>
        <v>2440</v>
      </c>
      <c r="S41" s="567">
        <f t="shared" si="19"/>
        <v>40.666666666666664</v>
      </c>
      <c r="T41" s="612">
        <f t="shared" si="20"/>
        <v>1.3603305785123967</v>
      </c>
      <c r="U41" s="601">
        <f>$D$481</f>
        <v>3.7999999999999999E-2</v>
      </c>
      <c r="V41" s="601">
        <f>$D$555</f>
        <v>5.1999999999999998E-2</v>
      </c>
      <c r="W41" s="615">
        <f t="shared" si="21"/>
        <v>0.3</v>
      </c>
      <c r="X41" s="571">
        <f t="shared" si="22"/>
        <v>26.109166666666667</v>
      </c>
    </row>
    <row r="42" spans="1:26" hidden="1">
      <c r="A42" s="169" t="s">
        <v>896</v>
      </c>
      <c r="B42" s="611"/>
      <c r="C42" s="585"/>
      <c r="D42" s="585"/>
      <c r="E42" s="585"/>
      <c r="F42" s="610"/>
      <c r="G42" s="610"/>
      <c r="H42" s="611"/>
      <c r="I42" s="612"/>
      <c r="J42" s="611"/>
      <c r="K42" s="613"/>
      <c r="L42" s="613"/>
      <c r="M42" s="588"/>
      <c r="N42" s="588"/>
      <c r="O42" s="614"/>
      <c r="P42" s="614"/>
      <c r="Q42" s="614"/>
      <c r="R42" s="588"/>
      <c r="S42" s="567">
        <f t="shared" si="19"/>
        <v>0</v>
      </c>
      <c r="T42" s="612"/>
      <c r="U42" s="601"/>
      <c r="V42" s="601"/>
      <c r="W42" s="615"/>
      <c r="X42" s="571">
        <f t="shared" si="22"/>
        <v>16.666666666666668</v>
      </c>
    </row>
    <row r="43" spans="1:26">
      <c r="A43" s="169" t="s">
        <v>28</v>
      </c>
      <c r="B43" s="611"/>
      <c r="C43" s="585">
        <f t="shared" si="23"/>
        <v>157.12825000000004</v>
      </c>
      <c r="D43" s="585">
        <f>gCO2_km_benz_L</f>
        <v>156</v>
      </c>
      <c r="E43" s="585">
        <f t="shared" si="24"/>
        <v>189.74500000000003</v>
      </c>
      <c r="F43" s="610">
        <f>verbr_benz_L</f>
        <v>6.9250000000000007</v>
      </c>
      <c r="G43" s="610"/>
      <c r="H43" s="611">
        <f t="shared" si="15"/>
        <v>2.74</v>
      </c>
      <c r="I43" s="612">
        <f t="shared" si="16"/>
        <v>2.2690000000000001</v>
      </c>
      <c r="J43" s="611"/>
      <c r="K43" s="613">
        <f>cat_prijs_net_benz_L</f>
        <v>17731</v>
      </c>
      <c r="L43" s="613">
        <f>IF(BPM_belasting="ja",((D43-$A$299)*$H$299+$F$299),0)</f>
        <v>6774</v>
      </c>
      <c r="M43" s="588">
        <f>$B$227*K43</f>
        <v>3723.5099999999998</v>
      </c>
      <c r="N43" s="588">
        <f>K43+L43+M43</f>
        <v>28228.51</v>
      </c>
      <c r="O43" s="614">
        <v>0</v>
      </c>
      <c r="P43" s="614"/>
      <c r="Q43" s="614"/>
      <c r="R43" s="588">
        <f>IF(MRB_belasting="ja",MRB_benz_L*12*looptijd,0)</f>
        <v>3340</v>
      </c>
      <c r="S43" s="567">
        <f t="shared" si="19"/>
        <v>55.666666666666664</v>
      </c>
      <c r="T43" s="612">
        <f t="shared" si="20"/>
        <v>1.3603305785123967</v>
      </c>
      <c r="U43" s="601">
        <f>$E$481</f>
        <v>0.04</v>
      </c>
      <c r="V43" s="601">
        <f>$F$555</f>
        <v>5.6000000000000001E-2</v>
      </c>
      <c r="W43" s="615">
        <f t="shared" si="21"/>
        <v>0.3</v>
      </c>
      <c r="X43" s="571">
        <f t="shared" si="22"/>
        <v>31.442499999999999</v>
      </c>
    </row>
    <row r="44" spans="1:26">
      <c r="A44" s="169" t="s">
        <v>32</v>
      </c>
      <c r="B44" s="617"/>
      <c r="C44" s="585">
        <f t="shared" si="23"/>
        <v>271.14550000000003</v>
      </c>
      <c r="D44" s="585">
        <f>gCO2_km_benz_M</f>
        <v>271.25</v>
      </c>
      <c r="E44" s="585">
        <f t="shared" si="24"/>
        <v>327.43</v>
      </c>
      <c r="F44" s="610">
        <f>verbr_benz_M</f>
        <v>11.95</v>
      </c>
      <c r="G44" s="610"/>
      <c r="H44" s="611">
        <f t="shared" si="15"/>
        <v>2.74</v>
      </c>
      <c r="I44" s="612">
        <f t="shared" si="16"/>
        <v>2.2690000000000001</v>
      </c>
      <c r="J44" s="611"/>
      <c r="K44" s="613">
        <f>cat_prijs_net_benz_M</f>
        <v>56393.75</v>
      </c>
      <c r="L44" s="613">
        <f>IF(BPM_belasting="ja",((D44-$A$301)*$H$301+$F$301),0)</f>
        <v>48544</v>
      </c>
      <c r="M44" s="588">
        <f>$B$227*K44</f>
        <v>11842.6875</v>
      </c>
      <c r="N44" s="588">
        <f>K44+L44+M44</f>
        <v>116780.4375</v>
      </c>
      <c r="O44" s="614">
        <v>0</v>
      </c>
      <c r="P44" s="614"/>
      <c r="Q44" s="614"/>
      <c r="R44" s="588">
        <f>IF(MRB_belasting="ja",MRB_benz_M*12*looptijd,0)</f>
        <v>6960</v>
      </c>
      <c r="S44" s="567">
        <f t="shared" si="19"/>
        <v>116</v>
      </c>
      <c r="T44" s="612">
        <f t="shared" si="20"/>
        <v>1.3603305785123967</v>
      </c>
      <c r="U44" s="601">
        <f>$F$481</f>
        <v>6.2E-2</v>
      </c>
      <c r="V44" s="601">
        <f>$H$555</f>
        <v>8.1000000000000003E-2</v>
      </c>
      <c r="W44" s="615">
        <f t="shared" si="21"/>
        <v>0.3</v>
      </c>
      <c r="X44" s="571">
        <f t="shared" si="22"/>
        <v>63.661458333333336</v>
      </c>
    </row>
    <row r="45" spans="1:26">
      <c r="A45" s="190"/>
      <c r="B45" s="618"/>
      <c r="C45" s="586"/>
      <c r="D45" s="619"/>
      <c r="E45" s="619"/>
      <c r="F45" s="620"/>
      <c r="G45" s="620"/>
      <c r="H45" s="621"/>
      <c r="I45" s="622"/>
      <c r="J45" s="621"/>
      <c r="K45" s="623"/>
      <c r="L45" s="623"/>
      <c r="M45" s="623"/>
      <c r="N45" s="623"/>
      <c r="O45" s="624"/>
      <c r="P45" s="624"/>
      <c r="Q45" s="624"/>
      <c r="R45" s="623"/>
      <c r="S45" s="623"/>
      <c r="T45" s="622"/>
      <c r="U45" s="625"/>
      <c r="V45" s="625"/>
      <c r="W45" s="626"/>
      <c r="X45" s="627"/>
    </row>
    <row r="46" spans="1:26">
      <c r="A46" s="169" t="s">
        <v>741</v>
      </c>
      <c r="B46" s="628"/>
      <c r="C46" s="585">
        <f>F46*I46*10</f>
        <v>156.56100000000004</v>
      </c>
      <c r="D46" s="585">
        <f>gCO2_km_benz_kleine_taxibus</f>
        <v>169</v>
      </c>
      <c r="E46" s="585">
        <f t="shared" si="24"/>
        <v>189.06000000000003</v>
      </c>
      <c r="F46" s="610">
        <f>verbr_benz_kleine_taxibus</f>
        <v>6.9</v>
      </c>
      <c r="G46" s="610"/>
      <c r="H46" s="611">
        <f t="shared" si="15"/>
        <v>2.74</v>
      </c>
      <c r="I46" s="612">
        <f>Efac_benz_TTW</f>
        <v>2.2690000000000001</v>
      </c>
      <c r="J46" s="611"/>
      <c r="K46" s="613">
        <f>cat_prijs_net_benz_kleine_taxibus</f>
        <v>20527</v>
      </c>
      <c r="L46" s="613">
        <f>IF(BPM_belasting="ja",((D46-$A$300)*$H$300+$F$300),0)</f>
        <v>8866</v>
      </c>
      <c r="M46" s="588">
        <f>$B$227*K46</f>
        <v>4310.67</v>
      </c>
      <c r="N46" s="588">
        <f>K46+L46+M46</f>
        <v>33703.67</v>
      </c>
      <c r="O46" s="614">
        <v>0</v>
      </c>
      <c r="P46" s="614"/>
      <c r="Q46" s="614"/>
      <c r="R46" s="588">
        <f>IF(MRB_belasting="ja",MRB_benz_kleine_taxibus*12*looptijd,0)</f>
        <v>3540</v>
      </c>
      <c r="S46" s="567">
        <f>$R46/(12*looptijd)</f>
        <v>59</v>
      </c>
      <c r="T46" s="612">
        <f t="shared" si="20"/>
        <v>1.3603305785123967</v>
      </c>
      <c r="U46" s="569">
        <f>$E$485</f>
        <v>3.1E-2</v>
      </c>
      <c r="V46" s="569">
        <f>$E$564</f>
        <v>5.4000000000000006E-2</v>
      </c>
      <c r="W46" s="615">
        <f t="shared" si="21"/>
        <v>0.3</v>
      </c>
      <c r="X46" s="571">
        <f>(_verzekering_vast+_verzekering_variabel*K46)/12</f>
        <v>33.772500000000001</v>
      </c>
    </row>
    <row r="47" spans="1:26">
      <c r="A47" s="169" t="s">
        <v>850</v>
      </c>
      <c r="B47" s="556" t="s">
        <v>158</v>
      </c>
      <c r="C47" s="556"/>
      <c r="D47" s="556"/>
      <c r="E47" s="556"/>
      <c r="F47" s="555"/>
      <c r="G47" s="555"/>
      <c r="H47" s="556"/>
      <c r="I47" s="556"/>
      <c r="J47" s="556"/>
      <c r="K47" s="557"/>
      <c r="L47" s="629"/>
      <c r="M47" s="557"/>
      <c r="N47" s="558"/>
      <c r="O47" s="630"/>
      <c r="P47" s="556"/>
      <c r="Q47" s="556"/>
      <c r="R47" s="558"/>
      <c r="S47" s="558"/>
      <c r="T47" s="556"/>
      <c r="U47" s="556"/>
      <c r="V47" s="556"/>
      <c r="W47" s="556"/>
      <c r="X47" s="561"/>
    </row>
    <row r="48" spans="1:26">
      <c r="A48" s="169" t="s">
        <v>742</v>
      </c>
      <c r="B48" s="556" t="s">
        <v>158</v>
      </c>
      <c r="C48" s="556"/>
      <c r="D48" s="556"/>
      <c r="E48" s="556"/>
      <c r="F48" s="555"/>
      <c r="G48" s="555"/>
      <c r="H48" s="556"/>
      <c r="I48" s="556"/>
      <c r="J48" s="556"/>
      <c r="K48" s="557"/>
      <c r="L48" s="629"/>
      <c r="M48" s="557"/>
      <c r="N48" s="558"/>
      <c r="O48" s="630"/>
      <c r="P48" s="556"/>
      <c r="Q48" s="556"/>
      <c r="R48" s="558"/>
      <c r="S48" s="558"/>
      <c r="T48" s="556"/>
      <c r="U48" s="556"/>
      <c r="V48" s="556"/>
      <c r="W48" s="556"/>
      <c r="X48" s="561"/>
    </row>
    <row r="49" spans="1:26">
      <c r="A49" s="169" t="s">
        <v>714</v>
      </c>
      <c r="B49" s="556" t="s">
        <v>158</v>
      </c>
      <c r="C49" s="556"/>
      <c r="D49" s="556"/>
      <c r="E49" s="556"/>
      <c r="F49" s="555"/>
      <c r="G49" s="555"/>
      <c r="H49" s="556"/>
      <c r="I49" s="556"/>
      <c r="J49" s="556"/>
      <c r="K49" s="557"/>
      <c r="L49" s="629"/>
      <c r="M49" s="557"/>
      <c r="N49" s="558"/>
      <c r="O49" s="630"/>
      <c r="P49" s="556"/>
      <c r="Q49" s="556"/>
      <c r="R49" s="558"/>
      <c r="S49" s="558"/>
      <c r="T49" s="556"/>
      <c r="U49" s="556"/>
      <c r="V49" s="556"/>
      <c r="W49" s="556"/>
      <c r="X49" s="561"/>
    </row>
    <row r="50" spans="1:26">
      <c r="A50" s="190"/>
      <c r="B50" s="621"/>
      <c r="C50" s="586"/>
      <c r="D50" s="619"/>
      <c r="E50" s="619"/>
      <c r="F50" s="620"/>
      <c r="G50" s="620"/>
      <c r="H50" s="621"/>
      <c r="I50" s="622"/>
      <c r="J50" s="621"/>
      <c r="K50" s="623"/>
      <c r="L50" s="623"/>
      <c r="M50" s="623"/>
      <c r="N50" s="623"/>
      <c r="O50" s="624"/>
      <c r="P50" s="624"/>
      <c r="Q50" s="624"/>
      <c r="R50" s="623"/>
      <c r="S50" s="623"/>
      <c r="T50" s="621"/>
      <c r="U50" s="625"/>
      <c r="V50" s="625"/>
      <c r="W50" s="626"/>
      <c r="X50" s="627"/>
    </row>
    <row r="51" spans="1:26">
      <c r="A51" s="169" t="s">
        <v>160</v>
      </c>
      <c r="B51" s="611"/>
      <c r="C51" s="585">
        <f t="shared" si="23"/>
        <v>165.637</v>
      </c>
      <c r="D51" s="585">
        <f>gCO2_km_bestel_benz_klein</f>
        <v>165.25</v>
      </c>
      <c r="E51" s="585">
        <f t="shared" si="24"/>
        <v>200.02000000000004</v>
      </c>
      <c r="F51" s="610">
        <f>verbr_benz_bestel_klein</f>
        <v>7.3</v>
      </c>
      <c r="G51" s="610"/>
      <c r="H51" s="611">
        <f>Efac_benz_WTW</f>
        <v>2.74</v>
      </c>
      <c r="I51" s="612">
        <f>Efac_benz_TTW</f>
        <v>2.2690000000000001</v>
      </c>
      <c r="J51" s="611"/>
      <c r="K51" s="613">
        <f>_fossiel_LCV!N116</f>
        <v>11078.333333333334</v>
      </c>
      <c r="L51" s="631">
        <f>IF(BPM_belasting="ja",(K51*$D$335)-$F$335,0)</f>
        <v>3903.5316666666668</v>
      </c>
      <c r="M51" s="588">
        <f>$B$227*K51</f>
        <v>2326.4499999999998</v>
      </c>
      <c r="N51" s="588">
        <f>K51+L51+M51</f>
        <v>17308.315000000002</v>
      </c>
      <c r="O51" s="614">
        <v>0</v>
      </c>
      <c r="P51" s="611"/>
      <c r="Q51" s="611"/>
      <c r="R51" s="588">
        <f>IF(MRB_belasting="ja",input_MRB_benz_bestel_klein_berek,0)</f>
        <v>1820</v>
      </c>
      <c r="S51" s="567">
        <f>$R51/(12*looptijd)</f>
        <v>30.333333333333332</v>
      </c>
      <c r="T51" s="612">
        <f t="shared" si="20"/>
        <v>1.3603305785123967</v>
      </c>
      <c r="U51" s="589">
        <f>$B$485</f>
        <v>3.1E-2</v>
      </c>
      <c r="V51" s="589">
        <f>$B$564</f>
        <v>5.4000000000000006E-2</v>
      </c>
      <c r="W51" s="615">
        <f t="shared" si="21"/>
        <v>0.3</v>
      </c>
      <c r="X51" s="632">
        <f>(250+0.015*K51)/12</f>
        <v>34.681249999999999</v>
      </c>
      <c r="Z51" s="171" t="s">
        <v>845</v>
      </c>
    </row>
    <row r="52" spans="1:26">
      <c r="A52" s="169" t="s">
        <v>161</v>
      </c>
      <c r="B52" s="556" t="s">
        <v>158</v>
      </c>
      <c r="C52" s="556"/>
      <c r="D52" s="556"/>
      <c r="E52" s="556"/>
      <c r="F52" s="555"/>
      <c r="G52" s="555"/>
      <c r="H52" s="556"/>
      <c r="I52" s="556"/>
      <c r="J52" s="556"/>
      <c r="K52" s="557"/>
      <c r="L52" s="629"/>
      <c r="M52" s="557"/>
      <c r="N52" s="558"/>
      <c r="O52" s="630"/>
      <c r="P52" s="556"/>
      <c r="Q52" s="556"/>
      <c r="R52" s="558"/>
      <c r="S52" s="558"/>
      <c r="T52" s="556"/>
      <c r="U52" s="556"/>
      <c r="V52" s="556"/>
      <c r="W52" s="556"/>
      <c r="X52" s="561"/>
    </row>
    <row r="53" spans="1:26" ht="17" thickBot="1">
      <c r="A53" s="170" t="s">
        <v>162</v>
      </c>
      <c r="B53" s="633" t="s">
        <v>158</v>
      </c>
      <c r="C53" s="633"/>
      <c r="D53" s="633"/>
      <c r="E53" s="633"/>
      <c r="F53" s="634"/>
      <c r="G53" s="634"/>
      <c r="H53" s="633"/>
      <c r="I53" s="633"/>
      <c r="J53" s="633"/>
      <c r="K53" s="635"/>
      <c r="L53" s="636"/>
      <c r="M53" s="635"/>
      <c r="N53" s="637"/>
      <c r="O53" s="638"/>
      <c r="P53" s="633"/>
      <c r="Q53" s="633"/>
      <c r="R53" s="637"/>
      <c r="S53" s="637"/>
      <c r="T53" s="633"/>
      <c r="U53" s="633"/>
      <c r="V53" s="633"/>
      <c r="W53" s="633"/>
      <c r="X53" s="639"/>
    </row>
    <row r="54" spans="1:26" ht="17" thickBot="1"/>
    <row r="55" spans="1:26">
      <c r="A55" s="167" t="s">
        <v>133</v>
      </c>
      <c r="B55" s="542"/>
      <c r="C55" s="542"/>
      <c r="D55" s="1558" t="s">
        <v>818</v>
      </c>
      <c r="E55" s="1559"/>
      <c r="F55" s="1559"/>
      <c r="G55" s="1559"/>
      <c r="H55" s="1559"/>
      <c r="I55" s="1559"/>
      <c r="J55" s="1560"/>
      <c r="K55" s="1560"/>
      <c r="L55" s="1560"/>
      <c r="M55" s="1560"/>
      <c r="N55" s="1560"/>
      <c r="O55" s="1560"/>
      <c r="P55" s="1560"/>
      <c r="Q55" s="1560"/>
      <c r="R55" s="1560"/>
      <c r="S55" s="1560"/>
      <c r="T55" s="1560"/>
      <c r="U55" s="1560"/>
      <c r="V55" s="1560"/>
      <c r="W55" s="1560"/>
      <c r="X55" s="1561"/>
    </row>
    <row r="56" spans="1:26">
      <c r="A56" s="168"/>
      <c r="B56" s="609" t="s">
        <v>135</v>
      </c>
      <c r="C56" s="609"/>
      <c r="D56" s="1553" t="s">
        <v>136</v>
      </c>
      <c r="E56" s="1554"/>
      <c r="F56" s="1554"/>
      <c r="G56" s="1554"/>
      <c r="H56" s="1554"/>
      <c r="I56" s="545"/>
      <c r="J56" s="546"/>
      <c r="K56" s="1553" t="s">
        <v>137</v>
      </c>
      <c r="L56" s="1553"/>
      <c r="M56" s="1553"/>
      <c r="N56" s="1554"/>
      <c r="O56" s="547"/>
      <c r="P56" s="546"/>
      <c r="Q56" s="546"/>
      <c r="R56" s="1553" t="s">
        <v>164</v>
      </c>
      <c r="S56" s="1553"/>
      <c r="T56" s="1553"/>
      <c r="U56" s="1553"/>
      <c r="V56" s="1553"/>
      <c r="W56" s="1553"/>
      <c r="X56" s="1555"/>
    </row>
    <row r="57" spans="1:26" ht="68">
      <c r="A57" s="168"/>
      <c r="B57" s="609"/>
      <c r="C57" s="549" t="s">
        <v>1383</v>
      </c>
      <c r="D57" s="547" t="s">
        <v>791</v>
      </c>
      <c r="E57" s="547" t="s">
        <v>140</v>
      </c>
      <c r="F57" s="547" t="s">
        <v>1389</v>
      </c>
      <c r="G57" s="547"/>
      <c r="H57" s="547" t="s">
        <v>141</v>
      </c>
      <c r="I57" s="547" t="s">
        <v>142</v>
      </c>
      <c r="J57" s="199"/>
      <c r="K57" s="549" t="s">
        <v>769</v>
      </c>
      <c r="L57" s="547" t="s">
        <v>121</v>
      </c>
      <c r="M57" s="547" t="s">
        <v>77</v>
      </c>
      <c r="N57" s="547" t="s">
        <v>143</v>
      </c>
      <c r="O57" s="547" t="s">
        <v>144</v>
      </c>
      <c r="P57" s="546"/>
      <c r="Q57" s="546"/>
      <c r="R57" s="547" t="s">
        <v>124</v>
      </c>
      <c r="S57" s="549" t="s">
        <v>1563</v>
      </c>
      <c r="T57" s="547" t="s">
        <v>145</v>
      </c>
      <c r="U57" s="549" t="s">
        <v>737</v>
      </c>
      <c r="V57" s="549" t="s">
        <v>738</v>
      </c>
      <c r="W57" s="547" t="s">
        <v>146</v>
      </c>
      <c r="X57" s="550" t="s">
        <v>106</v>
      </c>
    </row>
    <row r="58" spans="1:26">
      <c r="A58" s="168"/>
      <c r="B58" s="609"/>
      <c r="C58" s="545" t="s">
        <v>147</v>
      </c>
      <c r="D58" s="545" t="s">
        <v>147</v>
      </c>
      <c r="E58" s="545" t="s">
        <v>147</v>
      </c>
      <c r="F58" s="545" t="s">
        <v>800</v>
      </c>
      <c r="G58" s="545"/>
      <c r="H58" s="545" t="s">
        <v>1377</v>
      </c>
      <c r="I58" s="545" t="s">
        <v>149</v>
      </c>
      <c r="J58" s="199"/>
      <c r="K58" s="545" t="s">
        <v>150</v>
      </c>
      <c r="L58" s="545" t="s">
        <v>151</v>
      </c>
      <c r="M58" s="545" t="s">
        <v>151</v>
      </c>
      <c r="N58" s="545" t="s">
        <v>152</v>
      </c>
      <c r="O58" s="545" t="s">
        <v>151</v>
      </c>
      <c r="P58" s="546"/>
      <c r="Q58" s="546"/>
      <c r="R58" s="545" t="s">
        <v>1562</v>
      </c>
      <c r="S58" s="545" t="s">
        <v>153</v>
      </c>
      <c r="T58" s="545" t="s">
        <v>802</v>
      </c>
      <c r="U58" s="545" t="s">
        <v>155</v>
      </c>
      <c r="V58" s="545" t="s">
        <v>155</v>
      </c>
      <c r="W58" s="545" t="s">
        <v>156</v>
      </c>
      <c r="X58" s="551" t="s">
        <v>157</v>
      </c>
    </row>
    <row r="59" spans="1:26">
      <c r="A59" s="169" t="s">
        <v>7</v>
      </c>
      <c r="B59" s="563"/>
      <c r="C59" s="563">
        <f>F59*I59*10</f>
        <v>73.721999999999994</v>
      </c>
      <c r="D59" s="563">
        <f>F59*I59*10</f>
        <v>73.721999999999994</v>
      </c>
      <c r="E59" s="563">
        <f>F59*H59*10</f>
        <v>90.024000000000001</v>
      </c>
      <c r="F59" s="610">
        <f>verbr_CNG_A</f>
        <v>3.3</v>
      </c>
      <c r="G59" s="610"/>
      <c r="H59" s="610">
        <f t="shared" ref="H59:H70" si="25">Efac_CNG_WTW</f>
        <v>2.7280000000000002</v>
      </c>
      <c r="I59" s="610">
        <f t="shared" ref="I59:I70" si="26">Efac_CNG_TTW</f>
        <v>2.234</v>
      </c>
      <c r="J59" s="199"/>
      <c r="K59" s="566">
        <f>cat_prijs_net_benz_A+_extra_capex_CNG_tov_benzine</f>
        <v>11314</v>
      </c>
      <c r="L59" s="566">
        <f>IF(BPM_belasting="ja",((D59-$A$297)*$H$297+$F$297),0)</f>
        <v>438.72199999999998</v>
      </c>
      <c r="M59" s="567">
        <f t="shared" ref="M59:M65" si="27">$B$227*K59</f>
        <v>2375.94</v>
      </c>
      <c r="N59" s="567">
        <f t="shared" ref="N59:N65" si="28">K59+L59+M59</f>
        <v>14128.662</v>
      </c>
      <c r="O59" s="568">
        <v>0</v>
      </c>
      <c r="P59" s="568"/>
      <c r="Q59" s="568"/>
      <c r="R59" s="567">
        <f>IF(MRB_belasting="ja",MRB_CNG_A*12*looptijd,0)</f>
        <v>1120</v>
      </c>
      <c r="S59" s="567">
        <f t="shared" ref="S59:S68" si="29">$R59/(12*looptijd)</f>
        <v>18.666666666666668</v>
      </c>
      <c r="T59" s="565">
        <f t="shared" ref="T59:T68" si="30">prijs_CNG</f>
        <v>0.96363636363636362</v>
      </c>
      <c r="U59" s="569">
        <f>Onderh_benz_A</f>
        <v>2.1999999999999999E-2</v>
      </c>
      <c r="V59" s="569">
        <f>Onderh_benz_A_hoog_km</f>
        <v>3.4000000000000002E-2</v>
      </c>
      <c r="W59" s="570">
        <f t="shared" ref="W59:W77" si="31">Rest_perc</f>
        <v>0.3</v>
      </c>
      <c r="X59" s="571">
        <f t="shared" ref="X59:X68" si="32">(_verzekering_vast+_verzekering_variabel*K59)/12</f>
        <v>26.094999999999999</v>
      </c>
    </row>
    <row r="60" spans="1:26">
      <c r="A60" s="169" t="s">
        <v>12</v>
      </c>
      <c r="B60" s="563"/>
      <c r="C60" s="563">
        <f t="shared" ref="C60:C77" si="33">F60*I60*10</f>
        <v>116.44725000000001</v>
      </c>
      <c r="D60" s="563">
        <f t="shared" ref="D60:D72" si="34">F60*I60*10</f>
        <v>116.44725000000001</v>
      </c>
      <c r="E60" s="563">
        <f t="shared" ref="E60:E73" si="35">F60*H60*10</f>
        <v>142.197</v>
      </c>
      <c r="F60" s="564">
        <f>verbr_CNG_B</f>
        <v>5.2125000000000004</v>
      </c>
      <c r="G60" s="564"/>
      <c r="H60" s="564">
        <f t="shared" si="25"/>
        <v>2.7280000000000002</v>
      </c>
      <c r="I60" s="564">
        <f t="shared" si="26"/>
        <v>2.234</v>
      </c>
      <c r="J60" s="199"/>
      <c r="K60" s="566">
        <f>cat_prijs_net_benz_B+_extra_capex_CNG_tov_benzine</f>
        <v>15492.25</v>
      </c>
      <c r="L60" s="566">
        <f>IF(BPM_belasting="ja",((D60-$A$298)*$H$298+$F$298),0)</f>
        <v>1906.4932500000007</v>
      </c>
      <c r="M60" s="567">
        <f t="shared" si="27"/>
        <v>3253.3724999999999</v>
      </c>
      <c r="N60" s="567">
        <f t="shared" si="28"/>
        <v>20652.115750000001</v>
      </c>
      <c r="O60" s="568">
        <v>0</v>
      </c>
      <c r="P60" s="568"/>
      <c r="Q60" s="568"/>
      <c r="R60" s="567">
        <f>IF(MRB_belasting="ja",MRB_CNG_B*12*looptijd,0)</f>
        <v>3220</v>
      </c>
      <c r="S60" s="567">
        <f t="shared" si="29"/>
        <v>53.666666666666664</v>
      </c>
      <c r="T60" s="565">
        <f t="shared" si="30"/>
        <v>0.96363636363636362</v>
      </c>
      <c r="U60" s="569">
        <f>Onderh_benz_B</f>
        <v>3.1E-2</v>
      </c>
      <c r="V60" s="569">
        <f>Onderh_benz_B_hoog_km</f>
        <v>4.8000000000000001E-2</v>
      </c>
      <c r="W60" s="570">
        <f t="shared" si="31"/>
        <v>0.3</v>
      </c>
      <c r="X60" s="571">
        <f t="shared" si="32"/>
        <v>29.576875000000001</v>
      </c>
    </row>
    <row r="61" spans="1:26">
      <c r="A61" s="169" t="s">
        <v>15</v>
      </c>
      <c r="B61" s="563"/>
      <c r="C61" s="563">
        <f t="shared" si="33"/>
        <v>121.19449999999999</v>
      </c>
      <c r="D61" s="563">
        <f t="shared" si="34"/>
        <v>121.19449999999999</v>
      </c>
      <c r="E61" s="563">
        <f t="shared" si="35"/>
        <v>147.994</v>
      </c>
      <c r="F61" s="564">
        <f>verbr_CNG_C</f>
        <v>5.4249999999999998</v>
      </c>
      <c r="G61" s="564"/>
      <c r="H61" s="564">
        <f t="shared" si="25"/>
        <v>2.7280000000000002</v>
      </c>
      <c r="I61" s="564">
        <f t="shared" si="26"/>
        <v>2.234</v>
      </c>
      <c r="J61" s="199"/>
      <c r="K61" s="566">
        <f>cat_prijs_net_benz_C+_extra_capex_CNG_tov_benzine</f>
        <v>19030.25</v>
      </c>
      <c r="L61" s="566">
        <f>IF(BPM_belasting="ja",((D61-$A$299)*$H$299+$F$299),0)</f>
        <v>2458.1179999999986</v>
      </c>
      <c r="M61" s="567">
        <f t="shared" si="27"/>
        <v>3996.3525</v>
      </c>
      <c r="N61" s="567">
        <f t="shared" si="28"/>
        <v>25484.720499999999</v>
      </c>
      <c r="O61" s="568">
        <v>0</v>
      </c>
      <c r="P61" s="568"/>
      <c r="Q61" s="568"/>
      <c r="R61" s="567">
        <f>IF(MRB_belasting="ja",MRB_CNG_C*12*looptijd,0)</f>
        <v>4680</v>
      </c>
      <c r="S61" s="567">
        <f t="shared" si="29"/>
        <v>78</v>
      </c>
      <c r="T61" s="565">
        <f t="shared" si="30"/>
        <v>0.96363636363636362</v>
      </c>
      <c r="U61" s="569">
        <f>Onderh_benz_C</f>
        <v>3.9E-2</v>
      </c>
      <c r="V61" s="569">
        <f>Onderh_benz_C_hoog_km</f>
        <v>5.6999999999999995E-2</v>
      </c>
      <c r="W61" s="570">
        <f t="shared" si="31"/>
        <v>0.3</v>
      </c>
      <c r="X61" s="571">
        <f t="shared" si="32"/>
        <v>32.525208333333332</v>
      </c>
    </row>
    <row r="62" spans="1:26">
      <c r="A62" s="169" t="s">
        <v>18</v>
      </c>
      <c r="B62" s="563"/>
      <c r="C62" s="563">
        <f t="shared" si="33"/>
        <v>123.4285</v>
      </c>
      <c r="D62" s="563">
        <f t="shared" si="34"/>
        <v>123.4285</v>
      </c>
      <c r="E62" s="563">
        <f t="shared" si="35"/>
        <v>150.72200000000004</v>
      </c>
      <c r="F62" s="564">
        <f>verbr_CNG_D</f>
        <v>5.5250000000000004</v>
      </c>
      <c r="G62" s="564"/>
      <c r="H62" s="564">
        <f t="shared" si="25"/>
        <v>2.7280000000000002</v>
      </c>
      <c r="I62" s="564">
        <f t="shared" si="26"/>
        <v>2.234</v>
      </c>
      <c r="J62" s="199"/>
      <c r="K62" s="566">
        <f>cat_prijs_net_benz_D+_extra_capex_CNG_tov_benzine</f>
        <v>31813.5</v>
      </c>
      <c r="L62" s="566">
        <f>IF(BPM_belasting="ja",((D62-$A$299)*$H$299+$F$299),0)</f>
        <v>2735.134</v>
      </c>
      <c r="M62" s="567">
        <f t="shared" si="27"/>
        <v>6680.835</v>
      </c>
      <c r="N62" s="567">
        <f t="shared" si="28"/>
        <v>41229.468999999997</v>
      </c>
      <c r="O62" s="568">
        <v>0</v>
      </c>
      <c r="P62" s="568"/>
      <c r="Q62" s="568"/>
      <c r="R62" s="567">
        <f>IF(MRB_belasting="ja",MRB_CNG_D*12*looptijd,0)</f>
        <v>6140</v>
      </c>
      <c r="S62" s="567">
        <f t="shared" si="29"/>
        <v>102.33333333333333</v>
      </c>
      <c r="T62" s="565">
        <f t="shared" si="30"/>
        <v>0.96363636363636362</v>
      </c>
      <c r="U62" s="569">
        <f>Onderh_benz_D</f>
        <v>4.8000000000000001E-2</v>
      </c>
      <c r="V62" s="569">
        <f>Onderh_benz_D_hoog_km</f>
        <v>5.9000000000000004E-2</v>
      </c>
      <c r="W62" s="570">
        <f t="shared" si="31"/>
        <v>0.3</v>
      </c>
      <c r="X62" s="571">
        <f t="shared" si="32"/>
        <v>43.177916666666668</v>
      </c>
    </row>
    <row r="63" spans="1:26">
      <c r="A63" s="169" t="s">
        <v>21</v>
      </c>
      <c r="B63" s="563"/>
      <c r="C63" s="563">
        <f t="shared" si="33"/>
        <v>140.18350000000001</v>
      </c>
      <c r="D63" s="563">
        <f t="shared" si="34"/>
        <v>140.18350000000001</v>
      </c>
      <c r="E63" s="563">
        <f t="shared" si="35"/>
        <v>171.18200000000002</v>
      </c>
      <c r="F63" s="564">
        <f>verbr_CNG_E</f>
        <v>6.2750000000000004</v>
      </c>
      <c r="G63" s="564"/>
      <c r="H63" s="564">
        <f t="shared" si="25"/>
        <v>2.7280000000000002</v>
      </c>
      <c r="I63" s="564">
        <f t="shared" si="26"/>
        <v>2.234</v>
      </c>
      <c r="J63" s="199"/>
      <c r="K63" s="566">
        <f>cat_prijs_net_benz_E+_extra_capex_CNG_tov_benzine</f>
        <v>45225.25</v>
      </c>
      <c r="L63" s="566">
        <f>IF(BPM_belasting="ja",((D63-$A$299)*$H$299+$F$299),0)</f>
        <v>4812.7540000000008</v>
      </c>
      <c r="M63" s="567">
        <f t="shared" si="27"/>
        <v>9497.3024999999998</v>
      </c>
      <c r="N63" s="567">
        <f t="shared" si="28"/>
        <v>59535.306499999999</v>
      </c>
      <c r="O63" s="568">
        <v>0</v>
      </c>
      <c r="P63" s="568"/>
      <c r="Q63" s="568"/>
      <c r="R63" s="567">
        <f>IF(MRB_belasting="ja",MRB_CNG_E*12*looptijd,0)</f>
        <v>6880</v>
      </c>
      <c r="S63" s="567">
        <f t="shared" si="29"/>
        <v>114.66666666666667</v>
      </c>
      <c r="T63" s="565">
        <f t="shared" si="30"/>
        <v>0.96363636363636362</v>
      </c>
      <c r="U63" s="569">
        <f>Onderh_benz_E</f>
        <v>0.05</v>
      </c>
      <c r="V63" s="573">
        <f>Onderh_benz_E_hoog_km</f>
        <v>0.08</v>
      </c>
      <c r="W63" s="570">
        <f t="shared" si="31"/>
        <v>0.3</v>
      </c>
      <c r="X63" s="571">
        <f t="shared" si="32"/>
        <v>54.354375000000005</v>
      </c>
    </row>
    <row r="64" spans="1:26">
      <c r="A64" s="169" t="s">
        <v>25</v>
      </c>
      <c r="B64" s="199"/>
      <c r="C64" s="563">
        <f t="shared" si="33"/>
        <v>160.84800000000001</v>
      </c>
      <c r="D64" s="563">
        <f t="shared" si="34"/>
        <v>160.84800000000001</v>
      </c>
      <c r="E64" s="563">
        <f t="shared" si="35"/>
        <v>196.416</v>
      </c>
      <c r="F64" s="564">
        <f>verbr_CNG_F</f>
        <v>7.2</v>
      </c>
      <c r="G64" s="564"/>
      <c r="H64" s="564">
        <f t="shared" si="25"/>
        <v>2.7280000000000002</v>
      </c>
      <c r="I64" s="564">
        <f t="shared" si="26"/>
        <v>2.234</v>
      </c>
      <c r="J64" s="199"/>
      <c r="K64" s="566">
        <f>cat_prijs_net_benz_F+_extra_capex_CNG_tov_benzine</f>
        <v>79823</v>
      </c>
      <c r="L64" s="566">
        <f>IF(BPM_belasting="ja",((D64-$A$300)*$H$300+$F$300)+(D64-$A$324)*$E$324,0)</f>
        <v>13575.431360000002</v>
      </c>
      <c r="M64" s="567">
        <f t="shared" si="27"/>
        <v>16762.829999999998</v>
      </c>
      <c r="N64" s="567">
        <f t="shared" si="28"/>
        <v>110161.26136</v>
      </c>
      <c r="O64" s="568">
        <v>0</v>
      </c>
      <c r="P64" s="568"/>
      <c r="Q64" s="568"/>
      <c r="R64" s="567">
        <f>IF(MRB_belasting="ja",MRB_CNG_F*12*looptijd,0)</f>
        <v>9060</v>
      </c>
      <c r="S64" s="567">
        <f t="shared" si="29"/>
        <v>151</v>
      </c>
      <c r="T64" s="565">
        <f t="shared" si="30"/>
        <v>0.96363636363636362</v>
      </c>
      <c r="U64" s="569">
        <f>Onderh_benz_F</f>
        <v>5.6399999999999992E-2</v>
      </c>
      <c r="V64" s="569">
        <f>Onderh_benz_F_hoog_km</f>
        <v>8.7300000000000003E-2</v>
      </c>
      <c r="W64" s="570">
        <f t="shared" si="31"/>
        <v>0.3</v>
      </c>
      <c r="X64" s="571">
        <f t="shared" si="32"/>
        <v>83.185833333333335</v>
      </c>
    </row>
    <row r="65" spans="1:29">
      <c r="A65" s="169" t="s">
        <v>159</v>
      </c>
      <c r="B65" s="199"/>
      <c r="C65" s="563">
        <f t="shared" si="33"/>
        <v>137.94950000000003</v>
      </c>
      <c r="D65" s="563">
        <f t="shared" si="34"/>
        <v>137.94950000000003</v>
      </c>
      <c r="E65" s="563">
        <f t="shared" si="35"/>
        <v>168.45400000000001</v>
      </c>
      <c r="F65" s="564">
        <f>verbr_CNG_J</f>
        <v>6.1750000000000007</v>
      </c>
      <c r="G65" s="564"/>
      <c r="H65" s="564">
        <f t="shared" si="25"/>
        <v>2.7280000000000002</v>
      </c>
      <c r="I65" s="564">
        <f t="shared" si="26"/>
        <v>2.234</v>
      </c>
      <c r="J65" s="199"/>
      <c r="K65" s="566">
        <f>cat_prijs_net_benz_J+_extra_capex_CNG_tov_benzine</f>
        <v>15081</v>
      </c>
      <c r="L65" s="566">
        <f>IF(BPM_belasting="ja",((D65-$A$299)*$H$299+$F$299),0)</f>
        <v>4535.738000000003</v>
      </c>
      <c r="M65" s="567">
        <f t="shared" si="27"/>
        <v>3167.0099999999998</v>
      </c>
      <c r="N65" s="567">
        <f t="shared" si="28"/>
        <v>22783.748000000003</v>
      </c>
      <c r="O65" s="568">
        <v>0</v>
      </c>
      <c r="P65" s="568"/>
      <c r="Q65" s="568"/>
      <c r="R65" s="567">
        <f>IF(MRB_belasting="ja",MRB_CNG_J*12*looptijd,0)</f>
        <v>3220</v>
      </c>
      <c r="S65" s="567">
        <f t="shared" si="29"/>
        <v>53.666666666666664</v>
      </c>
      <c r="T65" s="565">
        <f t="shared" si="30"/>
        <v>0.96363636363636362</v>
      </c>
      <c r="U65" s="569">
        <f>Onderh_benz_J</f>
        <v>3.7999999999999999E-2</v>
      </c>
      <c r="V65" s="569">
        <f>Onderh_benz_J_hoog_km</f>
        <v>5.1999999999999998E-2</v>
      </c>
      <c r="W65" s="570">
        <f t="shared" si="31"/>
        <v>0.3</v>
      </c>
      <c r="X65" s="571">
        <f t="shared" si="32"/>
        <v>29.234166666666667</v>
      </c>
    </row>
    <row r="66" spans="1:29" hidden="1">
      <c r="A66" s="169" t="s">
        <v>896</v>
      </c>
      <c r="B66" s="199"/>
      <c r="C66" s="563">
        <f t="shared" si="33"/>
        <v>0</v>
      </c>
      <c r="D66" s="563"/>
      <c r="E66" s="563"/>
      <c r="F66" s="564"/>
      <c r="G66" s="564"/>
      <c r="H66" s="564">
        <f t="shared" si="25"/>
        <v>2.7280000000000002</v>
      </c>
      <c r="I66" s="564">
        <f t="shared" si="26"/>
        <v>2.234</v>
      </c>
      <c r="J66" s="199"/>
      <c r="K66" s="566"/>
      <c r="L66" s="566"/>
      <c r="M66" s="567"/>
      <c r="N66" s="567"/>
      <c r="O66" s="568"/>
      <c r="P66" s="568"/>
      <c r="Q66" s="568"/>
      <c r="R66" s="567"/>
      <c r="S66" s="567">
        <f t="shared" si="29"/>
        <v>0</v>
      </c>
      <c r="T66" s="565"/>
      <c r="U66" s="569"/>
      <c r="V66" s="569"/>
      <c r="W66" s="570"/>
      <c r="X66" s="571">
        <f t="shared" si="32"/>
        <v>16.666666666666668</v>
      </c>
    </row>
    <row r="67" spans="1:29">
      <c r="A67" s="169" t="s">
        <v>28</v>
      </c>
      <c r="B67" s="199"/>
      <c r="C67" s="563">
        <f t="shared" si="33"/>
        <v>131.80600000000001</v>
      </c>
      <c r="D67" s="563">
        <f t="shared" si="34"/>
        <v>131.80600000000001</v>
      </c>
      <c r="E67" s="563">
        <f t="shared" si="35"/>
        <v>160.95200000000003</v>
      </c>
      <c r="F67" s="564">
        <f>verbr_CNG_L</f>
        <v>5.9</v>
      </c>
      <c r="G67" s="564"/>
      <c r="H67" s="564">
        <f t="shared" si="25"/>
        <v>2.7280000000000002</v>
      </c>
      <c r="I67" s="564">
        <f t="shared" si="26"/>
        <v>2.234</v>
      </c>
      <c r="J67" s="199"/>
      <c r="K67" s="566">
        <f>cat_prijs_net_benz_L+_extra_capex_CNG_tov_benzine</f>
        <v>21481</v>
      </c>
      <c r="L67" s="566">
        <f>IF(BPM_belasting="ja",((D67-$A$299)*$H$299+$F$299),0)</f>
        <v>3773.9440000000013</v>
      </c>
      <c r="M67" s="567">
        <f>$B$227*K67</f>
        <v>4511.01</v>
      </c>
      <c r="N67" s="567">
        <f>K67+L67+M67</f>
        <v>29765.954000000005</v>
      </c>
      <c r="O67" s="568">
        <v>0</v>
      </c>
      <c r="P67" s="568"/>
      <c r="Q67" s="568"/>
      <c r="R67" s="567">
        <f>IF(MRB_belasting="ja",MRB_CNG_L*12*looptijd,0)</f>
        <v>4680</v>
      </c>
      <c r="S67" s="567">
        <f t="shared" si="29"/>
        <v>78</v>
      </c>
      <c r="T67" s="565">
        <f t="shared" si="30"/>
        <v>0.96363636363636362</v>
      </c>
      <c r="U67" s="569">
        <f>Onderh_benz_L</f>
        <v>0.04</v>
      </c>
      <c r="V67" s="569">
        <f>Onderh_benz_L_hoog_km</f>
        <v>5.6000000000000001E-2</v>
      </c>
      <c r="W67" s="570">
        <f t="shared" si="31"/>
        <v>0.3</v>
      </c>
      <c r="X67" s="571">
        <f t="shared" si="32"/>
        <v>34.567500000000003</v>
      </c>
    </row>
    <row r="68" spans="1:29">
      <c r="A68" s="169" t="s">
        <v>32</v>
      </c>
      <c r="B68" s="546"/>
      <c r="C68" s="563">
        <f t="shared" si="33"/>
        <v>199.94299999999998</v>
      </c>
      <c r="D68" s="563">
        <f t="shared" si="34"/>
        <v>199.94299999999998</v>
      </c>
      <c r="E68" s="563">
        <f t="shared" si="35"/>
        <v>244.15600000000001</v>
      </c>
      <c r="F68" s="564">
        <f>verbr_CNG_M</f>
        <v>8.9499999999999993</v>
      </c>
      <c r="G68" s="564"/>
      <c r="H68" s="564">
        <f t="shared" si="25"/>
        <v>2.7280000000000002</v>
      </c>
      <c r="I68" s="564">
        <f t="shared" si="26"/>
        <v>2.234</v>
      </c>
      <c r="J68" s="199"/>
      <c r="K68" s="566">
        <f>cat_prijs_net_benz_M+_extra_capex_CNG_tov_benzine</f>
        <v>60143.75</v>
      </c>
      <c r="L68" s="566">
        <f>IF(BPM_belasting="ja",((D68-$A$301)*$H$301+$F$301),0)</f>
        <v>19450.743999999992</v>
      </c>
      <c r="M68" s="567">
        <f>$B$227*K68</f>
        <v>12630.1875</v>
      </c>
      <c r="N68" s="567">
        <f>K68+L68+M68</f>
        <v>92224.681499999992</v>
      </c>
      <c r="O68" s="568">
        <v>0</v>
      </c>
      <c r="P68" s="568"/>
      <c r="Q68" s="568"/>
      <c r="R68" s="567">
        <f>IF(MRB_belasting="ja",MRB_CNG_M*12*looptijd,0)</f>
        <v>11240</v>
      </c>
      <c r="S68" s="567">
        <f t="shared" si="29"/>
        <v>187.33333333333334</v>
      </c>
      <c r="T68" s="565">
        <f t="shared" si="30"/>
        <v>0.96363636363636362</v>
      </c>
      <c r="U68" s="569">
        <f>Onderh_benz_M</f>
        <v>6.2E-2</v>
      </c>
      <c r="V68" s="569">
        <f>Onderh_benz_M_hoog_km</f>
        <v>8.1000000000000003E-2</v>
      </c>
      <c r="W68" s="570">
        <f t="shared" si="31"/>
        <v>0.3</v>
      </c>
      <c r="X68" s="571">
        <f t="shared" si="32"/>
        <v>66.786458333333329</v>
      </c>
    </row>
    <row r="69" spans="1:29">
      <c r="A69" s="190"/>
      <c r="B69" s="618"/>
      <c r="C69" s="618"/>
      <c r="D69" s="619"/>
      <c r="E69" s="619"/>
      <c r="F69" s="620"/>
      <c r="G69" s="620"/>
      <c r="H69" s="620">
        <f t="shared" si="25"/>
        <v>2.7280000000000002</v>
      </c>
      <c r="I69" s="620">
        <f t="shared" si="26"/>
        <v>2.234</v>
      </c>
      <c r="J69" s="621"/>
      <c r="K69" s="623"/>
      <c r="L69" s="623"/>
      <c r="M69" s="623"/>
      <c r="N69" s="623"/>
      <c r="O69" s="624"/>
      <c r="P69" s="624"/>
      <c r="Q69" s="624"/>
      <c r="R69" s="623"/>
      <c r="S69" s="623"/>
      <c r="T69" s="622"/>
      <c r="U69" s="625"/>
      <c r="V69" s="625"/>
      <c r="W69" s="626"/>
      <c r="X69" s="627"/>
    </row>
    <row r="70" spans="1:29">
      <c r="A70" s="169" t="s">
        <v>741</v>
      </c>
      <c r="B70" s="640"/>
      <c r="C70" s="563">
        <f t="shared" si="33"/>
        <v>135.71549999999999</v>
      </c>
      <c r="D70" s="585">
        <f>F70*I70*10</f>
        <v>135.71549999999999</v>
      </c>
      <c r="E70" s="563">
        <f t="shared" si="35"/>
        <v>165.726</v>
      </c>
      <c r="F70" s="564">
        <f>verbr_CNG_kleine_taxibus</f>
        <v>6.0750000000000002</v>
      </c>
      <c r="G70" s="564"/>
      <c r="H70" s="564">
        <f t="shared" si="25"/>
        <v>2.7280000000000002</v>
      </c>
      <c r="I70" s="564">
        <f t="shared" si="26"/>
        <v>2.234</v>
      </c>
      <c r="J70" s="199"/>
      <c r="K70" s="613">
        <f>Netto_cat_benz_taxibus_klein+_extra_capex_CNG_tov_benzine</f>
        <v>24277</v>
      </c>
      <c r="L70" s="613">
        <f>IF(BPM_belasting="ja",((D70-$A$299)*$H$299+$F$299),0)</f>
        <v>4258.7219999999988</v>
      </c>
      <c r="M70" s="567">
        <f>$B$227*K70</f>
        <v>5098.17</v>
      </c>
      <c r="N70" s="567">
        <f>K70+L70+M70</f>
        <v>33633.892</v>
      </c>
      <c r="O70" s="568">
        <v>0</v>
      </c>
      <c r="P70" s="568"/>
      <c r="Q70" s="568"/>
      <c r="R70" s="567">
        <f>IF(MRB_belasting="ja",MRB_CNG_kleine_taxibus*looptijd*12,0)</f>
        <v>5040</v>
      </c>
      <c r="S70" s="567">
        <f>$R70/(12*looptijd)</f>
        <v>84</v>
      </c>
      <c r="T70" s="565">
        <f>prijs_CNG</f>
        <v>0.96363636363636362</v>
      </c>
      <c r="U70" s="569">
        <f>$B$564</f>
        <v>5.4000000000000006E-2</v>
      </c>
      <c r="V70" s="573">
        <f>U70*$Y$17</f>
        <v>0</v>
      </c>
      <c r="W70" s="570">
        <f t="shared" si="31"/>
        <v>0.3</v>
      </c>
      <c r="X70" s="571">
        <f>(_verzekering_vast+_verzekering_variabel*K70)/12</f>
        <v>36.897500000000001</v>
      </c>
    </row>
    <row r="71" spans="1:29">
      <c r="A71" s="169" t="s">
        <v>850</v>
      </c>
      <c r="B71" s="556" t="s">
        <v>158</v>
      </c>
      <c r="C71" s="556"/>
      <c r="D71" s="554"/>
      <c r="E71" s="554"/>
      <c r="F71" s="555"/>
      <c r="G71" s="555"/>
      <c r="H71" s="555"/>
      <c r="I71" s="555"/>
      <c r="J71" s="556"/>
      <c r="K71" s="557"/>
      <c r="L71" s="557"/>
      <c r="M71" s="558"/>
      <c r="N71" s="558"/>
      <c r="O71" s="630"/>
      <c r="P71" s="556"/>
      <c r="Q71" s="556"/>
      <c r="R71" s="558"/>
      <c r="S71" s="558"/>
      <c r="T71" s="556"/>
      <c r="U71" s="560"/>
      <c r="V71" s="629"/>
      <c r="W71" s="641"/>
      <c r="X71" s="642"/>
    </row>
    <row r="72" spans="1:29">
      <c r="A72" s="169" t="s">
        <v>742</v>
      </c>
      <c r="B72" s="611"/>
      <c r="C72" s="563">
        <f t="shared" si="33"/>
        <v>192.124</v>
      </c>
      <c r="D72" s="585">
        <f t="shared" si="34"/>
        <v>192.124</v>
      </c>
      <c r="E72" s="563">
        <f t="shared" si="35"/>
        <v>234.60800000000003</v>
      </c>
      <c r="F72" s="564">
        <f>verbr_CNG_grote_taxibus</f>
        <v>8.6</v>
      </c>
      <c r="G72" s="564"/>
      <c r="H72" s="564">
        <f>Efac_CNG_WTW</f>
        <v>2.7280000000000002</v>
      </c>
      <c r="I72" s="564">
        <f>Efac_CNG_TTW</f>
        <v>2.234</v>
      </c>
      <c r="J72" s="199"/>
      <c r="K72" s="613">
        <f>cat_prijs_net_CNG_groot_taxibus</f>
        <v>39201</v>
      </c>
      <c r="L72" s="613">
        <f>IF(BPM_belasting="ja",((D72-$A$301)*$H$301+$F$301),0)</f>
        <v>16260.591999999997</v>
      </c>
      <c r="M72" s="567">
        <f>$B$227*K72</f>
        <v>8232.2099999999991</v>
      </c>
      <c r="N72" s="567">
        <f>K72+L72+M72</f>
        <v>63693.801999999996</v>
      </c>
      <c r="O72" s="568">
        <v>0</v>
      </c>
      <c r="P72" s="568"/>
      <c r="Q72" s="568"/>
      <c r="R72" s="567">
        <f>IF(MRB_belasting="ja",MRB_CNG_groot_taxibus*looptijd*12,0)</f>
        <v>11300</v>
      </c>
      <c r="S72" s="567">
        <f>$R72/(12*looptijd)</f>
        <v>188.33333333333334</v>
      </c>
      <c r="T72" s="565">
        <f>prijs_CNG</f>
        <v>0.96363636363636362</v>
      </c>
      <c r="U72" s="569">
        <f>$H$485</f>
        <v>0.06</v>
      </c>
      <c r="V72" s="573">
        <f>$H$564</f>
        <v>8.1000000000000003E-2</v>
      </c>
      <c r="W72" s="570">
        <f t="shared" si="31"/>
        <v>0.3</v>
      </c>
      <c r="X72" s="571">
        <f>(_verzekering_vast+_verzekering_variabel*K72)/12</f>
        <v>49.334166666666668</v>
      </c>
    </row>
    <row r="73" spans="1:29">
      <c r="A73" s="169" t="s">
        <v>714</v>
      </c>
      <c r="B73" s="611"/>
      <c r="C73" s="563">
        <f t="shared" si="33"/>
        <v>205.52800000000002</v>
      </c>
      <c r="D73" s="585">
        <f>F73*I73*10</f>
        <v>205.52800000000002</v>
      </c>
      <c r="E73" s="563">
        <f t="shared" si="35"/>
        <v>250.97600000000003</v>
      </c>
      <c r="F73" s="564">
        <f>verbr_CNG_rolstoelbus</f>
        <v>9.2000000000000011</v>
      </c>
      <c r="G73" s="564"/>
      <c r="H73" s="564">
        <f>Efac_CNG_WTW</f>
        <v>2.7280000000000002</v>
      </c>
      <c r="I73" s="564">
        <f>Efac_CNG_TTW</f>
        <v>2.234</v>
      </c>
      <c r="J73" s="199"/>
      <c r="K73" s="613">
        <f>cat_prijs_net_CNG_groot_taxibus+_Ombouwkosten_rolstoel_groot</f>
        <v>56201</v>
      </c>
      <c r="L73" s="613">
        <f>IF(BPM_belasting="ja",((D73-$A$301)*$H$301+$F$301),0)</f>
        <v>21729.424000000006</v>
      </c>
      <c r="M73" s="567">
        <f>$B$227*K73</f>
        <v>11802.21</v>
      </c>
      <c r="N73" s="567">
        <f>K73+L73+M73</f>
        <v>89732.633999999991</v>
      </c>
      <c r="O73" s="568">
        <v>0</v>
      </c>
      <c r="P73" s="568"/>
      <c r="Q73" s="568"/>
      <c r="R73" s="567">
        <f>IF(MRB_belasting="ja",MRB_CNG_rolstoelbus*looptijd*12,0)</f>
        <v>12080</v>
      </c>
      <c r="S73" s="567">
        <f>$R73/(12*looptijd)</f>
        <v>201.33333333333334</v>
      </c>
      <c r="T73" s="565">
        <f>prijs_CNG</f>
        <v>0.96363636363636362</v>
      </c>
      <c r="U73" s="569">
        <f>$I$485</f>
        <v>0.06</v>
      </c>
      <c r="V73" s="569">
        <f>$I$559</f>
        <v>8.1000000000000003E-2</v>
      </c>
      <c r="W73" s="570">
        <f t="shared" si="31"/>
        <v>0.3</v>
      </c>
      <c r="X73" s="571">
        <f>(_verzekering_vast+_verzekering_variabel*K73)/12</f>
        <v>63.500833333333333</v>
      </c>
    </row>
    <row r="74" spans="1:29">
      <c r="A74" s="190"/>
      <c r="B74" s="618"/>
      <c r="C74" s="618"/>
      <c r="D74" s="619"/>
      <c r="E74" s="619"/>
      <c r="F74" s="620"/>
      <c r="G74" s="620"/>
      <c r="H74" s="620">
        <f>Efac_CNG_WTW</f>
        <v>2.7280000000000002</v>
      </c>
      <c r="I74" s="620">
        <f>Efac_CNG_TTW</f>
        <v>2.234</v>
      </c>
      <c r="J74" s="621"/>
      <c r="K74" s="623"/>
      <c r="L74" s="623"/>
      <c r="M74" s="623"/>
      <c r="N74" s="623"/>
      <c r="O74" s="624"/>
      <c r="P74" s="624"/>
      <c r="Q74" s="624"/>
      <c r="R74" s="623"/>
      <c r="S74" s="623"/>
      <c r="T74" s="621"/>
      <c r="U74" s="625"/>
      <c r="V74" s="625"/>
      <c r="W74" s="626"/>
      <c r="X74" s="627"/>
    </row>
    <row r="75" spans="1:29" ht="18" customHeight="1">
      <c r="A75" s="169" t="s">
        <v>160</v>
      </c>
      <c r="B75" s="640"/>
      <c r="C75" s="563">
        <f>F75*I75*10</f>
        <v>128.00819999999999</v>
      </c>
      <c r="D75" s="563">
        <f t="shared" ref="D75" si="36">F75*I75*10</f>
        <v>128.00819999999999</v>
      </c>
      <c r="E75" s="563">
        <f>F75*H75*10</f>
        <v>156.31440000000001</v>
      </c>
      <c r="F75" s="564">
        <f>verbr_CNG_bestel_klein</f>
        <v>5.7299999999999995</v>
      </c>
      <c r="G75" s="564"/>
      <c r="H75" s="564">
        <f>Efac_CNG_WTW</f>
        <v>2.7280000000000002</v>
      </c>
      <c r="I75" s="564">
        <f>Efac_CNG_TTW</f>
        <v>2.234</v>
      </c>
      <c r="J75" s="199"/>
      <c r="K75" s="613">
        <f>Netto_cat_benz_bestel_klein+_extra_capex_CNG_tov_benzine</f>
        <v>14828.333333333334</v>
      </c>
      <c r="L75" s="613">
        <f>IF(BPM_belasting="ja",(K75*$D$333)-$E$333,0)</f>
        <v>4307.2816666666668</v>
      </c>
      <c r="M75" s="567">
        <f>$B$227*K75</f>
        <v>3113.95</v>
      </c>
      <c r="N75" s="567">
        <f>K75+L75+M75</f>
        <v>22249.565000000002</v>
      </c>
      <c r="O75" s="568">
        <v>0</v>
      </c>
      <c r="P75" s="199"/>
      <c r="Q75" s="199"/>
      <c r="R75" s="588">
        <f>IF(MRB_belasting="ja",input_MRB_CNG_bestel_klein_berek,0)</f>
        <v>3020</v>
      </c>
      <c r="S75" s="567">
        <f>$R75/(12*looptijd)</f>
        <v>50.333333333333336</v>
      </c>
      <c r="T75" s="199">
        <v>0.99</v>
      </c>
      <c r="U75" s="589">
        <f>$B$485</f>
        <v>3.1E-2</v>
      </c>
      <c r="V75" s="589">
        <f>$B$564</f>
        <v>5.4000000000000006E-2</v>
      </c>
      <c r="W75" s="570">
        <f t="shared" si="31"/>
        <v>0.3</v>
      </c>
      <c r="X75" s="571">
        <f>(_verzekering_vast+_verzekering_variabel*K75)/12</f>
        <v>29.023611111111109</v>
      </c>
      <c r="Z75" s="171" t="s">
        <v>845</v>
      </c>
    </row>
    <row r="76" spans="1:29">
      <c r="A76" s="169" t="s">
        <v>161</v>
      </c>
      <c r="B76" s="556" t="s">
        <v>158</v>
      </c>
      <c r="C76" s="556"/>
      <c r="D76" s="554"/>
      <c r="E76" s="554"/>
      <c r="F76" s="555"/>
      <c r="G76" s="555"/>
      <c r="H76" s="555"/>
      <c r="I76" s="555"/>
      <c r="J76" s="556"/>
      <c r="K76" s="557"/>
      <c r="L76" s="557"/>
      <c r="M76" s="558"/>
      <c r="N76" s="558"/>
      <c r="O76" s="630"/>
      <c r="P76" s="556"/>
      <c r="Q76" s="556"/>
      <c r="R76" s="558"/>
      <c r="S76" s="558"/>
      <c r="T76" s="556"/>
      <c r="U76" s="560"/>
      <c r="V76" s="629"/>
      <c r="W76" s="641"/>
      <c r="X76" s="642"/>
    </row>
    <row r="77" spans="1:29" ht="17" thickBot="1">
      <c r="A77" s="170" t="s">
        <v>162</v>
      </c>
      <c r="B77" s="593"/>
      <c r="C77" s="591">
        <f t="shared" si="33"/>
        <v>192.124</v>
      </c>
      <c r="D77" s="591">
        <f t="shared" ref="D77" si="37">F77*I77*10</f>
        <v>192.124</v>
      </c>
      <c r="E77" s="591">
        <f t="shared" ref="E77" si="38">F77*H77*10</f>
        <v>234.60800000000003</v>
      </c>
      <c r="F77" s="592">
        <f>verbr_CNG_bestel_groot</f>
        <v>8.6</v>
      </c>
      <c r="G77" s="592"/>
      <c r="H77" s="592">
        <f>Efac_CNG_WTW</f>
        <v>2.7280000000000002</v>
      </c>
      <c r="I77" s="592">
        <f>Efac_CNG_TTW</f>
        <v>2.234</v>
      </c>
      <c r="J77" s="593"/>
      <c r="K77" s="643">
        <f>cat_prijs_net_CNG_bestel_groot</f>
        <v>35000</v>
      </c>
      <c r="L77" s="643">
        <f>IF(BPM_belasting="ja",(K77*$D$333)-$E$333,0)</f>
        <v>11912</v>
      </c>
      <c r="M77" s="596">
        <f>$B$227*K77</f>
        <v>7350</v>
      </c>
      <c r="N77" s="596">
        <f>K77+L77+M77</f>
        <v>54262</v>
      </c>
      <c r="O77" s="597">
        <v>0</v>
      </c>
      <c r="P77" s="593"/>
      <c r="Q77" s="593"/>
      <c r="R77" s="598">
        <f>IF(MRB_belasting="ja",input_MRB_CNG_bestel_groot_berek,0)</f>
        <v>6440</v>
      </c>
      <c r="S77" s="596">
        <f>$R77/(12*looptijd)</f>
        <v>107.33333333333333</v>
      </c>
      <c r="T77" s="593">
        <v>0.99</v>
      </c>
      <c r="U77" s="599">
        <f>$D$485</f>
        <v>0.06</v>
      </c>
      <c r="V77" s="599">
        <f>$D$564</f>
        <v>8.1000000000000003E-2</v>
      </c>
      <c r="W77" s="600">
        <f t="shared" si="31"/>
        <v>0.3</v>
      </c>
      <c r="X77" s="571">
        <f>(_verzekering_vast+_verzekering_variabel*K77)/12</f>
        <v>45.833333333333336</v>
      </c>
    </row>
    <row r="78" spans="1:29" ht="17" thickBot="1"/>
    <row r="79" spans="1:29" ht="29" customHeight="1" thickBot="1">
      <c r="A79" s="344" t="s">
        <v>133</v>
      </c>
      <c r="B79" s="542"/>
      <c r="C79" s="542"/>
      <c r="D79" s="1558" t="s">
        <v>165</v>
      </c>
      <c r="E79" s="1559"/>
      <c r="F79" s="1559"/>
      <c r="G79" s="1559"/>
      <c r="H79" s="1559"/>
      <c r="I79" s="1559"/>
      <c r="J79" s="1560"/>
      <c r="K79" s="1560"/>
      <c r="L79" s="1560"/>
      <c r="M79" s="1560"/>
      <c r="N79" s="1560"/>
      <c r="O79" s="1560"/>
      <c r="P79" s="1560"/>
      <c r="Q79" s="1560"/>
      <c r="R79" s="1560"/>
      <c r="S79" s="1560"/>
      <c r="T79" s="1560"/>
      <c r="U79" s="1560"/>
      <c r="V79" s="1560"/>
      <c r="W79" s="1560"/>
      <c r="X79" s="1561"/>
      <c r="Z79" s="1550" t="s">
        <v>166</v>
      </c>
      <c r="AA79" s="1551"/>
      <c r="AB79" s="1552"/>
      <c r="AC79" s="199"/>
    </row>
    <row r="80" spans="1:29">
      <c r="A80" s="344"/>
      <c r="B80" s="644" t="s">
        <v>135</v>
      </c>
      <c r="C80" s="644"/>
      <c r="D80" s="1562" t="s">
        <v>136</v>
      </c>
      <c r="E80" s="1563"/>
      <c r="F80" s="1563"/>
      <c r="G80" s="1563"/>
      <c r="H80" s="1563"/>
      <c r="I80" s="645"/>
      <c r="J80" s="646"/>
      <c r="K80" s="1562" t="s">
        <v>137</v>
      </c>
      <c r="L80" s="1562"/>
      <c r="M80" s="1562"/>
      <c r="N80" s="1563"/>
      <c r="O80" s="647"/>
      <c r="P80" s="646"/>
      <c r="Q80" s="646"/>
      <c r="R80" s="1562" t="s">
        <v>164</v>
      </c>
      <c r="S80" s="1562"/>
      <c r="T80" s="1562"/>
      <c r="U80" s="1562"/>
      <c r="V80" s="1562"/>
      <c r="W80" s="1562"/>
      <c r="X80" s="1564"/>
      <c r="Z80" s="648"/>
      <c r="AA80" s="649"/>
      <c r="AB80" s="650"/>
    </row>
    <row r="81" spans="1:31" ht="65" customHeight="1">
      <c r="A81" s="345"/>
      <c r="B81" s="609"/>
      <c r="C81" s="549" t="s">
        <v>1383</v>
      </c>
      <c r="D81" s="547" t="s">
        <v>139</v>
      </c>
      <c r="E81" s="547" t="s">
        <v>140</v>
      </c>
      <c r="F81" s="547" t="s">
        <v>1389</v>
      </c>
      <c r="G81" s="547"/>
      <c r="H81" s="547" t="s">
        <v>141</v>
      </c>
      <c r="I81" s="547" t="s">
        <v>142</v>
      </c>
      <c r="J81" s="199"/>
      <c r="K81" s="549" t="s">
        <v>824</v>
      </c>
      <c r="L81" s="547" t="s">
        <v>121</v>
      </c>
      <c r="M81" s="547" t="s">
        <v>77</v>
      </c>
      <c r="N81" s="547" t="s">
        <v>143</v>
      </c>
      <c r="O81" s="547" t="s">
        <v>144</v>
      </c>
      <c r="P81" s="546"/>
      <c r="Q81" s="546"/>
      <c r="R81" s="547" t="s">
        <v>124</v>
      </c>
      <c r="S81" s="549" t="s">
        <v>1563</v>
      </c>
      <c r="T81" s="547" t="s">
        <v>145</v>
      </c>
      <c r="U81" s="549" t="s">
        <v>737</v>
      </c>
      <c r="V81" s="549" t="s">
        <v>738</v>
      </c>
      <c r="W81" s="547" t="s">
        <v>146</v>
      </c>
      <c r="X81" s="550" t="s">
        <v>106</v>
      </c>
      <c r="Z81" s="651" t="s">
        <v>167</v>
      </c>
      <c r="AA81" s="547" t="s">
        <v>168</v>
      </c>
      <c r="AB81" s="550" t="s">
        <v>169</v>
      </c>
    </row>
    <row r="82" spans="1:31">
      <c r="A82" s="345"/>
      <c r="B82" s="609"/>
      <c r="C82" s="545" t="s">
        <v>147</v>
      </c>
      <c r="D82" s="545" t="s">
        <v>147</v>
      </c>
      <c r="E82" s="545" t="s">
        <v>147</v>
      </c>
      <c r="F82" s="545" t="s">
        <v>170</v>
      </c>
      <c r="G82" s="545"/>
      <c r="H82" s="545" t="s">
        <v>171</v>
      </c>
      <c r="I82" s="545" t="s">
        <v>171</v>
      </c>
      <c r="J82" s="199"/>
      <c r="K82" s="545" t="s">
        <v>150</v>
      </c>
      <c r="L82" s="545" t="s">
        <v>151</v>
      </c>
      <c r="M82" s="545" t="s">
        <v>151</v>
      </c>
      <c r="N82" s="545" t="s">
        <v>152</v>
      </c>
      <c r="O82" s="545" t="s">
        <v>151</v>
      </c>
      <c r="P82" s="546"/>
      <c r="Q82" s="546"/>
      <c r="R82" s="545" t="s">
        <v>1562</v>
      </c>
      <c r="S82" s="545" t="s">
        <v>153</v>
      </c>
      <c r="T82" s="545" t="s">
        <v>172</v>
      </c>
      <c r="U82" s="545" t="s">
        <v>155</v>
      </c>
      <c r="V82" s="545" t="s">
        <v>155</v>
      </c>
      <c r="W82" s="545" t="s">
        <v>156</v>
      </c>
      <c r="X82" s="551" t="s">
        <v>157</v>
      </c>
      <c r="Z82" s="648"/>
      <c r="AA82" s="545" t="s">
        <v>173</v>
      </c>
      <c r="AB82" s="551" t="s">
        <v>174</v>
      </c>
      <c r="AE82" s="652" t="s">
        <v>175</v>
      </c>
    </row>
    <row r="83" spans="1:31">
      <c r="A83" s="346" t="s">
        <v>7</v>
      </c>
      <c r="B83" s="563"/>
      <c r="C83" s="563">
        <f>F83*I83*10</f>
        <v>48.715894833858904</v>
      </c>
      <c r="D83" s="563">
        <f>F83*I83*10</f>
        <v>48.715894833858904</v>
      </c>
      <c r="E83" s="563">
        <f>F83*H83*10</f>
        <v>55.733142843168224</v>
      </c>
      <c r="F83" s="564">
        <f>_BEV_Pers!AA86</f>
        <v>13.494707710210225</v>
      </c>
      <c r="G83" s="564"/>
      <c r="H83" s="565">
        <f>IF('2. Invoer parameters'!$C$6="Energie mix",Efac_elek_mix_WTW,IF('2. Invoer parameters'!$C$6="grijze stroom",Efac_elek_grijs_WTW,IF('2. Invoer parameters'!$C$6="Groene stroom",Efac_elek_groen_WTW,"")))</f>
        <v>0.41299999999999998</v>
      </c>
      <c r="I83" s="565">
        <f>IF('2. Invoer parameters'!$C$6="Energie mix",Efac_elek_mix_TTW,IF('2. Invoer parameters'!$C$6="grijze stroom",Efac_elek_grijs_TTW,IF('2. Invoer parameters'!$C$6="groene stroom",Efac_elek_groen_TTW,"")))</f>
        <v>0.36099999999999999</v>
      </c>
      <c r="J83" s="199"/>
      <c r="K83" s="566">
        <f>_BEV_Pers!AO86</f>
        <v>19357.208448117541</v>
      </c>
      <c r="L83" s="567">
        <v>0</v>
      </c>
      <c r="M83" s="567">
        <f>$B$227*K83</f>
        <v>4065.0137741046833</v>
      </c>
      <c r="N83" s="567">
        <f>K83+L83+M83</f>
        <v>23422.222222222223</v>
      </c>
      <c r="O83" s="568">
        <f>IF(K83&lt;=_MIA_max_pers,K83*_MIA_perc*_venootbelasting_perc,_MIA_max_pers*_MIA_perc*_venootbelasting_perc)</f>
        <v>1306.611570247934</v>
      </c>
      <c r="P83" s="199"/>
      <c r="Q83" s="199"/>
      <c r="R83" s="567">
        <v>0</v>
      </c>
      <c r="S83" s="567">
        <v>0</v>
      </c>
      <c r="T83" s="565">
        <f t="shared" ref="T83:T105" si="39">prijs_elek_berekening</f>
        <v>0.19593388429752065</v>
      </c>
      <c r="U83" s="589">
        <f>$B$478</f>
        <v>1.6E-2</v>
      </c>
      <c r="V83" s="589">
        <f>B550</f>
        <v>2.4E-2</v>
      </c>
      <c r="W83" s="570">
        <f t="shared" ref="W83:W92" si="40">Rest_perc_ZE</f>
        <v>0.3</v>
      </c>
      <c r="X83" s="571">
        <f t="shared" ref="X83:X92" si="41">(_verzekering_vast+_verzekering_variabel*K83)/12</f>
        <v>32.79767370676462</v>
      </c>
      <c r="Y83" s="572">
        <f>V83/U83</f>
        <v>1.5</v>
      </c>
      <c r="Z83" s="653" t="s">
        <v>176</v>
      </c>
      <c r="AA83" s="199">
        <f>'_BEV persoon+bestel'!G3</f>
        <v>90</v>
      </c>
      <c r="AB83" s="654">
        <f>'_BEV persoon+bestel'!H3</f>
        <v>16</v>
      </c>
      <c r="AC83" s="199"/>
    </row>
    <row r="84" spans="1:31">
      <c r="A84" s="346" t="s">
        <v>12</v>
      </c>
      <c r="B84" s="563"/>
      <c r="C84" s="563">
        <f t="shared" ref="C84:C101" si="42">F84*I84*10</f>
        <v>52.894862439606662</v>
      </c>
      <c r="D84" s="563">
        <f>F84*I84*10</f>
        <v>52.894862439606662</v>
      </c>
      <c r="E84" s="563">
        <f t="shared" ref="E84:E92" si="43">F84*H84*10</f>
        <v>60.514067001544454</v>
      </c>
      <c r="F84" s="564">
        <f>_BEV_Pers!AA87</f>
        <v>14.652316465265002</v>
      </c>
      <c r="G84" s="564"/>
      <c r="H84" s="565">
        <f>IF('2. Invoer parameters'!$C$6="Energie mix",Efac_elek_mix_WTW,IF('2. Invoer parameters'!$C$6="grijze stroom",Efac_elek_grijs_WTW,IF('2. Invoer parameters'!$C$6="Groene stroom",Efac_elek_groen_WTW,"")))</f>
        <v>0.41299999999999998</v>
      </c>
      <c r="I84" s="565">
        <f>IF('2. Invoer parameters'!$C$6="Energie mix",Efac_elek_mix_TTW,IF('2. Invoer parameters'!$C$6="grijze stroom",Efac_elek_grijs_TTW,IF('2. Invoer parameters'!$C$6="groene stroom",Efac_elek_groen_TTW,"")))</f>
        <v>0.36099999999999999</v>
      </c>
      <c r="J84" s="199"/>
      <c r="K84" s="566">
        <f>_BEV_Pers!AO87</f>
        <v>29488.925619834714</v>
      </c>
      <c r="L84" s="567">
        <v>0</v>
      </c>
      <c r="M84" s="567">
        <f>$B$227*K84</f>
        <v>6192.6743801652901</v>
      </c>
      <c r="N84" s="567">
        <f t="shared" ref="N84:N92" si="44">K84+L84+M84</f>
        <v>35681.600000000006</v>
      </c>
      <c r="O84" s="568">
        <f t="shared" ref="O84:O92" si="45">IF(K84&lt;=_MIA_max_pers,K84*_MIA_perc*_venootbelasting_perc,_MIA_max_pers*_MIA_perc*_venootbelasting_perc)</f>
        <v>1990.5024793388434</v>
      </c>
      <c r="P84" s="199"/>
      <c r="Q84" s="199"/>
      <c r="R84" s="567">
        <v>0</v>
      </c>
      <c r="S84" s="567">
        <v>0</v>
      </c>
      <c r="T84" s="565">
        <f t="shared" si="39"/>
        <v>0.19593388429752065</v>
      </c>
      <c r="U84" s="589">
        <f>$C$478</f>
        <v>1.7999999999999999E-2</v>
      </c>
      <c r="V84" s="589">
        <f>C550</f>
        <v>2.4E-2</v>
      </c>
      <c r="W84" s="570">
        <f t="shared" si="40"/>
        <v>0.3</v>
      </c>
      <c r="X84" s="571">
        <f t="shared" si="41"/>
        <v>41.240771349862264</v>
      </c>
      <c r="Y84" s="572">
        <f t="shared" ref="Y84:Y88" si="46">V84/U84</f>
        <v>1.3333333333333335</v>
      </c>
      <c r="Z84" s="653" t="s">
        <v>177</v>
      </c>
      <c r="AA84" s="199">
        <f>'_BEV persoon+bestel'!G8</f>
        <v>250</v>
      </c>
      <c r="AB84" s="654">
        <f>'_BEV persoon+bestel'!H8</f>
        <v>41</v>
      </c>
      <c r="AC84" s="199"/>
    </row>
    <row r="85" spans="1:31">
      <c r="A85" s="346" t="s">
        <v>15</v>
      </c>
      <c r="B85" s="563"/>
      <c r="C85" s="563">
        <f t="shared" si="42"/>
        <v>53.503880270684483</v>
      </c>
      <c r="D85" s="563">
        <f t="shared" ref="D85:D101" si="47">F85*I85*10</f>
        <v>53.503880270684483</v>
      </c>
      <c r="E85" s="563">
        <f t="shared" si="43"/>
        <v>61.210810392777539</v>
      </c>
      <c r="F85" s="564">
        <f>_BEV_Pers!AA88</f>
        <v>14.82101946556357</v>
      </c>
      <c r="G85" s="564"/>
      <c r="H85" s="565">
        <f>IF('2. Invoer parameters'!$C$6="Energie mix",Efac_elek_mix_WTW,IF('2. Invoer parameters'!$C$6="grijze stroom",Efac_elek_grijs_WTW,IF('2. Invoer parameters'!$C$6="Groene stroom",Efac_elek_groen_WTW,"")))</f>
        <v>0.41299999999999998</v>
      </c>
      <c r="I85" s="565">
        <f>IF('2. Invoer parameters'!$C$6="Energie mix",Efac_elek_mix_TTW,IF('2. Invoer parameters'!$C$6="grijze stroom",Efac_elek_grijs_TTW,IF('2. Invoer parameters'!$C$6="groene stroom",Efac_elek_groen_TTW,"")))</f>
        <v>0.36099999999999999</v>
      </c>
      <c r="J85" s="199"/>
      <c r="K85" s="566">
        <f>_BEV_Pers!AO88</f>
        <v>32671.600300525923</v>
      </c>
      <c r="L85" s="567">
        <v>0</v>
      </c>
      <c r="M85" s="567">
        <f>$B$227*K85</f>
        <v>6861.0360631104431</v>
      </c>
      <c r="N85" s="567">
        <f t="shared" si="44"/>
        <v>39532.636363636368</v>
      </c>
      <c r="O85" s="568">
        <f t="shared" si="45"/>
        <v>2205.3330202855</v>
      </c>
      <c r="P85" s="199"/>
      <c r="Q85" s="199"/>
      <c r="R85" s="567">
        <v>0</v>
      </c>
      <c r="S85" s="567">
        <v>0</v>
      </c>
      <c r="T85" s="565">
        <f t="shared" si="39"/>
        <v>0.19593388429752065</v>
      </c>
      <c r="U85" s="589">
        <f>$D$478</f>
        <v>2.1999999999999999E-2</v>
      </c>
      <c r="V85" s="589">
        <f>D550</f>
        <v>2.7E-2</v>
      </c>
      <c r="W85" s="570">
        <f t="shared" si="40"/>
        <v>0.3</v>
      </c>
      <c r="X85" s="571">
        <f t="shared" si="41"/>
        <v>43.893000250438263</v>
      </c>
      <c r="Y85" s="572">
        <f t="shared" si="46"/>
        <v>1.2272727272727273</v>
      </c>
      <c r="Z85" s="653" t="s">
        <v>178</v>
      </c>
      <c r="AA85" s="199">
        <f>'_BEV persoon+bestel'!G12</f>
        <v>240</v>
      </c>
      <c r="AB85" s="654">
        <f>'_BEV persoon+bestel'!H12</f>
        <v>40</v>
      </c>
      <c r="AC85" s="199"/>
    </row>
    <row r="86" spans="1:31">
      <c r="A86" s="346" t="s">
        <v>18</v>
      </c>
      <c r="B86" s="563"/>
      <c r="C86" s="563">
        <f t="shared" si="42"/>
        <v>51.21317416411145</v>
      </c>
      <c r="D86" s="563">
        <f t="shared" ref="D86" si="48">F86*I86*10</f>
        <v>51.21317416411145</v>
      </c>
      <c r="E86" s="563">
        <f t="shared" ref="E86" si="49">F86*H86*10</f>
        <v>58.590141079717526</v>
      </c>
      <c r="F86" s="564">
        <f>_BEV_Pers!AA89</f>
        <v>14.186474837704003</v>
      </c>
      <c r="G86" s="564"/>
      <c r="H86" s="565">
        <f>IF('2. Invoer parameters'!$C$6="Energie mix",Efac_elek_mix_WTW,IF('2. Invoer parameters'!$C$6="grijze stroom",Efac_elek_grijs_WTW,IF('2. Invoer parameters'!$C$6="Groene stroom",Efac_elek_groen_WTW,"")))</f>
        <v>0.41299999999999998</v>
      </c>
      <c r="I86" s="565">
        <f>IF('2. Invoer parameters'!$C$6="Energie mix",Efac_elek_mix_TTW,IF('2. Invoer parameters'!$C$6="grijze stroom",Efac_elek_grijs_TTW,IF('2. Invoer parameters'!$C$6="groene stroom",Efac_elek_groen_TTW,"")))</f>
        <v>0.36099999999999999</v>
      </c>
      <c r="J86" s="199"/>
      <c r="K86" s="566">
        <f>_BEV_Pers!AO89</f>
        <v>45917.355371900827</v>
      </c>
      <c r="L86" s="567">
        <v>0</v>
      </c>
      <c r="M86" s="567">
        <f>$B$227*K85</f>
        <v>6861.0360631104431</v>
      </c>
      <c r="N86" s="567">
        <f t="shared" si="44"/>
        <v>52778.391435011268</v>
      </c>
      <c r="O86" s="568">
        <f t="shared" si="45"/>
        <v>2700</v>
      </c>
      <c r="P86" s="199"/>
      <c r="Q86" s="199"/>
      <c r="R86" s="567">
        <v>0</v>
      </c>
      <c r="S86" s="567">
        <v>0</v>
      </c>
      <c r="T86" s="565">
        <f t="shared" si="39"/>
        <v>0.19593388429752065</v>
      </c>
      <c r="U86" s="589">
        <f>$D$478</f>
        <v>2.1999999999999999E-2</v>
      </c>
      <c r="V86" s="589">
        <f>E550</f>
        <v>2.7E-2</v>
      </c>
      <c r="W86" s="570">
        <f t="shared" si="40"/>
        <v>0.3</v>
      </c>
      <c r="X86" s="571">
        <f t="shared" si="41"/>
        <v>54.931129476584026</v>
      </c>
      <c r="Y86" s="572">
        <f t="shared" si="46"/>
        <v>1.2272727272727273</v>
      </c>
      <c r="Z86" s="653" t="s">
        <v>178</v>
      </c>
      <c r="AA86" s="199">
        <f>'_BEV persoon+bestel'!G12</f>
        <v>240</v>
      </c>
      <c r="AB86" s="654">
        <f>'_BEV persoon+bestel'!H12</f>
        <v>40</v>
      </c>
      <c r="AC86" s="199"/>
      <c r="AE86" s="171" t="s">
        <v>179</v>
      </c>
    </row>
    <row r="87" spans="1:31">
      <c r="A87" s="346" t="s">
        <v>21</v>
      </c>
      <c r="B87" s="563"/>
      <c r="C87" s="563">
        <f t="shared" si="42"/>
        <v>60.183384273409281</v>
      </c>
      <c r="D87" s="563">
        <f t="shared" si="47"/>
        <v>60.183384273409281</v>
      </c>
      <c r="E87" s="563">
        <f t="shared" si="43"/>
        <v>68.852459016393439</v>
      </c>
      <c r="F87" s="564">
        <f>_BEV_Pers!AA90</f>
        <v>16.67129758266185</v>
      </c>
      <c r="G87" s="564"/>
      <c r="H87" s="565">
        <f>IF('2. Invoer parameters'!$C$6="Energie mix",Efac_elek_mix_WTW,IF('2. Invoer parameters'!$C$6="grijze stroom",Efac_elek_grijs_WTW,IF('2. Invoer parameters'!$C$6="Groene stroom",Efac_elek_groen_WTW,"")))</f>
        <v>0.41299999999999998</v>
      </c>
      <c r="I87" s="565">
        <f>IF('2. Invoer parameters'!$C$6="Energie mix",Efac_elek_mix_TTW,IF('2. Invoer parameters'!$C$6="grijze stroom",Efac_elek_grijs_TTW,IF('2. Invoer parameters'!$C$6="groene stroom",Efac_elek_groen_TTW,"")))</f>
        <v>0.36099999999999999</v>
      </c>
      <c r="J87" s="199"/>
      <c r="K87" s="566">
        <f>_BEV_Pers!AO90</f>
        <v>80163.636363636368</v>
      </c>
      <c r="L87" s="567">
        <v>0</v>
      </c>
      <c r="M87" s="567">
        <f>$B$227*K87</f>
        <v>16834.363636363636</v>
      </c>
      <c r="N87" s="567">
        <f t="shared" si="44"/>
        <v>96998</v>
      </c>
      <c r="O87" s="568">
        <f t="shared" si="45"/>
        <v>2700</v>
      </c>
      <c r="P87" s="199"/>
      <c r="Q87" s="199"/>
      <c r="R87" s="567">
        <v>0</v>
      </c>
      <c r="S87" s="567">
        <v>0</v>
      </c>
      <c r="T87" s="565">
        <f t="shared" si="39"/>
        <v>0.19593388429752065</v>
      </c>
      <c r="U87" s="589">
        <f>$B$482</f>
        <v>0.05</v>
      </c>
      <c r="V87" s="589">
        <f>B559</f>
        <v>6.7000000000000004E-2</v>
      </c>
      <c r="W87" s="570">
        <f t="shared" si="40"/>
        <v>0.3</v>
      </c>
      <c r="X87" s="571">
        <f t="shared" si="41"/>
        <v>83.469696969696983</v>
      </c>
      <c r="Y87" s="572">
        <f t="shared" si="46"/>
        <v>1.34</v>
      </c>
      <c r="Z87" s="653" t="s">
        <v>180</v>
      </c>
      <c r="AA87" s="199">
        <f>'_BEV persoon+bestel'!G15</f>
        <v>390</v>
      </c>
      <c r="AB87" s="654">
        <f>'_BEV persoon+bestel'!H15</f>
        <v>75</v>
      </c>
      <c r="AC87" s="199"/>
      <c r="AE87" s="171" t="s">
        <v>119</v>
      </c>
    </row>
    <row r="88" spans="1:31">
      <c r="A88" s="346" t="s">
        <v>25</v>
      </c>
      <c r="B88" s="199"/>
      <c r="C88" s="563">
        <f t="shared" si="42"/>
        <v>60.183384273409281</v>
      </c>
      <c r="D88" s="563">
        <f>F88*I88*10</f>
        <v>60.183384273409281</v>
      </c>
      <c r="E88" s="563">
        <f t="shared" si="43"/>
        <v>68.852459016393439</v>
      </c>
      <c r="F88" s="564">
        <f>_BEV_Pers!AA91</f>
        <v>16.67129758266185</v>
      </c>
      <c r="G88" s="564"/>
      <c r="H88" s="565">
        <f>IF('2. Invoer parameters'!$C$6="Energie mix",Efac_elek_mix_WTW,IF('2. Invoer parameters'!$C$6="grijze stroom",Efac_elek_grijs_WTW,IF('2. Invoer parameters'!$C$6="Groene stroom",Efac_elek_groen_WTW,"")))</f>
        <v>0.41299999999999998</v>
      </c>
      <c r="I88" s="565">
        <f>IF('2. Invoer parameters'!$C$6="Energie mix",Efac_elek_mix_TTW,IF('2. Invoer parameters'!$C$6="grijze stroom",Efac_elek_grijs_TTW,IF('2. Invoer parameters'!$C$6="groene stroom",Efac_elek_groen_TTW,"")))</f>
        <v>0.36099999999999999</v>
      </c>
      <c r="J88" s="199"/>
      <c r="K88" s="566">
        <f>_BEV_Pers!AO91</f>
        <v>80163.636363636368</v>
      </c>
      <c r="L88" s="567">
        <v>0</v>
      </c>
      <c r="M88" s="567">
        <f>$B$227*K88</f>
        <v>16834.363636363636</v>
      </c>
      <c r="N88" s="567">
        <f t="shared" si="44"/>
        <v>96998</v>
      </c>
      <c r="O88" s="568">
        <f t="shared" si="45"/>
        <v>2700</v>
      </c>
      <c r="P88" s="199"/>
      <c r="Q88" s="199"/>
      <c r="R88" s="567">
        <v>0</v>
      </c>
      <c r="S88" s="567">
        <v>0</v>
      </c>
      <c r="T88" s="565">
        <f t="shared" si="39"/>
        <v>0.19593388429752065</v>
      </c>
      <c r="U88" s="589">
        <f>$C$482</f>
        <v>0.05</v>
      </c>
      <c r="V88" s="589">
        <f>C559</f>
        <v>6.7000000000000004E-2</v>
      </c>
      <c r="W88" s="570">
        <f t="shared" si="40"/>
        <v>0.3</v>
      </c>
      <c r="X88" s="571">
        <f t="shared" si="41"/>
        <v>83.469696969696983</v>
      </c>
      <c r="Y88" s="572">
        <f t="shared" si="46"/>
        <v>1.34</v>
      </c>
      <c r="Z88" s="653" t="s">
        <v>180</v>
      </c>
      <c r="AA88" s="199">
        <f>'_BEV persoon+bestel'!G15</f>
        <v>390</v>
      </c>
      <c r="AB88" s="654">
        <f>'_BEV persoon+bestel'!H15</f>
        <v>75</v>
      </c>
      <c r="AC88" s="199"/>
    </row>
    <row r="89" spans="1:31">
      <c r="A89" s="346" t="s">
        <v>159</v>
      </c>
      <c r="B89" s="640"/>
      <c r="C89" s="563">
        <f t="shared" si="42"/>
        <v>70.737985567797736</v>
      </c>
      <c r="D89" s="563">
        <f>F89*I89*10</f>
        <v>70.737985567797736</v>
      </c>
      <c r="E89" s="563">
        <f t="shared" ref="E89" si="50">F89*H89*10</f>
        <v>80.92739069113702</v>
      </c>
      <c r="F89" s="564">
        <f>_BEV_Pers!AA92</f>
        <v>19.595009852575551</v>
      </c>
      <c r="G89" s="564"/>
      <c r="H89" s="565">
        <f>IF('2. Invoer parameters'!$C$6="Energie mix",Efac_elek_mix_WTW,IF('2. Invoer parameters'!$C$6="grijze stroom",Efac_elek_grijs_WTW,IF('2. Invoer parameters'!$C$6="Groene stroom",Efac_elek_groen_WTW,"")))</f>
        <v>0.41299999999999998</v>
      </c>
      <c r="I89" s="565">
        <f>IF('2. Invoer parameters'!$C$6="Energie mix",Efac_elek_mix_TTW,IF('2. Invoer parameters'!$C$6="grijze stroom",Efac_elek_grijs_TTW,IF('2. Invoer parameters'!$C$6="groene stroom",Efac_elek_groen_TTW,"")))</f>
        <v>0.36099999999999999</v>
      </c>
      <c r="J89" s="199"/>
      <c r="K89" s="566">
        <f>_BEV_Pers!AO92</f>
        <v>34125.619834710742</v>
      </c>
      <c r="L89" s="567">
        <v>0</v>
      </c>
      <c r="M89" s="567">
        <f>$B$227*K89</f>
        <v>7166.3801652892553</v>
      </c>
      <c r="N89" s="567">
        <f t="shared" si="44"/>
        <v>41292</v>
      </c>
      <c r="O89" s="568">
        <f t="shared" si="45"/>
        <v>2303.4793388429753</v>
      </c>
      <c r="P89" s="199"/>
      <c r="Q89" s="199"/>
      <c r="R89" s="567">
        <v>0</v>
      </c>
      <c r="S89" s="567">
        <v>0</v>
      </c>
      <c r="T89" s="565">
        <f t="shared" si="39"/>
        <v>0.19593388429752065</v>
      </c>
      <c r="U89" s="589">
        <f>$D$481</f>
        <v>3.7999999999999999E-2</v>
      </c>
      <c r="V89" s="589">
        <f>D559</f>
        <v>3.9908361970217646E-2</v>
      </c>
      <c r="W89" s="570">
        <f t="shared" si="40"/>
        <v>0.3</v>
      </c>
      <c r="X89" s="571">
        <f t="shared" si="41"/>
        <v>45.104683195592287</v>
      </c>
      <c r="Y89" s="572"/>
      <c r="Z89" s="655" t="s">
        <v>181</v>
      </c>
      <c r="AA89" s="199"/>
      <c r="AB89" s="654"/>
      <c r="AC89" s="199"/>
      <c r="AE89" s="171" t="s">
        <v>822</v>
      </c>
    </row>
    <row r="90" spans="1:31" ht="34" hidden="1">
      <c r="A90" s="346" t="s">
        <v>896</v>
      </c>
      <c r="B90" s="656" t="s">
        <v>1068</v>
      </c>
      <c r="C90" s="554"/>
      <c r="D90" s="554"/>
      <c r="E90" s="554"/>
      <c r="F90" s="564">
        <f>_BEV_Pers!AA93</f>
        <v>0</v>
      </c>
      <c r="G90" s="555"/>
      <c r="H90" s="657"/>
      <c r="I90" s="657"/>
      <c r="J90" s="556"/>
      <c r="K90" s="557"/>
      <c r="L90" s="558"/>
      <c r="M90" s="558"/>
      <c r="N90" s="558"/>
      <c r="O90" s="630"/>
      <c r="P90" s="556"/>
      <c r="Q90" s="556"/>
      <c r="R90" s="558"/>
      <c r="S90" s="558"/>
      <c r="T90" s="657"/>
      <c r="U90" s="556"/>
      <c r="V90" s="556"/>
      <c r="W90" s="658"/>
      <c r="X90" s="571">
        <f t="shared" si="41"/>
        <v>16.666666666666668</v>
      </c>
      <c r="Y90" s="572"/>
      <c r="Z90" s="655"/>
      <c r="AA90" s="199"/>
      <c r="AB90" s="654"/>
      <c r="AC90" s="199"/>
    </row>
    <row r="91" spans="1:31">
      <c r="A91" s="346" t="s">
        <v>28</v>
      </c>
      <c r="B91" s="640"/>
      <c r="C91" s="563">
        <f t="shared" si="42"/>
        <v>56.523014602715392</v>
      </c>
      <c r="D91" s="563">
        <f t="shared" si="47"/>
        <v>56.523014602715392</v>
      </c>
      <c r="E91" s="563">
        <f t="shared" si="43"/>
        <v>64.664833880668866</v>
      </c>
      <c r="F91" s="564">
        <f>_BEV_Pers!AA94</f>
        <v>15.657344765295125</v>
      </c>
      <c r="G91" s="564"/>
      <c r="H91" s="565">
        <f>IF('2. Invoer parameters'!$C$6="Energie mix",Efac_elek_mix_WTW,IF('2. Invoer parameters'!$C$6="grijze stroom",Efac_elek_grijs_WTW,IF('2. Invoer parameters'!$C$6="Groene stroom",Efac_elek_groen_WTW,"")))</f>
        <v>0.41299999999999998</v>
      </c>
      <c r="I91" s="565">
        <f>IF('2. Invoer parameters'!$C$6="Energie mix",Efac_elek_mix_TTW,IF('2. Invoer parameters'!$C$6="grijze stroom",Efac_elek_grijs_TTW,IF('2. Invoer parameters'!$C$6="groene stroom",Efac_elek_groen_TTW,"")))</f>
        <v>0.36099999999999999</v>
      </c>
      <c r="J91" s="199"/>
      <c r="K91" s="566">
        <f>_BEV_Pers!AO94</f>
        <v>35515.495867768594</v>
      </c>
      <c r="L91" s="567">
        <v>0</v>
      </c>
      <c r="M91" s="567">
        <f>$B$227*K91</f>
        <v>7458.2541322314046</v>
      </c>
      <c r="N91" s="567">
        <f t="shared" si="44"/>
        <v>42973.75</v>
      </c>
      <c r="O91" s="568">
        <f t="shared" si="45"/>
        <v>2397.2959710743803</v>
      </c>
      <c r="P91" s="199"/>
      <c r="Q91" s="199"/>
      <c r="R91" s="567">
        <v>0</v>
      </c>
      <c r="S91" s="567">
        <v>0</v>
      </c>
      <c r="T91" s="565">
        <f t="shared" si="39"/>
        <v>0.19593388429752065</v>
      </c>
      <c r="U91" s="589">
        <f>$E$482</f>
        <v>2.9000000000000001E-2</v>
      </c>
      <c r="V91" s="589">
        <f>F559</f>
        <v>3.4000000000000002E-2</v>
      </c>
      <c r="W91" s="570">
        <f t="shared" si="40"/>
        <v>0.3</v>
      </c>
      <c r="X91" s="571">
        <f t="shared" si="41"/>
        <v>46.262913223140494</v>
      </c>
      <c r="Y91" s="572">
        <f t="shared" ref="Y91:Y92" si="51">V91/U91</f>
        <v>1.1724137931034484</v>
      </c>
      <c r="Z91" s="653" t="s">
        <v>31</v>
      </c>
      <c r="AA91" s="199">
        <f>'_BEV persoon+bestel'!G18</f>
        <v>400</v>
      </c>
      <c r="AB91" s="654">
        <f>'_BEV persoon+bestel'!H18</f>
        <v>67</v>
      </c>
      <c r="AC91" s="199"/>
    </row>
    <row r="92" spans="1:31">
      <c r="A92" s="346" t="s">
        <v>32</v>
      </c>
      <c r="B92" s="199"/>
      <c r="C92" s="563">
        <f t="shared" si="42"/>
        <v>74.899733701362521</v>
      </c>
      <c r="D92" s="563">
        <f t="shared" si="47"/>
        <v>74.899733701362521</v>
      </c>
      <c r="E92" s="563">
        <f t="shared" si="43"/>
        <v>85.688615010146037</v>
      </c>
      <c r="F92" s="564">
        <f>_BEV_Pers!AA95</f>
        <v>20.74784867073754</v>
      </c>
      <c r="G92" s="564"/>
      <c r="H92" s="565">
        <f>IF('2. Invoer parameters'!$C$6="Energie mix",Efac_elek_mix_WTW,IF('2. Invoer parameters'!$C$6="grijze stroom",Efac_elek_grijs_WTW,IF('2. Invoer parameters'!$C$6="Groene stroom",Efac_elek_groen_WTW,"")))</f>
        <v>0.41299999999999998</v>
      </c>
      <c r="I92" s="565">
        <f>IF('2. Invoer parameters'!$C$6="Energie mix",Efac_elek_mix_TTW,IF('2. Invoer parameters'!$C$6="grijze stroom",Efac_elek_grijs_TTW,IF('2. Invoer parameters'!$C$6="groene stroom",Efac_elek_groen_TTW,"")))</f>
        <v>0.36099999999999999</v>
      </c>
      <c r="J92" s="199"/>
      <c r="K92" s="566">
        <f>_BEV_Pers!AO95</f>
        <v>71586.894923258558</v>
      </c>
      <c r="L92" s="567">
        <v>0</v>
      </c>
      <c r="M92" s="567">
        <f>$B$227*K92</f>
        <v>15033.247933884297</v>
      </c>
      <c r="N92" s="567">
        <f t="shared" si="44"/>
        <v>86620.142857142855</v>
      </c>
      <c r="O92" s="568">
        <f t="shared" si="45"/>
        <v>2700</v>
      </c>
      <c r="P92" s="199"/>
      <c r="Q92" s="199"/>
      <c r="R92" s="567">
        <v>0</v>
      </c>
      <c r="S92" s="567">
        <v>0</v>
      </c>
      <c r="T92" s="565">
        <f t="shared" si="39"/>
        <v>0.19593388429752065</v>
      </c>
      <c r="U92" s="589">
        <f>$F$482</f>
        <v>4.7E-2</v>
      </c>
      <c r="V92" s="589">
        <f>H559</f>
        <v>6.4000000000000001E-2</v>
      </c>
      <c r="W92" s="570">
        <f t="shared" si="40"/>
        <v>0.3</v>
      </c>
      <c r="X92" s="571">
        <f t="shared" si="41"/>
        <v>76.322412436048793</v>
      </c>
      <c r="Y92" s="572">
        <f t="shared" si="51"/>
        <v>1.3617021276595744</v>
      </c>
      <c r="Z92" s="653" t="s">
        <v>182</v>
      </c>
      <c r="AA92" s="199">
        <f>'_BEV persoon+bestel'!G21</f>
        <v>400</v>
      </c>
      <c r="AB92" s="654">
        <f>'_BEV persoon+bestel'!H21</f>
        <v>90</v>
      </c>
      <c r="AC92" s="199"/>
    </row>
    <row r="93" spans="1:31">
      <c r="A93" s="347"/>
      <c r="B93" s="621"/>
      <c r="C93" s="621"/>
      <c r="D93" s="619"/>
      <c r="E93" s="619"/>
      <c r="F93" s="620"/>
      <c r="G93" s="620"/>
      <c r="H93" s="622"/>
      <c r="I93" s="622"/>
      <c r="J93" s="621"/>
      <c r="K93" s="623"/>
      <c r="L93" s="623"/>
      <c r="M93" s="623"/>
      <c r="N93" s="623"/>
      <c r="O93" s="624"/>
      <c r="P93" s="621"/>
      <c r="Q93" s="621"/>
      <c r="R93" s="623"/>
      <c r="S93" s="623"/>
      <c r="T93" s="622"/>
      <c r="U93" s="625"/>
      <c r="V93" s="625"/>
      <c r="W93" s="626"/>
      <c r="X93" s="627"/>
      <c r="Y93" s="659">
        <f>AVERAGE(Y83:Y92)</f>
        <v>1.3127493385802265</v>
      </c>
      <c r="Z93" s="653"/>
      <c r="AA93" s="199"/>
      <c r="AB93" s="654"/>
      <c r="AC93" s="199"/>
    </row>
    <row r="94" spans="1:31">
      <c r="A94" s="346" t="s">
        <v>741</v>
      </c>
      <c r="B94" s="199"/>
      <c r="C94" s="563">
        <f t="shared" si="42"/>
        <v>63.308703703703706</v>
      </c>
      <c r="D94" s="563">
        <f t="shared" si="47"/>
        <v>63.308703703703706</v>
      </c>
      <c r="E94" s="563">
        <f>F94*H94*10</f>
        <v>72.427962962962965</v>
      </c>
      <c r="F94" s="564">
        <f>_BEV_minibus!AB22</f>
        <v>17.537037037037038</v>
      </c>
      <c r="G94" s="564"/>
      <c r="H94" s="565">
        <f>IF('2. Invoer parameters'!$C$6="Energie mix",Efac_elek_mix_WTW,IF('2. Invoer parameters'!$C$6="grijze stroom",Efac_elek_grijs_WTW,IF('2. Invoer parameters'!$C$6="Groene stroom",Efac_elek_groen_WTW,"")))</f>
        <v>0.41299999999999998</v>
      </c>
      <c r="I94" s="565">
        <f>IF('2. Invoer parameters'!$C$6="Energie mix",Efac_elek_mix_TTW,IF('2. Invoer parameters'!$C$6="grijze stroom",Efac_elek_grijs_TTW,IF('2. Invoer parameters'!$C$6="groene stroom",Efac_elek_groen_TTW,"")))</f>
        <v>0.36099999999999999</v>
      </c>
      <c r="J94" s="199"/>
      <c r="K94" s="566">
        <f>_BEV_minibus!AO22</f>
        <v>34125.619834710742</v>
      </c>
      <c r="L94" s="567">
        <v>0</v>
      </c>
      <c r="M94" s="567">
        <f>$B$227*K94</f>
        <v>7166.3801652892553</v>
      </c>
      <c r="N94" s="567">
        <f>K94+L94+M94</f>
        <v>41292</v>
      </c>
      <c r="O94" s="614">
        <f>IF(K94&lt;=_MIA_max_pers,K94*_MIA_perc*_venootbelasting_perc,_MIA_max_pers*_MIA_perc*_venootbelasting_perc)</f>
        <v>2303.4793388429753</v>
      </c>
      <c r="P94" s="199"/>
      <c r="Q94" s="199"/>
      <c r="R94" s="567">
        <v>0</v>
      </c>
      <c r="S94" s="567">
        <v>0</v>
      </c>
      <c r="T94" s="565">
        <f t="shared" si="39"/>
        <v>0.19593388429752065</v>
      </c>
      <c r="U94" s="660">
        <f>$E$486</f>
        <v>2.1999999999999999E-2</v>
      </c>
      <c r="V94" s="573">
        <f>E568</f>
        <v>3.7999999999999999E-2</v>
      </c>
      <c r="W94" s="570">
        <f>Rest_perc_ZE</f>
        <v>0.3</v>
      </c>
      <c r="X94" s="571">
        <f>(_verzekering_vast+_verzekering_variabel*K94)/12</f>
        <v>45.104683195592287</v>
      </c>
      <c r="Y94" s="572">
        <f t="shared" ref="Y94:Y101" si="52">V94/U94</f>
        <v>1.7272727272727273</v>
      </c>
      <c r="Z94" s="653" t="s">
        <v>715</v>
      </c>
      <c r="AA94" s="199">
        <f>_BEV_minibus!Y2</f>
        <v>200</v>
      </c>
      <c r="AB94" s="654">
        <f>_BEV_minibus!T2</f>
        <v>40</v>
      </c>
      <c r="AC94" s="199"/>
    </row>
    <row r="95" spans="1:31">
      <c r="A95" s="346" t="s">
        <v>850</v>
      </c>
      <c r="B95" s="199"/>
      <c r="C95" s="563">
        <f t="shared" si="42"/>
        <v>84.23333333333332</v>
      </c>
      <c r="D95" s="563">
        <f t="shared" ref="D95" si="53">F95*I95*10</f>
        <v>84.23333333333332</v>
      </c>
      <c r="E95" s="563">
        <f>F95*H95*10</f>
        <v>96.366666666666646</v>
      </c>
      <c r="F95" s="564">
        <f>_BEV_minibus!AB23</f>
        <v>23.333333333333332</v>
      </c>
      <c r="G95" s="564"/>
      <c r="H95" s="565">
        <f>IF('2. Invoer parameters'!$C$6="Energie mix",Efac_elek_mix_WTW,IF('2. Invoer parameters'!$C$6="grijze stroom",Efac_elek_grijs_WTW,IF('2. Invoer parameters'!$C$6="Groene stroom",Efac_elek_groen_WTW,"")))</f>
        <v>0.41299999999999998</v>
      </c>
      <c r="I95" s="565">
        <f>IF('2. Invoer parameters'!$C$6="Energie mix",Efac_elek_mix_TTW,IF('2. Invoer parameters'!$C$6="grijze stroom",Efac_elek_grijs_TTW,IF('2. Invoer parameters'!$C$6="groene stroom",Efac_elek_groen_TTW,"")))</f>
        <v>0.36099999999999999</v>
      </c>
      <c r="J95" s="199"/>
      <c r="K95" s="566">
        <f>_BEV_minibus!AO23</f>
        <v>44850</v>
      </c>
      <c r="L95" s="567">
        <v>0</v>
      </c>
      <c r="M95" s="567">
        <f>$B$227*K95</f>
        <v>9418.5</v>
      </c>
      <c r="N95" s="567">
        <f>K95+L95+M95</f>
        <v>54268.5</v>
      </c>
      <c r="O95" s="614">
        <f>IF(K95&lt;=_MIA_max_pers,K95*_MIA_perc*_venootbelasting_perc,_MIA_max_pers*_MIA_perc*_venootbelasting_perc)</f>
        <v>2700</v>
      </c>
      <c r="P95" s="199"/>
      <c r="Q95" s="199"/>
      <c r="R95" s="567">
        <v>0</v>
      </c>
      <c r="S95" s="567">
        <v>0</v>
      </c>
      <c r="T95" s="565">
        <f t="shared" si="39"/>
        <v>0.19593388429752065</v>
      </c>
      <c r="U95" s="573">
        <f>$F$486</f>
        <v>3.1935483870967736E-2</v>
      </c>
      <c r="V95" s="660">
        <f>$F$568</f>
        <v>5.3999999999999999E-2</v>
      </c>
      <c r="W95" s="570">
        <f>Rest_perc_ZE</f>
        <v>0.3</v>
      </c>
      <c r="X95" s="571">
        <f>(_verzekering_vast+_verzekering_variabel*K95)/12</f>
        <v>54.041666666666664</v>
      </c>
      <c r="Y95" s="572">
        <f t="shared" si="52"/>
        <v>1.6909090909090911</v>
      </c>
      <c r="Z95" s="653"/>
      <c r="AA95" s="199"/>
      <c r="AB95" s="654"/>
      <c r="AC95" s="199"/>
    </row>
    <row r="96" spans="1:31">
      <c r="A96" s="346" t="s">
        <v>743</v>
      </c>
      <c r="B96" s="199"/>
      <c r="C96" s="563">
        <f t="shared" si="42"/>
        <v>132.87816133288976</v>
      </c>
      <c r="D96" s="563">
        <f t="shared" si="47"/>
        <v>132.87816133288976</v>
      </c>
      <c r="E96" s="563">
        <f t="shared" ref="E96:E97" si="54">F96*H96*10</f>
        <v>152.01850590161627</v>
      </c>
      <c r="F96" s="564">
        <f>_BEV_minibus!AB24</f>
        <v>36.80835493985866</v>
      </c>
      <c r="G96" s="564"/>
      <c r="H96" s="565">
        <f>IF('2. Invoer parameters'!$C$6="Energie mix",Efac_elek_mix_WTW,IF('2. Invoer parameters'!$C$6="grijze stroom",Efac_elek_grijs_WTW,IF('2. Invoer parameters'!$C$6="Groene stroom",Efac_elek_groen_WTW,"")))</f>
        <v>0.41299999999999998</v>
      </c>
      <c r="I96" s="565">
        <f>IF('2. Invoer parameters'!$C$6="Energie mix",Efac_elek_mix_TTW,IF('2. Invoer parameters'!$C$6="grijze stroom",Efac_elek_grijs_TTW,IF('2. Invoer parameters'!$C$6="groene stroom",Efac_elek_groen_TTW,"")))</f>
        <v>0.36099999999999999</v>
      </c>
      <c r="J96" s="199"/>
      <c r="K96" s="566">
        <f>_BEV_minibus!AO24</f>
        <v>71166.666666666672</v>
      </c>
      <c r="L96" s="567">
        <v>0</v>
      </c>
      <c r="M96" s="567">
        <f>$B$227*K96</f>
        <v>14945</v>
      </c>
      <c r="N96" s="567">
        <f>K96+L96+M96</f>
        <v>86111.666666666672</v>
      </c>
      <c r="O96" s="614">
        <f>IF(K96&lt;=_MIA_max_pers_9_elek,K96*_MIA_perc_pers_9_elek*_venootbelasting_perc,_MIA_max_pers_9_elek*_MIA_perc_pers_9_elek*_venootbelasting_perc)</f>
        <v>6405</v>
      </c>
      <c r="P96" s="199"/>
      <c r="Q96" s="199"/>
      <c r="R96" s="567">
        <v>0</v>
      </c>
      <c r="S96" s="567">
        <v>0</v>
      </c>
      <c r="T96" s="565">
        <f t="shared" si="39"/>
        <v>0.19593388429752065</v>
      </c>
      <c r="U96" s="573">
        <f>$H$486</f>
        <v>4.2580645161290315E-2</v>
      </c>
      <c r="V96" s="589">
        <f>$H$568</f>
        <v>6.0000000000000005E-2</v>
      </c>
      <c r="W96" s="570">
        <f>Rest_perc_ZE</f>
        <v>0.3</v>
      </c>
      <c r="X96" s="571">
        <f>(_verzekering_vast+_verzekering_variabel*K96)/12</f>
        <v>75.972222222222229</v>
      </c>
      <c r="Y96" s="572">
        <f t="shared" si="52"/>
        <v>1.4090909090909094</v>
      </c>
      <c r="Z96" s="653" t="s">
        <v>4344</v>
      </c>
      <c r="AA96" s="199" t="e">
        <f>_BEV_minibus!#REF!</f>
        <v>#REF!</v>
      </c>
      <c r="AB96" s="661" t="e">
        <f>_BEV_minibus!#REF!</f>
        <v>#REF!</v>
      </c>
      <c r="AC96" s="563"/>
    </row>
    <row r="97" spans="1:30">
      <c r="A97" s="346" t="s">
        <v>714</v>
      </c>
      <c r="B97" s="199"/>
      <c r="C97" s="563">
        <f t="shared" si="42"/>
        <v>133.68107692307692</v>
      </c>
      <c r="D97" s="563">
        <f t="shared" si="47"/>
        <v>133.68107692307692</v>
      </c>
      <c r="E97" s="563">
        <f t="shared" si="54"/>
        <v>152.93707692307692</v>
      </c>
      <c r="F97" s="564">
        <f>_BEV_minibus!AB25</f>
        <v>37.030769230769231</v>
      </c>
      <c r="G97" s="564"/>
      <c r="H97" s="565">
        <f>IF('2. Invoer parameters'!$C$6="Energie mix",Efac_elek_mix_WTW,IF('2. Invoer parameters'!$C$6="grijze stroom",Efac_elek_grijs_WTW,IF('2. Invoer parameters'!$C$6="Groene stroom",Efac_elek_groen_WTW,"")))</f>
        <v>0.41299999999999998</v>
      </c>
      <c r="I97" s="565">
        <f>IF('2. Invoer parameters'!$C$6="Energie mix",Efac_elek_mix_TTW,IF('2. Invoer parameters'!$C$6="grijze stroom",Efac_elek_grijs_TTW,IF('2. Invoer parameters'!$C$6="groene stroom",Efac_elek_groen_TTW,"")))</f>
        <v>0.36099999999999999</v>
      </c>
      <c r="J97" s="199"/>
      <c r="K97" s="566">
        <f>_BEV_minibus!AO25</f>
        <v>82166.666666666672</v>
      </c>
      <c r="L97" s="567">
        <v>0</v>
      </c>
      <c r="M97" s="567">
        <f>$B$227*K97</f>
        <v>17255</v>
      </c>
      <c r="N97" s="567">
        <f>K97+L97+M97</f>
        <v>99421.666666666672</v>
      </c>
      <c r="O97" s="614">
        <f>IF(K97&lt;=_MIA_max_pers_9_elek,K97*_MIA_perc_pers_9_elek*_venootbelasting_perc,_MIA_max_pers_9_elek*_MIA_perc_pers_9_elek*_venootbelasting_perc)</f>
        <v>6750</v>
      </c>
      <c r="P97" s="199"/>
      <c r="Q97" s="199"/>
      <c r="R97" s="567">
        <v>0</v>
      </c>
      <c r="S97" s="567">
        <v>0</v>
      </c>
      <c r="T97" s="565">
        <f t="shared" si="39"/>
        <v>0.19593388429752065</v>
      </c>
      <c r="U97" s="573">
        <f>$I$486</f>
        <v>4.2580645161290315E-2</v>
      </c>
      <c r="V97" s="589">
        <f>$I$563</f>
        <v>6.0000000000000005E-2</v>
      </c>
      <c r="W97" s="570">
        <f>Rest_perc_ZE</f>
        <v>0.3</v>
      </c>
      <c r="X97" s="571">
        <f>(_verzekering_vast+_verzekering_variabel*K97)/12</f>
        <v>85.1388888888889</v>
      </c>
      <c r="Y97" s="572">
        <f t="shared" si="52"/>
        <v>1.4090909090909094</v>
      </c>
      <c r="Z97" s="562" t="s">
        <v>4345</v>
      </c>
      <c r="AA97" s="199" t="str">
        <f>_BEV_minibus!G21</f>
        <v>Seats (#)</v>
      </c>
      <c r="AB97" s="654" t="str">
        <f>_BEV_minibus!H21</f>
        <v>Massa leeg (kg)</v>
      </c>
      <c r="AC97" s="199"/>
    </row>
    <row r="98" spans="1:30">
      <c r="A98" s="347"/>
      <c r="B98" s="621"/>
      <c r="C98" s="621"/>
      <c r="D98" s="619"/>
      <c r="E98" s="619"/>
      <c r="F98" s="620"/>
      <c r="G98" s="620"/>
      <c r="H98" s="622"/>
      <c r="I98" s="622"/>
      <c r="J98" s="621"/>
      <c r="K98" s="623"/>
      <c r="L98" s="623"/>
      <c r="M98" s="623"/>
      <c r="N98" s="623"/>
      <c r="O98" s="624"/>
      <c r="P98" s="621"/>
      <c r="Q98" s="621"/>
      <c r="R98" s="623"/>
      <c r="S98" s="623"/>
      <c r="T98" s="622"/>
      <c r="U98" s="625"/>
      <c r="V98" s="625"/>
      <c r="W98" s="626"/>
      <c r="X98" s="627"/>
      <c r="Z98" s="653"/>
      <c r="AA98" s="199"/>
      <c r="AB98" s="654"/>
      <c r="AC98" s="199"/>
    </row>
    <row r="99" spans="1:30">
      <c r="A99" s="346" t="s">
        <v>160</v>
      </c>
      <c r="B99" s="546"/>
      <c r="C99" s="563">
        <f t="shared" si="42"/>
        <v>69.841246363333923</v>
      </c>
      <c r="D99" s="563">
        <f>F99*I99*10</f>
        <v>69.841246363333923</v>
      </c>
      <c r="E99" s="563">
        <f>F99*H99*10</f>
        <v>79.90148129655654</v>
      </c>
      <c r="F99" s="564">
        <f>_BEV_LCV!AJ63</f>
        <v>19.346605640812722</v>
      </c>
      <c r="G99" s="564"/>
      <c r="H99" s="565">
        <f>IF('2. Invoer parameters'!$C$6="Energie mix",Efac_elek_mix_WTW,IF('2. Invoer parameters'!$C$6="grijze stroom",Efac_elek_grijs_WTW,IF('2. Invoer parameters'!$C$6="Groene stroom",Efac_elek_groen_WTW,"")))</f>
        <v>0.41299999999999998</v>
      </c>
      <c r="I99" s="565">
        <f>IF('2. Invoer parameters'!$C$6="Energie mix",Efac_elek_mix_TTW,IF('2. Invoer parameters'!$C$6="grijze stroom",Efac_elek_grijs_TTW,IF('2. Invoer parameters'!$C$6="groene stroom",Efac_elek_groen_TTW,"")))</f>
        <v>0.36099999999999999</v>
      </c>
      <c r="J99" s="199"/>
      <c r="K99" s="566">
        <f>_BEV_LCV!AY63</f>
        <v>29901.47269513315</v>
      </c>
      <c r="L99" s="567">
        <v>0</v>
      </c>
      <c r="M99" s="566">
        <f>$B$227*K99</f>
        <v>6279.3092659779613</v>
      </c>
      <c r="N99" s="567">
        <f>K99+L99+M99</f>
        <v>36180.781961111112</v>
      </c>
      <c r="O99" s="568">
        <f>IF(K99&lt;=_MIA_max_bestel,K99*_MIA_perc_bestel_elek*_venootbelasting_perc,_MIA_max_bestel*_MIA_perc_bestel_elek*_venootbelasting_perc)</f>
        <v>2691.1325425619834</v>
      </c>
      <c r="P99" s="199"/>
      <c r="Q99" s="199"/>
      <c r="R99" s="567">
        <v>0</v>
      </c>
      <c r="S99" s="567">
        <v>0</v>
      </c>
      <c r="T99" s="565">
        <f t="shared" si="39"/>
        <v>0.19593388429752065</v>
      </c>
      <c r="U99" s="589">
        <f>$B$486</f>
        <v>2.1999999999999999E-2</v>
      </c>
      <c r="V99" s="589">
        <f>$B$568</f>
        <v>3.7999999999999999E-2</v>
      </c>
      <c r="W99" s="570">
        <f>Rest_perc_ZE</f>
        <v>0.3</v>
      </c>
      <c r="X99" s="571">
        <f>(_verzekering_vast+_verzekering_variabel*K99)/12</f>
        <v>41.584560579277628</v>
      </c>
      <c r="Y99" s="572">
        <f t="shared" si="52"/>
        <v>1.7272727272727273</v>
      </c>
      <c r="Z99" s="653" t="s">
        <v>183</v>
      </c>
      <c r="AA99" s="199">
        <f>'_BEV persoon+bestel'!G48</f>
        <v>165</v>
      </c>
      <c r="AB99" s="654">
        <f>'_BEV persoon+bestel'!H48</f>
        <v>33</v>
      </c>
      <c r="AC99" s="199"/>
    </row>
    <row r="100" spans="1:30">
      <c r="A100" s="346" t="s">
        <v>161</v>
      </c>
      <c r="B100" s="640"/>
      <c r="C100" s="563">
        <f t="shared" si="42"/>
        <v>91.873401808136919</v>
      </c>
      <c r="D100" s="563">
        <f>F100*I100*10</f>
        <v>91.873401808136919</v>
      </c>
      <c r="E100" s="563">
        <f>F100*H100*10</f>
        <v>105.10724361983532</v>
      </c>
      <c r="F100" s="564">
        <f>_BEV_LCV!AJ64</f>
        <v>25.449695791727681</v>
      </c>
      <c r="G100" s="564"/>
      <c r="H100" s="565">
        <f>IF('2. Invoer parameters'!$C$6="Energie mix",Efac_elek_mix_WTW,IF('2. Invoer parameters'!$C$6="grijze stroom",Efac_elek_grijs_WTW,IF('2. Invoer parameters'!$C$6="Groene stroom",Efac_elek_groen_WTW,"")))</f>
        <v>0.41299999999999998</v>
      </c>
      <c r="I100" s="565">
        <f>IF('2. Invoer parameters'!$C$6="Energie mix",Efac_elek_mix_TTW,IF('2. Invoer parameters'!$C$6="grijze stroom",Efac_elek_grijs_TTW,IF('2. Invoer parameters'!$C$6="groene stroom",Efac_elek_groen_TTW,"")))</f>
        <v>0.36099999999999999</v>
      </c>
      <c r="J100" s="199"/>
      <c r="K100" s="566">
        <f>_BEV_LCV!AY64</f>
        <v>38185.714285714283</v>
      </c>
      <c r="L100" s="567">
        <v>0</v>
      </c>
      <c r="M100" s="566">
        <f>$B$227*K100</f>
        <v>8018.9999999999991</v>
      </c>
      <c r="N100" s="567">
        <f>K100+L100+M100</f>
        <v>46204.714285714283</v>
      </c>
      <c r="O100" s="568">
        <f>IF(K100&lt;=_MIA_max_bestel,K100*_MIA_perc_bestel_elek*_venootbelasting_perc,_MIA_max_bestel*_MIA_perc_bestel_elek*_venootbelasting_perc)</f>
        <v>3436.7142857142853</v>
      </c>
      <c r="P100" s="199"/>
      <c r="Q100" s="199"/>
      <c r="R100" s="567">
        <v>0</v>
      </c>
      <c r="S100" s="567">
        <v>0</v>
      </c>
      <c r="T100" s="565">
        <f t="shared" si="39"/>
        <v>0.19593388429752065</v>
      </c>
      <c r="U100" s="589">
        <f>$C$486</f>
        <v>3.1935483870967736E-2</v>
      </c>
      <c r="V100" s="589">
        <f>$C$568</f>
        <v>5.3999999999999999E-2</v>
      </c>
      <c r="W100" s="570">
        <f>Rest_perc_ZE</f>
        <v>0.3</v>
      </c>
      <c r="X100" s="571">
        <f>(_verzekering_vast+_verzekering_variabel*K100)/12</f>
        <v>48.488095238095241</v>
      </c>
      <c r="Y100" s="572">
        <f t="shared" si="52"/>
        <v>1.6909090909090911</v>
      </c>
      <c r="Z100" s="653" t="s">
        <v>184</v>
      </c>
      <c r="AA100" s="199">
        <f>'_BEV persoon+bestel'!G53</f>
        <v>150</v>
      </c>
      <c r="AB100" s="654">
        <f>'_BEV persoon+bestel'!H53</f>
        <v>41.4</v>
      </c>
      <c r="AC100" s="199"/>
    </row>
    <row r="101" spans="1:30" ht="17" thickBot="1">
      <c r="A101" s="348" t="s">
        <v>162</v>
      </c>
      <c r="B101" s="593"/>
      <c r="C101" s="591">
        <f t="shared" si="42"/>
        <v>130.27904953041786</v>
      </c>
      <c r="D101" s="591">
        <f t="shared" si="47"/>
        <v>130.27904953041786</v>
      </c>
      <c r="E101" s="591">
        <f>F101*H101*10</f>
        <v>149.04500680349744</v>
      </c>
      <c r="F101" s="592">
        <f>_BEV_LCV!AJ65</f>
        <v>36.088379371306893</v>
      </c>
      <c r="G101" s="592"/>
      <c r="H101" s="594">
        <f>IF('2. Invoer parameters'!$C$6="Energie mix",Efac_elek_mix_WTW,IF('2. Invoer parameters'!$C$6="grijze stroom",Efac_elek_grijs_WTW,IF('2. Invoer parameters'!$C$6="Groene stroom",Efac_elek_groen_WTW,"")))</f>
        <v>0.41299999999999998</v>
      </c>
      <c r="I101" s="594">
        <f>IF('2. Invoer parameters'!$C$6="Energie mix",Efac_elek_mix_TTW,IF('2. Invoer parameters'!$C$6="grijze stroom",Efac_elek_grijs_TTW,IF('2. Invoer parameters'!$C$6="groene stroom",Efac_elek_groen_TTW,"")))</f>
        <v>0.36099999999999999</v>
      </c>
      <c r="J101" s="593"/>
      <c r="K101" s="595">
        <f>_BEV_LCV!AY65</f>
        <v>67326.31578947368</v>
      </c>
      <c r="L101" s="596">
        <v>0</v>
      </c>
      <c r="M101" s="595">
        <f>$B$227*K101</f>
        <v>14138.526315789471</v>
      </c>
      <c r="N101" s="596">
        <f>K101+L101+M101</f>
        <v>81464.842105263146</v>
      </c>
      <c r="O101" s="568">
        <f>IF(K101&lt;=_MIA_max_bestel,K101*_MIA_perc_bestel_elek*_venootbelasting_perc,_MIA_max_bestel*_MIA_perc_bestel_elek*_venootbelasting_perc)</f>
        <v>6059.3684210526308</v>
      </c>
      <c r="P101" s="593"/>
      <c r="Q101" s="593"/>
      <c r="R101" s="596">
        <v>0</v>
      </c>
      <c r="S101" s="596">
        <v>0</v>
      </c>
      <c r="T101" s="594">
        <f t="shared" si="39"/>
        <v>0.19593388429752065</v>
      </c>
      <c r="U101" s="599">
        <f>$D$486</f>
        <v>4.2580645161290315E-2</v>
      </c>
      <c r="V101" s="599">
        <f>$D$568</f>
        <v>6.0000000000000005E-2</v>
      </c>
      <c r="W101" s="600">
        <f>Rest_perc_ZE</f>
        <v>0.3</v>
      </c>
      <c r="X101" s="607">
        <f>(_verzekering_vast+_verzekering_variabel*K101)/12</f>
        <v>72.771929824561397</v>
      </c>
      <c r="Y101" s="572">
        <f t="shared" si="52"/>
        <v>1.4090909090909094</v>
      </c>
      <c r="Z101" s="662" t="s">
        <v>185</v>
      </c>
      <c r="AA101" s="591">
        <f>'_BEV persoon+bestel'!G52</f>
        <v>100.01230263283503</v>
      </c>
      <c r="AB101" s="663">
        <f>'_BEV persoon+bestel'!H52</f>
        <v>33</v>
      </c>
      <c r="AC101" s="199"/>
    </row>
    <row r="102" spans="1:30">
      <c r="A102" s="347"/>
      <c r="B102" s="621"/>
      <c r="C102" s="621"/>
      <c r="D102" s="619"/>
      <c r="E102" s="619"/>
      <c r="F102" s="620"/>
      <c r="G102" s="620"/>
      <c r="H102" s="622"/>
      <c r="I102" s="622"/>
      <c r="J102" s="621"/>
      <c r="K102" s="623"/>
      <c r="L102" s="623"/>
      <c r="M102" s="623"/>
      <c r="N102" s="623"/>
      <c r="O102" s="624"/>
      <c r="P102" s="621"/>
      <c r="Q102" s="621"/>
      <c r="R102" s="623"/>
      <c r="S102" s="623"/>
      <c r="T102" s="622"/>
      <c r="U102" s="625"/>
      <c r="V102" s="625"/>
      <c r="W102" s="626"/>
      <c r="X102" s="664"/>
      <c r="Z102" s="653"/>
      <c r="AA102" s="199"/>
      <c r="AB102" s="654"/>
      <c r="AC102" s="199"/>
    </row>
    <row r="103" spans="1:30">
      <c r="A103" s="346" t="s">
        <v>2044</v>
      </c>
      <c r="B103" s="546"/>
      <c r="C103" s="563">
        <f>F103*I103*10</f>
        <v>119.13</v>
      </c>
      <c r="D103" s="563">
        <f>F103*I103*10</f>
        <v>119.13</v>
      </c>
      <c r="E103" s="563">
        <f>F103*H103*10</f>
        <v>136.29</v>
      </c>
      <c r="F103" s="564">
        <f>_BEV_specials!AA13</f>
        <v>33</v>
      </c>
      <c r="G103" s="564"/>
      <c r="H103" s="565">
        <f>IF('2. Invoer parameters'!$C$6="Energie mix",Efac_elek_mix_WTW,IF('2. Invoer parameters'!$C$6="grijze stroom",Efac_elek_grijs_WTW,IF('2. Invoer parameters'!$C$6="Groene stroom",Efac_elek_groen_WTW,"")))</f>
        <v>0.41299999999999998</v>
      </c>
      <c r="I103" s="565">
        <f>IF('2. Invoer parameters'!$C$6="Energie mix",Efac_elek_mix_TTW,IF('2. Invoer parameters'!$C$6="grijze stroom",Efac_elek_grijs_TTW,IF('2. Invoer parameters'!$C$6="groene stroom",Efac_elek_groen_TTW,"")))</f>
        <v>0.36099999999999999</v>
      </c>
      <c r="J103" s="199"/>
      <c r="K103" s="566">
        <f>_BEV_specials!AP13</f>
        <v>58460.074999999997</v>
      </c>
      <c r="L103" s="567">
        <v>0</v>
      </c>
      <c r="M103" s="566">
        <f>$B$227*K103</f>
        <v>12276.615749999999</v>
      </c>
      <c r="N103" s="567">
        <f>K103+L103+M103</f>
        <v>70736.690749999994</v>
      </c>
      <c r="O103" s="568">
        <f>IF(K103&lt;=_MIA_max_bestel,K103*_MIA_perc_bestel_elek*_venootbelasting_perc,_MIA_max_bestel*_MIA_perc_bestel_elek*_venootbelasting_perc)</f>
        <v>5261.4067499999992</v>
      </c>
      <c r="P103" s="199"/>
      <c r="Q103" s="199"/>
      <c r="R103" s="588">
        <v>0</v>
      </c>
      <c r="S103" s="567">
        <v>0</v>
      </c>
      <c r="T103" s="565">
        <f t="shared" si="39"/>
        <v>0.19593388429752065</v>
      </c>
      <c r="U103" s="660">
        <f>$C$498</f>
        <v>4.2746666666666662E-2</v>
      </c>
      <c r="V103" s="660">
        <f>Onderh_BEV_veegvuilwagen*$H$476</f>
        <v>5.3005866666666658E-2</v>
      </c>
      <c r="W103" s="570">
        <f>Rest_perc_ZE</f>
        <v>0.3</v>
      </c>
      <c r="X103" s="632">
        <f>$B$605/12</f>
        <v>219.81183823529418</v>
      </c>
      <c r="Y103" s="665">
        <f>V103/U103</f>
        <v>1.24</v>
      </c>
      <c r="Z103" s="653"/>
      <c r="AA103" s="563"/>
      <c r="AB103" s="654"/>
      <c r="AC103" s="199"/>
    </row>
    <row r="104" spans="1:30">
      <c r="A104" s="346" t="s">
        <v>1637</v>
      </c>
      <c r="B104" s="640"/>
      <c r="C104" s="563">
        <f t="shared" ref="C104:C105" si="55">F104*I104*10</f>
        <v>685.90000000000009</v>
      </c>
      <c r="D104" s="563">
        <f>F104*I104*10</f>
        <v>685.90000000000009</v>
      </c>
      <c r="E104" s="563">
        <f>F104*H104*10</f>
        <v>784.7</v>
      </c>
      <c r="F104" s="564">
        <f>_BEV_specials!AA14</f>
        <v>190</v>
      </c>
      <c r="G104" s="564"/>
      <c r="H104" s="565">
        <f>IF('2. Invoer parameters'!$C$6="Energie mix",Efac_elek_mix_WTW,IF('2. Invoer parameters'!$C$6="grijze stroom",Efac_elek_grijs_WTW,IF('2. Invoer parameters'!$C$6="Groene stroom",Efac_elek_groen_WTW,"")))</f>
        <v>0.41299999999999998</v>
      </c>
      <c r="I104" s="565">
        <f>IF('2. Invoer parameters'!$C$6="Energie mix",Efac_elek_mix_TTW,IF('2. Invoer parameters'!$C$6="grijze stroom",Efac_elek_grijs_TTW,IF('2. Invoer parameters'!$C$6="groene stroom",Efac_elek_groen_TTW,"")))</f>
        <v>0.36099999999999999</v>
      </c>
      <c r="J104" s="199"/>
      <c r="K104" s="566">
        <f>_BEV_specials!AP14</f>
        <v>340913.5</v>
      </c>
      <c r="L104" s="567">
        <v>0</v>
      </c>
      <c r="M104" s="566">
        <f>$B$227*K104</f>
        <v>71591.834999999992</v>
      </c>
      <c r="N104" s="567">
        <f>K104+L104+M104</f>
        <v>412505.33499999996</v>
      </c>
      <c r="O104" s="614">
        <f>K104*_MIA_perc_vrachtwagen*_venootbelasting_perc</f>
        <v>30682.215</v>
      </c>
      <c r="P104" s="199"/>
      <c r="Q104" s="199"/>
      <c r="R104" s="588">
        <v>0</v>
      </c>
      <c r="S104" s="567">
        <v>0</v>
      </c>
      <c r="T104" s="565">
        <f t="shared" si="39"/>
        <v>0.19593388429752065</v>
      </c>
      <c r="U104" s="660">
        <f>$D$506</f>
        <v>0.65961710526315787</v>
      </c>
      <c r="V104" s="660">
        <f>Onderh_BEV_vuilniswagen*$H$476</f>
        <v>0.81792521052631573</v>
      </c>
      <c r="W104" s="570">
        <f>Rest_perc_ZE</f>
        <v>0.3</v>
      </c>
      <c r="X104" s="632">
        <f>$C$605/12</f>
        <v>750</v>
      </c>
      <c r="Y104" s="665">
        <f t="shared" ref="Y104:Y105" si="56">V104/U104</f>
        <v>1.24</v>
      </c>
      <c r="Z104" s="653"/>
      <c r="AA104" s="199"/>
      <c r="AB104" s="654"/>
      <c r="AC104" s="199"/>
    </row>
    <row r="105" spans="1:30" ht="17" thickBot="1">
      <c r="A105" s="348" t="s">
        <v>4286</v>
      </c>
      <c r="B105" s="593"/>
      <c r="C105" s="603">
        <f t="shared" si="55"/>
        <v>93.859999999999985</v>
      </c>
      <c r="D105" s="603">
        <f t="shared" ref="D105" si="57">F105*I105*10</f>
        <v>93.859999999999985</v>
      </c>
      <c r="E105" s="603">
        <f>F105*H105*10</f>
        <v>107.38</v>
      </c>
      <c r="F105" s="604">
        <f>_BEV_specials!$AB$15</f>
        <v>26</v>
      </c>
      <c r="G105" s="592"/>
      <c r="H105" s="594">
        <f>IF('2. Invoer parameters'!$C$6="Energie mix",Efac_elek_mix_WTW,IF('2. Invoer parameters'!$C$6="grijze stroom",Efac_elek_grijs_WTW,IF('2. Invoer parameters'!$C$6="Groene stroom",Efac_elek_groen_WTW,"")))</f>
        <v>0.41299999999999998</v>
      </c>
      <c r="I105" s="594">
        <f>IF('2. Invoer parameters'!$C$6="Energie mix",Efac_elek_mix_TTW,IF('2. Invoer parameters'!$C$6="grijze stroom",Efac_elek_grijs_TTW,IF('2. Invoer parameters'!$C$6="groene stroom",Efac_elek_groen_TTW,"")))</f>
        <v>0.36099999999999999</v>
      </c>
      <c r="J105" s="593"/>
      <c r="K105" s="595">
        <f>_BEV_specials!AP15</f>
        <v>308277.75</v>
      </c>
      <c r="L105" s="596">
        <v>0</v>
      </c>
      <c r="M105" s="595">
        <f>$B$227*K105</f>
        <v>64738.327499999999</v>
      </c>
      <c r="N105" s="596">
        <f>K105+L105+M105</f>
        <v>373016.07750000001</v>
      </c>
      <c r="O105" s="643">
        <f>K105*_MIA_perc_veegmachine*_venootbelasting_perc</f>
        <v>27744.997499999998</v>
      </c>
      <c r="P105" s="593"/>
      <c r="Q105" s="593"/>
      <c r="R105" s="598">
        <v>0</v>
      </c>
      <c r="S105" s="596">
        <v>0</v>
      </c>
      <c r="T105" s="594">
        <f t="shared" si="39"/>
        <v>0.19593388429752065</v>
      </c>
      <c r="U105" s="666">
        <f>$E$513</f>
        <v>7.9784885057471273</v>
      </c>
      <c r="V105" s="666">
        <f>Onderh_BEV_veegwagen*$H$476</f>
        <v>9.893325747126438</v>
      </c>
      <c r="W105" s="600">
        <f>Rest_perc_ZE</f>
        <v>0.3</v>
      </c>
      <c r="X105" s="667">
        <f>$D$605/12</f>
        <v>250</v>
      </c>
      <c r="Y105" s="665">
        <f t="shared" si="56"/>
        <v>1.24</v>
      </c>
      <c r="Z105" s="662"/>
      <c r="AA105" s="591"/>
      <c r="AB105" s="663"/>
      <c r="AC105" s="199"/>
    </row>
    <row r="106" spans="1:30" ht="17" thickBot="1"/>
    <row r="107" spans="1:30" ht="17" thickBot="1">
      <c r="A107" s="167" t="s">
        <v>133</v>
      </c>
      <c r="B107" s="542"/>
      <c r="C107" s="542"/>
      <c r="D107" s="1558" t="s">
        <v>1436</v>
      </c>
      <c r="E107" s="1559"/>
      <c r="F107" s="1559"/>
      <c r="G107" s="1559"/>
      <c r="H107" s="1559"/>
      <c r="I107" s="1559"/>
      <c r="J107" s="1560"/>
      <c r="K107" s="1560"/>
      <c r="L107" s="1560"/>
      <c r="M107" s="1560"/>
      <c r="N107" s="1560"/>
      <c r="O107" s="1560"/>
      <c r="P107" s="1560"/>
      <c r="Q107" s="1560"/>
      <c r="R107" s="1560"/>
      <c r="S107" s="1560"/>
      <c r="T107" s="1560"/>
      <c r="U107" s="1560"/>
      <c r="V107" s="1560"/>
      <c r="W107" s="1560"/>
      <c r="X107" s="1561"/>
      <c r="Z107" s="1566" t="s">
        <v>1519</v>
      </c>
      <c r="AA107" s="1567"/>
      <c r="AB107" s="1567"/>
      <c r="AC107" s="1567"/>
      <c r="AD107" s="1568"/>
    </row>
    <row r="108" spans="1:30">
      <c r="A108" s="167"/>
      <c r="B108" s="644" t="s">
        <v>135</v>
      </c>
      <c r="C108" s="644"/>
      <c r="D108" s="1562" t="s">
        <v>136</v>
      </c>
      <c r="E108" s="1563"/>
      <c r="F108" s="1563"/>
      <c r="G108" s="1563"/>
      <c r="H108" s="1563"/>
      <c r="I108" s="645"/>
      <c r="J108" s="646"/>
      <c r="K108" s="1562" t="s">
        <v>137</v>
      </c>
      <c r="L108" s="1562"/>
      <c r="M108" s="1562"/>
      <c r="N108" s="1563"/>
      <c r="O108" s="647"/>
      <c r="P108" s="646"/>
      <c r="Q108" s="646"/>
      <c r="R108" s="1562" t="s">
        <v>164</v>
      </c>
      <c r="S108" s="1562"/>
      <c r="T108" s="1562"/>
      <c r="U108" s="1562"/>
      <c r="V108" s="1562"/>
      <c r="W108" s="1562"/>
      <c r="X108" s="1564"/>
      <c r="Z108" s="668"/>
      <c r="AA108" s="669"/>
      <c r="AB108" s="669"/>
      <c r="AC108" s="669"/>
      <c r="AD108" s="670"/>
    </row>
    <row r="109" spans="1:30" ht="85">
      <c r="A109" s="168"/>
      <c r="B109" s="609"/>
      <c r="C109" s="549" t="s">
        <v>1383</v>
      </c>
      <c r="D109" s="549" t="s">
        <v>139</v>
      </c>
      <c r="E109" s="549" t="s">
        <v>140</v>
      </c>
      <c r="F109" s="547" t="s">
        <v>1389</v>
      </c>
      <c r="G109" s="547" t="s">
        <v>1389</v>
      </c>
      <c r="H109" s="547" t="s">
        <v>141</v>
      </c>
      <c r="I109" s="547" t="s">
        <v>142</v>
      </c>
      <c r="J109" s="199"/>
      <c r="K109" s="549" t="s">
        <v>824</v>
      </c>
      <c r="L109" s="547" t="s">
        <v>121</v>
      </c>
      <c r="M109" s="547" t="s">
        <v>77</v>
      </c>
      <c r="N109" s="547" t="s">
        <v>143</v>
      </c>
      <c r="O109" s="547" t="s">
        <v>144</v>
      </c>
      <c r="P109" s="546"/>
      <c r="Q109" s="546"/>
      <c r="R109" s="547" t="s">
        <v>124</v>
      </c>
      <c r="S109" s="549" t="s">
        <v>1563</v>
      </c>
      <c r="T109" s="547" t="s">
        <v>145</v>
      </c>
      <c r="U109" s="549" t="s">
        <v>737</v>
      </c>
      <c r="V109" s="549" t="s">
        <v>738</v>
      </c>
      <c r="W109" s="547" t="s">
        <v>146</v>
      </c>
      <c r="X109" s="550" t="s">
        <v>106</v>
      </c>
      <c r="Z109" s="651" t="s">
        <v>167</v>
      </c>
      <c r="AA109" s="549" t="s">
        <v>1520</v>
      </c>
      <c r="AB109" s="549" t="s">
        <v>1521</v>
      </c>
      <c r="AC109" s="549" t="s">
        <v>1522</v>
      </c>
      <c r="AD109" s="671" t="s">
        <v>1523</v>
      </c>
    </row>
    <row r="110" spans="1:30">
      <c r="A110" s="168"/>
      <c r="B110" s="609"/>
      <c r="C110" s="545" t="s">
        <v>147</v>
      </c>
      <c r="D110" s="545" t="s">
        <v>147</v>
      </c>
      <c r="E110" s="545" t="s">
        <v>147</v>
      </c>
      <c r="F110" s="545" t="s">
        <v>800</v>
      </c>
      <c r="G110" s="545" t="s">
        <v>1518</v>
      </c>
      <c r="H110" s="545" t="s">
        <v>171</v>
      </c>
      <c r="I110" s="545" t="s">
        <v>171</v>
      </c>
      <c r="J110" s="199"/>
      <c r="K110" s="545" t="s">
        <v>150</v>
      </c>
      <c r="L110" s="545" t="s">
        <v>151</v>
      </c>
      <c r="M110" s="545" t="s">
        <v>151</v>
      </c>
      <c r="N110" s="545" t="s">
        <v>152</v>
      </c>
      <c r="O110" s="545" t="s">
        <v>151</v>
      </c>
      <c r="P110" s="546"/>
      <c r="Q110" s="546"/>
      <c r="R110" s="545" t="s">
        <v>1562</v>
      </c>
      <c r="S110" s="545" t="s">
        <v>153</v>
      </c>
      <c r="T110" s="545" t="s">
        <v>802</v>
      </c>
      <c r="U110" s="545" t="s">
        <v>155</v>
      </c>
      <c r="V110" s="545" t="s">
        <v>155</v>
      </c>
      <c r="W110" s="545" t="s">
        <v>156</v>
      </c>
      <c r="X110" s="551" t="s">
        <v>157</v>
      </c>
      <c r="Z110" s="648"/>
      <c r="AA110" s="545" t="s">
        <v>173</v>
      </c>
      <c r="AB110" s="545" t="s">
        <v>173</v>
      </c>
      <c r="AC110" s="545"/>
      <c r="AD110" s="551"/>
    </row>
    <row r="111" spans="1:30">
      <c r="A111" s="169" t="s">
        <v>7</v>
      </c>
      <c r="B111" s="556" t="s">
        <v>158</v>
      </c>
      <c r="C111" s="556"/>
      <c r="D111" s="554"/>
      <c r="E111" s="554"/>
      <c r="F111" s="555"/>
      <c r="G111" s="555"/>
      <c r="H111" s="657"/>
      <c r="I111" s="657"/>
      <c r="J111" s="556"/>
      <c r="K111" s="557"/>
      <c r="L111" s="557"/>
      <c r="M111" s="558"/>
      <c r="N111" s="558"/>
      <c r="O111" s="630"/>
      <c r="P111" s="556"/>
      <c r="Q111" s="556"/>
      <c r="R111" s="558"/>
      <c r="S111" s="558"/>
      <c r="T111" s="556"/>
      <c r="U111" s="560"/>
      <c r="V111" s="629"/>
      <c r="W111" s="641"/>
      <c r="X111" s="642"/>
      <c r="Z111" s="562"/>
      <c r="AA111" s="546"/>
      <c r="AB111" s="546"/>
      <c r="AC111" s="546"/>
      <c r="AD111" s="672"/>
    </row>
    <row r="112" spans="1:30">
      <c r="A112" s="169" t="s">
        <v>12</v>
      </c>
      <c r="B112" s="556" t="s">
        <v>158</v>
      </c>
      <c r="C112" s="556"/>
      <c r="D112" s="554"/>
      <c r="E112" s="554"/>
      <c r="F112" s="555"/>
      <c r="G112" s="555"/>
      <c r="H112" s="657"/>
      <c r="I112" s="657"/>
      <c r="J112" s="556"/>
      <c r="K112" s="557"/>
      <c r="L112" s="557"/>
      <c r="M112" s="558"/>
      <c r="N112" s="558"/>
      <c r="O112" s="630"/>
      <c r="P112" s="556"/>
      <c r="Q112" s="556"/>
      <c r="R112" s="558"/>
      <c r="S112" s="558"/>
      <c r="T112" s="556"/>
      <c r="U112" s="560"/>
      <c r="V112" s="629"/>
      <c r="W112" s="641"/>
      <c r="X112" s="642"/>
      <c r="Z112" s="562"/>
      <c r="AA112" s="546"/>
      <c r="AB112" s="546"/>
      <c r="AC112" s="546"/>
      <c r="AD112" s="672"/>
    </row>
    <row r="113" spans="1:30">
      <c r="A113" s="169" t="s">
        <v>15</v>
      </c>
      <c r="B113" s="556" t="s">
        <v>158</v>
      </c>
      <c r="C113" s="556"/>
      <c r="D113" s="554"/>
      <c r="E113" s="554"/>
      <c r="F113" s="555"/>
      <c r="G113" s="555"/>
      <c r="H113" s="657"/>
      <c r="I113" s="657"/>
      <c r="J113" s="556"/>
      <c r="K113" s="557"/>
      <c r="L113" s="557"/>
      <c r="M113" s="558"/>
      <c r="N113" s="558"/>
      <c r="O113" s="630"/>
      <c r="P113" s="556"/>
      <c r="Q113" s="556"/>
      <c r="R113" s="558"/>
      <c r="S113" s="558"/>
      <c r="T113" s="556"/>
      <c r="U113" s="560"/>
      <c r="V113" s="629"/>
      <c r="W113" s="641"/>
      <c r="X113" s="642"/>
      <c r="Z113" s="562"/>
      <c r="AA113" s="546"/>
      <c r="AB113" s="546"/>
      <c r="AC113" s="546"/>
      <c r="AD113" s="672"/>
    </row>
    <row r="114" spans="1:30">
      <c r="A114" s="169" t="s">
        <v>18</v>
      </c>
      <c r="B114" s="563"/>
      <c r="C114" s="563">
        <f>F114*H114*10</f>
        <v>126.00000000000001</v>
      </c>
      <c r="D114" s="563">
        <f>I114*F114*10</f>
        <v>0</v>
      </c>
      <c r="E114" s="563">
        <f>F114*H114*10</f>
        <v>126.00000000000001</v>
      </c>
      <c r="F114" s="564">
        <f>_FCEV_pers!AC21</f>
        <v>1.05</v>
      </c>
      <c r="G114" s="564">
        <v>0</v>
      </c>
      <c r="H114" s="565">
        <f>IF('2. Invoer parameters'!$C$8="groen",Efac_H2_WTW_groen,IF('2. Invoer parameters'!$C$8="grijs",Efac_H2_WTW_grijs,""))</f>
        <v>12</v>
      </c>
      <c r="I114" s="565">
        <f>IF('2. Invoer parameters'!$C$8="groen",Efac_H2_TTW_groen,IF('2. Invoer parameters'!$C$8="grijs",Efac_H2_TTW_grijs,""))</f>
        <v>0</v>
      </c>
      <c r="J114" s="199"/>
      <c r="K114" s="566">
        <f>_FCEV_pers!AQ21</f>
        <v>66360</v>
      </c>
      <c r="L114" s="567">
        <v>0</v>
      </c>
      <c r="M114" s="567">
        <f>$B$227*K114</f>
        <v>13935.6</v>
      </c>
      <c r="N114" s="567">
        <f>SUM(K114:M114)</f>
        <v>80295.600000000006</v>
      </c>
      <c r="O114" s="568">
        <f>IF(K114&lt;=_MIA_max_personen_H2,K113*_MIA_perc*_venootbelasting_perc,_MIA_max_personen_H2*_MIA_perc*_venootbelasting_perc)</f>
        <v>0</v>
      </c>
      <c r="P114" s="199"/>
      <c r="Q114" s="199"/>
      <c r="R114" s="567">
        <v>0</v>
      </c>
      <c r="S114" s="567">
        <v>0</v>
      </c>
      <c r="T114" s="565">
        <f>prijs_H2</f>
        <v>10</v>
      </c>
      <c r="U114" s="589">
        <f>$B$489</f>
        <v>4.3200000000000002E-2</v>
      </c>
      <c r="V114" s="589">
        <f>$B$571</f>
        <v>5.1999999999999998E-2</v>
      </c>
      <c r="W114" s="570">
        <f>Rest_perc_ZE</f>
        <v>0.3</v>
      </c>
      <c r="X114" s="571">
        <f>(_verzekering_vast+_verzekering_variabel*K114)/12</f>
        <v>71.966666666666669</v>
      </c>
      <c r="Z114" s="562" t="s">
        <v>1444</v>
      </c>
      <c r="AA114" s="546">
        <f>_FCEV_pers!Z4</f>
        <v>500</v>
      </c>
      <c r="AB114" s="546">
        <v>0</v>
      </c>
      <c r="AC114" s="673">
        <f>AB114/(AA114+AB114)</f>
        <v>0</v>
      </c>
      <c r="AD114" s="674">
        <f>100%-AC114</f>
        <v>1</v>
      </c>
    </row>
    <row r="115" spans="1:30">
      <c r="A115" s="169" t="s">
        <v>21</v>
      </c>
      <c r="B115" s="563"/>
      <c r="C115" s="563">
        <f>F115*H115*10</f>
        <v>126.00000000000001</v>
      </c>
      <c r="D115" s="563">
        <f>I115*F115*10</f>
        <v>0</v>
      </c>
      <c r="E115" s="563">
        <f>F115*H115*10</f>
        <v>126.00000000000001</v>
      </c>
      <c r="F115" s="564">
        <f>_FCEV_pers!AC21</f>
        <v>1.05</v>
      </c>
      <c r="G115" s="564">
        <v>0</v>
      </c>
      <c r="H115" s="565">
        <f>IF('2. Invoer parameters'!$C$8="groen",Efac_H2_WTW_groen,IF('2. Invoer parameters'!$C$8="grijs",Efac_H2_WTW_grijs,""))</f>
        <v>12</v>
      </c>
      <c r="I115" s="565">
        <f>IF('2. Invoer parameters'!$C$8="groen",Efac_H2_TTW_groen,IF('2. Invoer parameters'!$C$8="grijs",Efac_H2_TTW_grijs,""))</f>
        <v>0</v>
      </c>
      <c r="J115" s="199"/>
      <c r="K115" s="566">
        <f>_FCEV_pers!AQ21</f>
        <v>66360</v>
      </c>
      <c r="L115" s="567">
        <v>0</v>
      </c>
      <c r="M115" s="567">
        <f>$B$227*K115</f>
        <v>13935.6</v>
      </c>
      <c r="N115" s="567">
        <f>SUM(K115:M116)</f>
        <v>80295.600000000006</v>
      </c>
      <c r="O115" s="568">
        <f>IF(K115&lt;=_MIA_max_personen_H2,K115*_MIA_perc*_venootbelasting_perc,_MIA_max_personen_H2*_MIA_perc*_venootbelasting_perc)</f>
        <v>4479.3</v>
      </c>
      <c r="P115" s="199"/>
      <c r="Q115" s="199"/>
      <c r="R115" s="567">
        <v>0</v>
      </c>
      <c r="S115" s="567">
        <v>0</v>
      </c>
      <c r="T115" s="565">
        <f>prijs_H2</f>
        <v>10</v>
      </c>
      <c r="U115" s="589">
        <f>$B$489</f>
        <v>4.3200000000000002E-2</v>
      </c>
      <c r="V115" s="589">
        <f>$B$571</f>
        <v>5.1999999999999998E-2</v>
      </c>
      <c r="W115" s="570">
        <f>Rest_perc_ZE</f>
        <v>0.3</v>
      </c>
      <c r="X115" s="571">
        <f>(_verzekering_vast+_verzekering_variabel*K115)/12</f>
        <v>71.966666666666669</v>
      </c>
      <c r="Z115" s="562" t="s">
        <v>1444</v>
      </c>
      <c r="AA115" s="546">
        <f>_FCEV_pers!Z4</f>
        <v>500</v>
      </c>
      <c r="AB115" s="546">
        <v>0</v>
      </c>
      <c r="AC115" s="673">
        <f>AB115/(AA115+AB115)</f>
        <v>0</v>
      </c>
      <c r="AD115" s="674">
        <f>100%-AC115</f>
        <v>1</v>
      </c>
    </row>
    <row r="116" spans="1:30">
      <c r="A116" s="169" t="s">
        <v>25</v>
      </c>
      <c r="B116" s="556" t="s">
        <v>158</v>
      </c>
      <c r="C116" s="556"/>
      <c r="D116" s="554"/>
      <c r="E116" s="554"/>
      <c r="F116" s="555"/>
      <c r="G116" s="555"/>
      <c r="H116" s="657"/>
      <c r="I116" s="657"/>
      <c r="J116" s="556"/>
      <c r="K116" s="557"/>
      <c r="L116" s="557"/>
      <c r="M116" s="558"/>
      <c r="N116" s="558"/>
      <c r="O116" s="630"/>
      <c r="P116" s="556"/>
      <c r="Q116" s="556"/>
      <c r="R116" s="558"/>
      <c r="S116" s="558"/>
      <c r="T116" s="556"/>
      <c r="U116" s="560"/>
      <c r="V116" s="560"/>
      <c r="W116" s="641"/>
      <c r="X116" s="642"/>
      <c r="Z116" s="562"/>
      <c r="AA116" s="546"/>
      <c r="AB116" s="546"/>
      <c r="AC116" s="546"/>
      <c r="AD116" s="672"/>
    </row>
    <row r="117" spans="1:30">
      <c r="A117" s="169" t="s">
        <v>159</v>
      </c>
      <c r="B117" s="556" t="s">
        <v>158</v>
      </c>
      <c r="C117" s="556"/>
      <c r="D117" s="554"/>
      <c r="E117" s="554"/>
      <c r="F117" s="555"/>
      <c r="G117" s="555"/>
      <c r="H117" s="657"/>
      <c r="I117" s="657"/>
      <c r="J117" s="556"/>
      <c r="K117" s="557"/>
      <c r="L117" s="557"/>
      <c r="M117" s="558"/>
      <c r="N117" s="558"/>
      <c r="O117" s="630"/>
      <c r="P117" s="556"/>
      <c r="Q117" s="556"/>
      <c r="R117" s="558"/>
      <c r="S117" s="558"/>
      <c r="T117" s="556"/>
      <c r="U117" s="560"/>
      <c r="V117" s="560"/>
      <c r="W117" s="641"/>
      <c r="X117" s="642"/>
      <c r="Z117" s="562"/>
      <c r="AA117" s="546"/>
      <c r="AB117" s="546"/>
      <c r="AC117" s="546"/>
      <c r="AD117" s="672"/>
    </row>
    <row r="118" spans="1:30" s="541" customFormat="1" hidden="1">
      <c r="A118" s="169" t="s">
        <v>896</v>
      </c>
      <c r="B118" s="628"/>
      <c r="C118" s="628"/>
      <c r="D118" s="585"/>
      <c r="E118" s="585"/>
      <c r="F118" s="610"/>
      <c r="G118" s="610"/>
      <c r="H118" s="612"/>
      <c r="I118" s="612"/>
      <c r="J118" s="611"/>
      <c r="K118" s="613"/>
      <c r="L118" s="588"/>
      <c r="M118" s="588"/>
      <c r="N118" s="588"/>
      <c r="O118" s="614"/>
      <c r="P118" s="611"/>
      <c r="Q118" s="611"/>
      <c r="R118" s="588"/>
      <c r="S118" s="588"/>
      <c r="T118" s="612"/>
      <c r="U118" s="611"/>
      <c r="V118" s="611"/>
      <c r="W118" s="615"/>
      <c r="X118" s="632"/>
      <c r="Z118" s="675"/>
      <c r="AA118" s="617"/>
      <c r="AB118" s="617"/>
      <c r="AC118" s="617"/>
      <c r="AD118" s="676"/>
    </row>
    <row r="119" spans="1:30">
      <c r="A119" s="169" t="s">
        <v>28</v>
      </c>
      <c r="B119" s="640"/>
      <c r="C119" s="563">
        <f>F119*H119*10</f>
        <v>132</v>
      </c>
      <c r="D119" s="563">
        <f>I119*F119*10</f>
        <v>0</v>
      </c>
      <c r="E119" s="563">
        <f>F119*H119*10</f>
        <v>132</v>
      </c>
      <c r="F119" s="565">
        <f>_FCEV_pers!AC22</f>
        <v>1.1000000000000001</v>
      </c>
      <c r="G119" s="565">
        <v>0</v>
      </c>
      <c r="H119" s="565">
        <f>IF('2. Invoer parameters'!$C$8="groen",Efac_H2_WTW_groen,IF('2. Invoer parameters'!$C$8="grijs",Efac_H2_WTW_grijs,""))</f>
        <v>12</v>
      </c>
      <c r="I119" s="565">
        <f>IF('2. Invoer parameters'!$C$8="groen",Efac_H2_TTW_groen,IF('2. Invoer parameters'!$C$8="grijs",Efac_H2_TTW_grijs,""))</f>
        <v>0</v>
      </c>
      <c r="J119" s="199"/>
      <c r="K119" s="566">
        <f>_FCEV_pers!AQ22</f>
        <v>57487</v>
      </c>
      <c r="L119" s="567">
        <v>0</v>
      </c>
      <c r="M119" s="567">
        <f>$B$227*K119</f>
        <v>12072.27</v>
      </c>
      <c r="N119" s="567">
        <f>SUM(K119:M119)</f>
        <v>69559.27</v>
      </c>
      <c r="O119" s="568">
        <f>IF(K119&lt;=_MIA_max_personen_H2,K119*_MIA_perc*_venootbelasting_perc,_MIA_max_personen_H2*_MIA_perc*_venootbelasting_perc)</f>
        <v>3880.3725000000004</v>
      </c>
      <c r="P119" s="199"/>
      <c r="Q119" s="199"/>
      <c r="R119" s="567">
        <v>0</v>
      </c>
      <c r="S119" s="567">
        <v>0</v>
      </c>
      <c r="T119" s="565">
        <f>prijs_H2</f>
        <v>10</v>
      </c>
      <c r="U119" s="589">
        <f>$C$489</f>
        <v>4.2999999999999997E-2</v>
      </c>
      <c r="V119" s="589">
        <f>$C$571</f>
        <v>5.3999999999999999E-2</v>
      </c>
      <c r="W119" s="570">
        <f>Rest_perc_ZE</f>
        <v>0.3</v>
      </c>
      <c r="X119" s="571">
        <f>(_verzekering_vast+_verzekering_variabel*K119)/12</f>
        <v>64.572500000000005</v>
      </c>
      <c r="Z119" s="562" t="s">
        <v>1450</v>
      </c>
      <c r="AA119" s="546">
        <f>_FCEV_pers!Z5</f>
        <v>665</v>
      </c>
      <c r="AB119" s="546">
        <v>0</v>
      </c>
      <c r="AC119" s="673">
        <f>AB119/(AA119+AB119)</f>
        <v>0</v>
      </c>
      <c r="AD119" s="674">
        <f>100%-AC119</f>
        <v>1</v>
      </c>
    </row>
    <row r="120" spans="1:30">
      <c r="A120" s="169" t="s">
        <v>32</v>
      </c>
      <c r="B120" s="199"/>
      <c r="C120" s="563">
        <f>F120*H120*10</f>
        <v>132</v>
      </c>
      <c r="D120" s="563">
        <f>I120*F120*10</f>
        <v>0</v>
      </c>
      <c r="E120" s="563">
        <f>F120*H120*10</f>
        <v>132</v>
      </c>
      <c r="F120" s="565">
        <f>_FCEV_pers!AC22</f>
        <v>1.1000000000000001</v>
      </c>
      <c r="G120" s="565">
        <v>0</v>
      </c>
      <c r="H120" s="565">
        <f>IF('2. Invoer parameters'!$C$8="groen",Efac_H2_WTW_groen,IF('2. Invoer parameters'!$C$8="grijs",Efac_H2_WTW_grijs,""))</f>
        <v>12</v>
      </c>
      <c r="I120" s="565">
        <f>IF('2. Invoer parameters'!$C$8="groen",Efac_H2_TTW_groen,IF('2. Invoer parameters'!$C$8="grijs",Efac_H2_TTW_grijs,""))</f>
        <v>0</v>
      </c>
      <c r="J120" s="199"/>
      <c r="K120" s="566">
        <f>_FCEV_pers!AQ22</f>
        <v>57487</v>
      </c>
      <c r="L120" s="567">
        <v>0</v>
      </c>
      <c r="M120" s="567">
        <f>$B$227*K120</f>
        <v>12072.27</v>
      </c>
      <c r="N120" s="567">
        <f>SUM(K120:M120)</f>
        <v>69559.27</v>
      </c>
      <c r="O120" s="568">
        <f>IF(K120&lt;=_MIA_max_personen_H2,K120*_MIA_perc*_venootbelasting_perc,_MIA_max_personen_H2*_MIA_perc*_venootbelasting_perc)</f>
        <v>3880.3725000000004</v>
      </c>
      <c r="P120" s="199"/>
      <c r="Q120" s="199"/>
      <c r="R120" s="567">
        <v>0</v>
      </c>
      <c r="S120" s="567">
        <v>0</v>
      </c>
      <c r="T120" s="565">
        <f>prijs_H2</f>
        <v>10</v>
      </c>
      <c r="U120" s="589">
        <f>$C$489</f>
        <v>4.2999999999999997E-2</v>
      </c>
      <c r="V120" s="589">
        <f>$C$571</f>
        <v>5.3999999999999999E-2</v>
      </c>
      <c r="W120" s="570">
        <f>Rest_perc_ZE</f>
        <v>0.3</v>
      </c>
      <c r="X120" s="571">
        <f>(_verzekering_vast+_verzekering_variabel*K120)/12</f>
        <v>64.572500000000005</v>
      </c>
      <c r="Z120" s="562" t="s">
        <v>1450</v>
      </c>
      <c r="AA120" s="546">
        <f>_FCEV_pers!Z5</f>
        <v>665</v>
      </c>
      <c r="AB120" s="546">
        <v>0</v>
      </c>
      <c r="AC120" s="673">
        <f>AB120/(AA120+AB120)</f>
        <v>0</v>
      </c>
      <c r="AD120" s="674">
        <f>100%-AC120</f>
        <v>1</v>
      </c>
    </row>
    <row r="121" spans="1:30">
      <c r="A121" s="190"/>
      <c r="B121" s="621"/>
      <c r="C121" s="621"/>
      <c r="D121" s="619"/>
      <c r="E121" s="619"/>
      <c r="F121" s="620"/>
      <c r="G121" s="620"/>
      <c r="H121" s="622"/>
      <c r="I121" s="622"/>
      <c r="J121" s="621"/>
      <c r="K121" s="623"/>
      <c r="L121" s="623"/>
      <c r="M121" s="623"/>
      <c r="N121" s="623"/>
      <c r="O121" s="624"/>
      <c r="P121" s="621"/>
      <c r="Q121" s="621"/>
      <c r="R121" s="623"/>
      <c r="S121" s="623"/>
      <c r="T121" s="622"/>
      <c r="U121" s="625"/>
      <c r="V121" s="625"/>
      <c r="W121" s="626"/>
      <c r="X121" s="627"/>
      <c r="Z121" s="562"/>
      <c r="AA121" s="546"/>
      <c r="AB121" s="546"/>
      <c r="AC121" s="546"/>
      <c r="AD121" s="672"/>
    </row>
    <row r="122" spans="1:30">
      <c r="A122" s="169" t="s">
        <v>741</v>
      </c>
      <c r="B122" s="677" t="s">
        <v>158</v>
      </c>
      <c r="C122" s="677"/>
      <c r="D122" s="678"/>
      <c r="E122" s="678"/>
      <c r="F122" s="679"/>
      <c r="G122" s="679"/>
      <c r="H122" s="680"/>
      <c r="I122" s="680"/>
      <c r="J122" s="677"/>
      <c r="K122" s="681"/>
      <c r="L122" s="681"/>
      <c r="M122" s="681"/>
      <c r="N122" s="681"/>
      <c r="O122" s="682"/>
      <c r="P122" s="677"/>
      <c r="Q122" s="677"/>
      <c r="R122" s="681"/>
      <c r="S122" s="681"/>
      <c r="T122" s="677"/>
      <c r="U122" s="683"/>
      <c r="V122" s="683"/>
      <c r="W122" s="684"/>
      <c r="X122" s="685"/>
      <c r="Z122" s="562"/>
      <c r="AA122" s="546"/>
      <c r="AB122" s="546"/>
      <c r="AC122" s="546"/>
      <c r="AD122" s="672"/>
    </row>
    <row r="123" spans="1:30">
      <c r="A123" s="169" t="s">
        <v>850</v>
      </c>
      <c r="B123" s="677" t="s">
        <v>158</v>
      </c>
      <c r="C123" s="677"/>
      <c r="D123" s="678"/>
      <c r="E123" s="678"/>
      <c r="F123" s="679"/>
      <c r="G123" s="679"/>
      <c r="H123" s="680"/>
      <c r="I123" s="680"/>
      <c r="J123" s="677"/>
      <c r="K123" s="681"/>
      <c r="L123" s="681"/>
      <c r="M123" s="681"/>
      <c r="N123" s="681"/>
      <c r="O123" s="682"/>
      <c r="P123" s="677"/>
      <c r="Q123" s="677"/>
      <c r="R123" s="681"/>
      <c r="S123" s="681"/>
      <c r="T123" s="677"/>
      <c r="U123" s="683"/>
      <c r="V123" s="683"/>
      <c r="W123" s="684"/>
      <c r="X123" s="685"/>
      <c r="Z123" s="562"/>
      <c r="AA123" s="546"/>
      <c r="AB123" s="546"/>
      <c r="AC123" s="546"/>
      <c r="AD123" s="672"/>
    </row>
    <row r="124" spans="1:30">
      <c r="A124" s="169" t="s">
        <v>1513</v>
      </c>
      <c r="B124" s="199"/>
      <c r="C124" s="563">
        <f>(F124*I124*10*_verh_H2_accu_taxi_groot)+(G124*H96*10*AC124)</f>
        <v>155.36706394355824</v>
      </c>
      <c r="D124" s="563">
        <f>(F124*I124*10*AD124)+(G124*H96*10*AC124)</f>
        <v>155.36706394355824</v>
      </c>
      <c r="E124" s="563">
        <f>(F124*H124*10*AD124)+(G124*H96*10*AC124)</f>
        <v>155.36706394355824</v>
      </c>
      <c r="F124" s="564">
        <f>_FCEV_minibus!AD5</f>
        <v>1.3043478260869565</v>
      </c>
      <c r="G124" s="564">
        <f>gem_verbr_BEV_taxi_groot</f>
        <v>36.80835493985866</v>
      </c>
      <c r="H124" s="565">
        <f>Efac_H2_WTW_grijs</f>
        <v>12</v>
      </c>
      <c r="I124" s="565">
        <f>Efac_H2_WTW_grijs</f>
        <v>12</v>
      </c>
      <c r="J124" s="199"/>
      <c r="K124" s="566">
        <f>_FCEV_minibus!AQ4</f>
        <v>124000</v>
      </c>
      <c r="L124" s="567">
        <v>0</v>
      </c>
      <c r="M124" s="567">
        <f>$B$227*K124</f>
        <v>26040</v>
      </c>
      <c r="N124" s="567">
        <f>SUM(K124:M124)</f>
        <v>150040</v>
      </c>
      <c r="O124" s="568">
        <f>IF(K124&lt;=_MIA_max_bestel_H2,K124*_MIA_perc_bestel_taxi_H2*_venootbelasting_perc,_MIA_max_bestel_H2*_MIA_perc_bestel_taxi_H2*_venootbelasting_perc)</f>
        <v>11160</v>
      </c>
      <c r="P124" s="199"/>
      <c r="Q124" s="199"/>
      <c r="R124" s="567">
        <v>0</v>
      </c>
      <c r="S124" s="567">
        <v>0</v>
      </c>
      <c r="T124" s="565">
        <f>prijs_H2</f>
        <v>10</v>
      </c>
      <c r="U124" s="573">
        <f>$E$489</f>
        <v>4.7580645161290312E-2</v>
      </c>
      <c r="V124" s="573">
        <f>$E$571</f>
        <v>6.5000000000000002E-2</v>
      </c>
      <c r="W124" s="570">
        <f>Rest_perc_ZE</f>
        <v>0.3</v>
      </c>
      <c r="X124" s="571">
        <f>(_verzekering_vast+_verzekering_variabel*K124)/12</f>
        <v>120</v>
      </c>
      <c r="Z124" s="562" t="s">
        <v>1524</v>
      </c>
      <c r="AA124" s="686">
        <f>_FCEV_minibus!$AA$4</f>
        <v>290</v>
      </c>
      <c r="AB124" s="546">
        <v>100</v>
      </c>
      <c r="AC124" s="673">
        <f>AB124/(AA124+AB124)</f>
        <v>0.25641025641025639</v>
      </c>
      <c r="AD124" s="674">
        <f>100%-AC124</f>
        <v>0.74358974358974361</v>
      </c>
    </row>
    <row r="125" spans="1:30">
      <c r="A125" s="169" t="s">
        <v>1514</v>
      </c>
      <c r="B125" s="199"/>
      <c r="C125" s="563">
        <f>(F125*I125*10*_verh_H2_accu_taxi_rolstoelbus)+(G125*H97*10*AC125)</f>
        <v>164.13771203155815</v>
      </c>
      <c r="D125" s="563">
        <f>(F125*I125*10*AD125)+(G125*H97*10*AC125)</f>
        <v>164.13771203155815</v>
      </c>
      <c r="E125" s="563">
        <f>(F125*H125*10*AD125)+(G125*H97*10*AC125)</f>
        <v>164.13771203155815</v>
      </c>
      <c r="F125" s="564">
        <f>_FCEV_minibus!AD4</f>
        <v>1.4</v>
      </c>
      <c r="G125" s="564">
        <f>gem_verbr_BEV_rolstoel</f>
        <v>37.030769230769231</v>
      </c>
      <c r="H125" s="565">
        <f>Efac_H2_WTW_grijs</f>
        <v>12</v>
      </c>
      <c r="I125" s="565">
        <f>Efac_H2_WTW_grijs</f>
        <v>12</v>
      </c>
      <c r="J125" s="199"/>
      <c r="K125" s="566">
        <f>_FCEV_minibus!AQ5</f>
        <v>110000</v>
      </c>
      <c r="L125" s="567">
        <v>0</v>
      </c>
      <c r="M125" s="567">
        <f>$B$227*K125</f>
        <v>23100</v>
      </c>
      <c r="N125" s="567">
        <f>SUM(K125:M125)</f>
        <v>133100</v>
      </c>
      <c r="O125" s="568">
        <f>IF(K125&lt;=_MIA_max_bestel_H2,K125*_MIA_perc_bestel_taxi_H2*_venootbelasting_perc,_MIA_max_bestel_H2*_MIA_perc_bestel_taxi_H2*_venootbelasting_perc)</f>
        <v>9900</v>
      </c>
      <c r="P125" s="199"/>
      <c r="Q125" s="199"/>
      <c r="R125" s="567">
        <v>0</v>
      </c>
      <c r="S125" s="567">
        <v>0</v>
      </c>
      <c r="T125" s="565">
        <f>prijs_H2</f>
        <v>10</v>
      </c>
      <c r="U125" s="573">
        <f>$E$489</f>
        <v>4.7580645161290312E-2</v>
      </c>
      <c r="V125" s="573">
        <f>$E$571</f>
        <v>6.5000000000000002E-2</v>
      </c>
      <c r="W125" s="570">
        <f>Rest_perc_ZE</f>
        <v>0.3</v>
      </c>
      <c r="X125" s="571">
        <f>(_verzekering_vast+_verzekering_variabel*K125)/12</f>
        <v>108.33333333333333</v>
      </c>
      <c r="Z125" s="562" t="s">
        <v>1524</v>
      </c>
      <c r="AA125" s="686">
        <f>_FCEV_minibus!$AA$4</f>
        <v>290</v>
      </c>
      <c r="AB125" s="546">
        <v>100</v>
      </c>
      <c r="AC125" s="673">
        <f>AB125/(AA125+AB125)</f>
        <v>0.25641025641025639</v>
      </c>
      <c r="AD125" s="674">
        <f>100%-AC125</f>
        <v>0.74358974358974361</v>
      </c>
    </row>
    <row r="126" spans="1:30">
      <c r="A126" s="190"/>
      <c r="B126" s="621"/>
      <c r="C126" s="621"/>
      <c r="D126" s="619"/>
      <c r="E126" s="619"/>
      <c r="F126" s="620"/>
      <c r="G126" s="620"/>
      <c r="H126" s="622"/>
      <c r="I126" s="622"/>
      <c r="J126" s="621"/>
      <c r="K126" s="623"/>
      <c r="L126" s="623"/>
      <c r="M126" s="623"/>
      <c r="N126" s="623"/>
      <c r="O126" s="624"/>
      <c r="P126" s="621"/>
      <c r="Q126" s="621"/>
      <c r="R126" s="623"/>
      <c r="S126" s="623"/>
      <c r="T126" s="622"/>
      <c r="U126" s="625"/>
      <c r="V126" s="625"/>
      <c r="W126" s="626"/>
      <c r="X126" s="627"/>
      <c r="Z126" s="562"/>
      <c r="AA126" s="546"/>
      <c r="AB126" s="546"/>
      <c r="AC126" s="546"/>
      <c r="AD126" s="672"/>
    </row>
    <row r="127" spans="1:30">
      <c r="A127" s="169" t="s">
        <v>1515</v>
      </c>
      <c r="B127" s="546"/>
      <c r="C127" s="563">
        <f>(F127*I127*10*AD127)+(G127*H99*10*AC127)</f>
        <v>90.700635930047696</v>
      </c>
      <c r="D127" s="563">
        <f>(F127*I127*10*AD127)+(G127*H99*10*AC127)</f>
        <v>90.700635930047696</v>
      </c>
      <c r="E127" s="563">
        <f>(F127*H127*10*AD127)+(G127*H99*10*AC127)</f>
        <v>90.700635930047696</v>
      </c>
      <c r="F127" s="199">
        <f>'_FCEV_LCV''s '!AQ4</f>
        <v>0.90000000000000013</v>
      </c>
      <c r="G127" s="564">
        <f>'_FCEV_LCV''s '!AP4</f>
        <v>19.411764705882355</v>
      </c>
      <c r="H127" s="565">
        <f>Efac_H2_WTW_grijs</f>
        <v>12</v>
      </c>
      <c r="I127" s="565">
        <f>Efac_H2_WTW_grijs</f>
        <v>12</v>
      </c>
      <c r="J127" s="199"/>
      <c r="K127" s="566">
        <f>'_FCEV_LCV''s '!BF4</f>
        <v>48300</v>
      </c>
      <c r="L127" s="567">
        <v>0</v>
      </c>
      <c r="M127" s="567">
        <f>$B$227*K127</f>
        <v>10143</v>
      </c>
      <c r="N127" s="567">
        <f>SUM(K127:M127)</f>
        <v>58443</v>
      </c>
      <c r="O127" s="568">
        <f>IF(K127&lt;=_MIA_max_bestel_H2,K127*_MIA_perc_bestel_taxi_H2*_venootbelasting_perc,_MIA_max_bestel_H2*_MIA_perc_bestel_taxi_H2*_venootbelasting_perc)</f>
        <v>4347</v>
      </c>
      <c r="P127" s="199"/>
      <c r="Q127" s="199"/>
      <c r="R127" s="567">
        <v>0</v>
      </c>
      <c r="S127" s="567">
        <v>0</v>
      </c>
      <c r="T127" s="565">
        <f>prijs_H2</f>
        <v>10</v>
      </c>
      <c r="U127" s="589">
        <f>$D$489</f>
        <v>2.7E-2</v>
      </c>
      <c r="V127" s="589">
        <f>$D$571</f>
        <v>4.2999999999999997E-2</v>
      </c>
      <c r="W127" s="570">
        <f>Rest_perc_ZE</f>
        <v>0.3</v>
      </c>
      <c r="X127" s="571">
        <f>(_verzekering_vast+_verzekering_variabel*K127)/12</f>
        <v>56.916666666666664</v>
      </c>
      <c r="Z127" s="562" t="s">
        <v>1525</v>
      </c>
      <c r="AA127" s="546">
        <f>'_FCEV_LCV''s '!$AJ$4-AB127</f>
        <v>140</v>
      </c>
      <c r="AB127" s="617">
        <f>_BEV_LCV!$AH$21</f>
        <v>230</v>
      </c>
      <c r="AC127" s="673">
        <f>AB127/(AA127+AB127)</f>
        <v>0.6216216216216216</v>
      </c>
      <c r="AD127" s="674">
        <f>100%-AC127</f>
        <v>0.3783783783783784</v>
      </c>
    </row>
    <row r="128" spans="1:30">
      <c r="A128" s="169" t="s">
        <v>161</v>
      </c>
      <c r="B128" s="677" t="s">
        <v>158</v>
      </c>
      <c r="C128" s="677"/>
      <c r="D128" s="678"/>
      <c r="E128" s="678"/>
      <c r="F128" s="679"/>
      <c r="G128" s="679"/>
      <c r="H128" s="680"/>
      <c r="I128" s="680"/>
      <c r="J128" s="677"/>
      <c r="K128" s="681"/>
      <c r="L128" s="681"/>
      <c r="M128" s="681"/>
      <c r="N128" s="681"/>
      <c r="O128" s="682"/>
      <c r="P128" s="677"/>
      <c r="Q128" s="677"/>
      <c r="R128" s="681"/>
      <c r="S128" s="681"/>
      <c r="T128" s="677"/>
      <c r="U128" s="683"/>
      <c r="V128" s="683"/>
      <c r="W128" s="684"/>
      <c r="X128" s="685"/>
      <c r="Z128" s="562"/>
      <c r="AA128" s="546"/>
      <c r="AB128" s="617"/>
      <c r="AC128" s="673"/>
      <c r="AD128" s="674"/>
    </row>
    <row r="129" spans="1:30" ht="17" thickBot="1">
      <c r="A129" s="170" t="s">
        <v>1516</v>
      </c>
      <c r="B129" s="593"/>
      <c r="C129" s="591">
        <f>(F129*I129*10*AD129)+(G129*H101*10*AC129)</f>
        <v>146.9780193236715</v>
      </c>
      <c r="D129" s="591">
        <f>(F129*I129*10*AD129)+(G129*H101*10*AC129)</f>
        <v>146.9780193236715</v>
      </c>
      <c r="E129" s="591">
        <f>(F129*H129*10*AD129)+(G129*H101*10*AC129)</f>
        <v>146.9780193236715</v>
      </c>
      <c r="F129" s="592">
        <f>'_FCEV_LCV''s '!AQ5</f>
        <v>1.3043478260869565</v>
      </c>
      <c r="G129" s="592">
        <f>'_FCEV_LCV''s '!AP5</f>
        <v>27.500000000000004</v>
      </c>
      <c r="H129" s="594">
        <f>Efac_H2_WTW_grijs</f>
        <v>12</v>
      </c>
      <c r="I129" s="594">
        <f>Efac_H2_WTW_grijs</f>
        <v>12</v>
      </c>
      <c r="J129" s="593"/>
      <c r="K129" s="595">
        <f>'_FCEV_LCV''s '!BF6</f>
        <v>100000</v>
      </c>
      <c r="L129" s="596">
        <v>0</v>
      </c>
      <c r="M129" s="596">
        <f>$B$227*K129</f>
        <v>21000</v>
      </c>
      <c r="N129" s="596">
        <f>SUM(K129:M129)</f>
        <v>121000</v>
      </c>
      <c r="O129" s="568">
        <f>IF(K129&lt;=_MIA_max_bestel_H2,K129*_MIA_perc_bestel_taxi_H2*_venootbelasting_perc,_MIA_max_bestel_H2*_MIA_perc_bestel_taxi_H2*_venootbelasting_perc)</f>
        <v>9000</v>
      </c>
      <c r="P129" s="593"/>
      <c r="Q129" s="593"/>
      <c r="R129" s="596">
        <v>0</v>
      </c>
      <c r="S129" s="596">
        <v>0</v>
      </c>
      <c r="T129" s="594">
        <f>prijs_H2</f>
        <v>10</v>
      </c>
      <c r="U129" s="599">
        <f>$E$489</f>
        <v>4.7580645161290312E-2</v>
      </c>
      <c r="V129" s="599">
        <f>$E$571</f>
        <v>6.5000000000000002E-2</v>
      </c>
      <c r="W129" s="600">
        <f>Rest_perc_ZE</f>
        <v>0.3</v>
      </c>
      <c r="X129" s="607">
        <f>(_verzekering_vast+_verzekering_variabel*K129)/12</f>
        <v>100</v>
      </c>
      <c r="Z129" s="590" t="s">
        <v>1524</v>
      </c>
      <c r="AA129" s="687">
        <f>'_FCEV_LCV''s '!$AJ$5</f>
        <v>350</v>
      </c>
      <c r="AB129" s="688">
        <f>_BEV_LCV!$AH$23</f>
        <v>100</v>
      </c>
      <c r="AC129" s="689">
        <f>AB129/(AA129+AB129)</f>
        <v>0.22222222222222221</v>
      </c>
      <c r="AD129" s="690">
        <f>100%-AC129</f>
        <v>0.77777777777777779</v>
      </c>
    </row>
    <row r="130" spans="1:30">
      <c r="A130" s="190"/>
      <c r="B130" s="621"/>
      <c r="C130" s="621"/>
      <c r="D130" s="619"/>
      <c r="E130" s="619"/>
      <c r="F130" s="620"/>
      <c r="G130" s="620"/>
      <c r="H130" s="622"/>
      <c r="I130" s="622"/>
      <c r="J130" s="621"/>
      <c r="K130" s="623"/>
      <c r="L130" s="623"/>
      <c r="M130" s="623"/>
      <c r="N130" s="623"/>
      <c r="O130" s="624"/>
      <c r="P130" s="621"/>
      <c r="Q130" s="621"/>
      <c r="R130" s="623"/>
      <c r="S130" s="623"/>
      <c r="T130" s="622"/>
      <c r="U130" s="625"/>
      <c r="V130" s="625"/>
      <c r="W130" s="626"/>
      <c r="X130" s="664"/>
      <c r="Z130" s="562"/>
      <c r="AA130" s="546"/>
      <c r="AB130" s="546"/>
      <c r="AC130" s="546"/>
      <c r="AD130" s="672"/>
    </row>
    <row r="131" spans="1:30">
      <c r="A131" s="169" t="s">
        <v>2044</v>
      </c>
      <c r="B131" s="199"/>
      <c r="C131" s="563">
        <f>(F131*I131*10*AD131)+(G131*H103*10*AC131)</f>
        <v>170.28666666666666</v>
      </c>
      <c r="D131" s="563">
        <f>(F131*I131*10*AD131)+(G131*H103*10*AC131)</f>
        <v>170.28666666666666</v>
      </c>
      <c r="E131" s="563">
        <f>(F131*H131*10*AD131)+(G131*H103*10*AC131)</f>
        <v>170.28666666666666</v>
      </c>
      <c r="F131" s="610">
        <f>_FCEV_specials!AD12</f>
        <v>1.5</v>
      </c>
      <c r="G131" s="610">
        <f>gem_verbr_BEV_veegvuilwagen</f>
        <v>33</v>
      </c>
      <c r="H131" s="565">
        <f t="shared" ref="H131:I133" si="58">Efac_H2_WTW_grijs</f>
        <v>12</v>
      </c>
      <c r="I131" s="565">
        <f t="shared" si="58"/>
        <v>12</v>
      </c>
      <c r="J131" s="199"/>
      <c r="K131" s="566">
        <f>_FCEV_specials!AQ12</f>
        <v>94000</v>
      </c>
      <c r="L131" s="567">
        <f>_FCEV_specials!AO12</f>
        <v>0</v>
      </c>
      <c r="M131" s="567">
        <f>$B$227*K131</f>
        <v>19740</v>
      </c>
      <c r="N131" s="567">
        <f>SUM(K131:M131)</f>
        <v>113740</v>
      </c>
      <c r="O131" s="568">
        <f>IF(K131&lt;=_MIA_max_bestel_H2,K131*_MIA_perc_bestel_taxi_H2*_venootbelasting_perc,_MIA_max_bestel_H2*_MIA_perc_bestel_taxi_H2*_venootbelasting_perc)</f>
        <v>8460</v>
      </c>
      <c r="P131" s="199"/>
      <c r="Q131" s="199"/>
      <c r="R131" s="567">
        <v>0</v>
      </c>
      <c r="S131" s="567">
        <v>0</v>
      </c>
      <c r="T131" s="565">
        <f>prijs_H2</f>
        <v>10</v>
      </c>
      <c r="U131" s="602">
        <f>D498</f>
        <v>4.7746666666666659E-2</v>
      </c>
      <c r="V131" s="602">
        <f>Onderh_FCEV_veegvuilwagen*$H$476</f>
        <v>5.9205866666666655E-2</v>
      </c>
      <c r="W131" s="570">
        <f>Rest_perc_ZE</f>
        <v>0.3</v>
      </c>
      <c r="X131" s="632">
        <f>$B$609/12</f>
        <v>219.81183823529418</v>
      </c>
      <c r="Z131" s="562" t="s">
        <v>1524</v>
      </c>
      <c r="AA131" s="691">
        <f>AA129</f>
        <v>350</v>
      </c>
      <c r="AB131" s="617">
        <f>AB129</f>
        <v>100</v>
      </c>
      <c r="AC131" s="692">
        <f>AC129</f>
        <v>0.22222222222222221</v>
      </c>
      <c r="AD131" s="693">
        <f>100%-AC131</f>
        <v>0.77777777777777779</v>
      </c>
    </row>
    <row r="132" spans="1:30">
      <c r="A132" s="169" t="s">
        <v>1637</v>
      </c>
      <c r="B132" s="199"/>
      <c r="C132" s="563">
        <f t="shared" ref="C132:C133" si="59">(F132*I132*10*AD132)+(G132*H104*10*AC132)</f>
        <v>850.05327868852464</v>
      </c>
      <c r="D132" s="563">
        <f t="shared" ref="D132" si="60">(F132*I132*10*AD132)+(G132*H104*10*AC132)</f>
        <v>850.05327868852464</v>
      </c>
      <c r="E132" s="563">
        <f>(F132*H132*10*AD132)+(G132*H104*10*AC132)</f>
        <v>850.05327868852464</v>
      </c>
      <c r="F132" s="610">
        <f>_FCEV_specials!AD13</f>
        <v>9</v>
      </c>
      <c r="G132" s="610">
        <f>gem_verbr_BEV_vuilniswagen</f>
        <v>190</v>
      </c>
      <c r="H132" s="565">
        <f t="shared" si="58"/>
        <v>12</v>
      </c>
      <c r="I132" s="565">
        <f t="shared" si="58"/>
        <v>12</v>
      </c>
      <c r="J132" s="199"/>
      <c r="K132" s="566">
        <f>_FCEV_specials!AQ13</f>
        <v>450000</v>
      </c>
      <c r="L132" s="567">
        <f>_FCEV_specials!AO13</f>
        <v>0</v>
      </c>
      <c r="M132" s="567">
        <f>$B$227*K132</f>
        <v>94500</v>
      </c>
      <c r="N132" s="567">
        <f>SUM(K132:M132)</f>
        <v>544500</v>
      </c>
      <c r="O132" s="614">
        <f>K132*_MIA_perc_vrachtwagen*_venootbelasting_perc</f>
        <v>40500</v>
      </c>
      <c r="P132" s="199"/>
      <c r="Q132" s="199"/>
      <c r="R132" s="567">
        <v>0</v>
      </c>
      <c r="S132" s="567">
        <v>0</v>
      </c>
      <c r="T132" s="565">
        <f>prijs_H2</f>
        <v>10</v>
      </c>
      <c r="U132" s="602">
        <f>F506</f>
        <v>0.66461710526315787</v>
      </c>
      <c r="V132" s="602">
        <f>Onderh_FCEV_vuilniswagen*$H$476</f>
        <v>0.82412521052631571</v>
      </c>
      <c r="W132" s="570">
        <f>Rest_perc_ZE</f>
        <v>0.3</v>
      </c>
      <c r="X132" s="632">
        <f>$C$609/12</f>
        <v>916.66666666666663</v>
      </c>
      <c r="Z132" s="562" t="s">
        <v>4288</v>
      </c>
      <c r="AA132" s="691">
        <f>120/(gem_verbr_FCEV_vuilniswagen_Elek)*100</f>
        <v>63.157894736842103</v>
      </c>
      <c r="AB132" s="691">
        <f>20/gem_verbr_FCEV_vuilniswagen_H2*100</f>
        <v>222.22222222222223</v>
      </c>
      <c r="AC132" s="692">
        <f>AB132/(AA132+AB132)</f>
        <v>0.77868852459016402</v>
      </c>
      <c r="AD132" s="693">
        <f>100%-AC132</f>
        <v>0.22131147540983598</v>
      </c>
    </row>
    <row r="133" spans="1:30" ht="17" thickBot="1">
      <c r="A133" s="170" t="s">
        <v>4286</v>
      </c>
      <c r="B133" s="593"/>
      <c r="C133" s="591">
        <f t="shared" si="59"/>
        <v>227.99999999999997</v>
      </c>
      <c r="D133" s="591">
        <f t="shared" ref="D133" si="61">(F133*I133*10*AD133)+(G133*H105*10*AC133)</f>
        <v>227.99999999999997</v>
      </c>
      <c r="E133" s="591">
        <f>(F133*H133*10*AD133)+(G133*H105*10*AC133)</f>
        <v>227.99999999999997</v>
      </c>
      <c r="F133" s="694">
        <f>_FCEV_specials!AD14</f>
        <v>1.9</v>
      </c>
      <c r="G133" s="694">
        <f>gem_verbr_BEV_veegwagen</f>
        <v>26</v>
      </c>
      <c r="H133" s="594">
        <f t="shared" si="58"/>
        <v>12</v>
      </c>
      <c r="I133" s="594">
        <f t="shared" si="58"/>
        <v>12</v>
      </c>
      <c r="J133" s="593"/>
      <c r="K133" s="595">
        <f>_FCEV_specials!AQ14</f>
        <v>376995</v>
      </c>
      <c r="L133" s="596">
        <f>_FCEV_specials!AO14</f>
        <v>0</v>
      </c>
      <c r="M133" s="596">
        <f>$B$227*K133</f>
        <v>79168.95</v>
      </c>
      <c r="N133" s="596">
        <f>SUM(K133:M133)</f>
        <v>456163.95</v>
      </c>
      <c r="O133" s="643">
        <f>K133*_MIA_perc_veegmachine*_venootbelasting_perc</f>
        <v>33929.549999999996</v>
      </c>
      <c r="P133" s="593"/>
      <c r="Q133" s="593"/>
      <c r="R133" s="596">
        <v>0</v>
      </c>
      <c r="S133" s="596">
        <v>0</v>
      </c>
      <c r="T133" s="594">
        <f>prijs_H2</f>
        <v>10</v>
      </c>
      <c r="U133" s="695">
        <f>G513</f>
        <v>8.0389666865135592</v>
      </c>
      <c r="V133" s="695">
        <f>Onderh_FCEV_veegwagen*$H$476</f>
        <v>9.9683186912768136</v>
      </c>
      <c r="W133" s="600">
        <f>Rest_perc_ZE</f>
        <v>0.3</v>
      </c>
      <c r="X133" s="667">
        <f>$D$609/12</f>
        <v>333.33333333333331</v>
      </c>
      <c r="Z133" s="590" t="s">
        <v>4289</v>
      </c>
      <c r="AA133" s="696">
        <f>_FCEV_specials!AA14</f>
        <v>0</v>
      </c>
      <c r="AB133" s="688"/>
      <c r="AC133" s="697">
        <v>0</v>
      </c>
      <c r="AD133" s="698">
        <v>1</v>
      </c>
    </row>
    <row r="134" spans="1:30" ht="17" thickBot="1">
      <c r="AA134" s="541"/>
      <c r="AB134" s="541"/>
      <c r="AC134" s="541"/>
      <c r="AD134" s="541"/>
    </row>
    <row r="135" spans="1:30" ht="17" thickBot="1">
      <c r="Z135" s="699" t="s">
        <v>1929</v>
      </c>
      <c r="AA135" s="700"/>
      <c r="AB135" s="700"/>
      <c r="AC135" s="701">
        <f>AVERAGE(AC124:AC129)</f>
        <v>0.33916608916608915</v>
      </c>
      <c r="AD135" s="702">
        <f>AVERAGE(AD124:AD129)</f>
        <v>0.66083391083391085</v>
      </c>
    </row>
    <row r="136" spans="1:30">
      <c r="A136" s="171" t="s">
        <v>720</v>
      </c>
    </row>
    <row r="137" spans="1:30">
      <c r="A137" s="171" t="s">
        <v>186</v>
      </c>
    </row>
    <row r="138" spans="1:30">
      <c r="A138" s="171" t="s">
        <v>187</v>
      </c>
    </row>
    <row r="139" spans="1:30">
      <c r="A139" s="171" t="s">
        <v>1517</v>
      </c>
    </row>
    <row r="140" spans="1:30">
      <c r="O140" s="572"/>
    </row>
    <row r="141" spans="1:30">
      <c r="A141" s="171" t="s">
        <v>188</v>
      </c>
      <c r="B141" s="703" t="s">
        <v>189</v>
      </c>
      <c r="C141" s="703"/>
      <c r="Z141" s="652"/>
    </row>
    <row r="142" spans="1:30">
      <c r="A142" s="652"/>
      <c r="B142" s="652"/>
      <c r="C142" s="652"/>
      <c r="Z142" s="652"/>
    </row>
    <row r="143" spans="1:30">
      <c r="A143" s="652" t="s">
        <v>190</v>
      </c>
      <c r="H143" s="171" t="s">
        <v>1954</v>
      </c>
      <c r="Z143" s="652"/>
    </row>
    <row r="144" spans="1:30">
      <c r="A144" s="652"/>
      <c r="Z144" s="652"/>
    </row>
    <row r="145" spans="1:26" ht="35" customHeight="1">
      <c r="A145" s="652" t="s">
        <v>4295</v>
      </c>
      <c r="H145" s="704" t="s">
        <v>191</v>
      </c>
      <c r="I145" s="704" t="s">
        <v>192</v>
      </c>
      <c r="J145" s="704" t="s">
        <v>1953</v>
      </c>
      <c r="Z145" s="652"/>
    </row>
    <row r="146" spans="1:26" ht="17" customHeight="1">
      <c r="A146" s="652" t="s">
        <v>193</v>
      </c>
      <c r="B146" s="705" t="s">
        <v>1291</v>
      </c>
      <c r="C146" s="705"/>
      <c r="D146" s="171" t="s">
        <v>1292</v>
      </c>
      <c r="H146" s="706">
        <v>82500</v>
      </c>
      <c r="I146" s="706">
        <v>18000</v>
      </c>
      <c r="J146" s="707">
        <f>22300</f>
        <v>22300</v>
      </c>
      <c r="K146" s="171" t="s">
        <v>1955</v>
      </c>
      <c r="Z146" s="652"/>
    </row>
    <row r="147" spans="1:26" ht="17" customHeight="1">
      <c r="A147" s="171">
        <v>1</v>
      </c>
      <c r="B147" s="705">
        <v>0.8</v>
      </c>
      <c r="C147" s="705"/>
      <c r="E147" s="572">
        <f>H147/$H$146</f>
        <v>0.78787878787878785</v>
      </c>
      <c r="F147" s="572">
        <f>I147/$I$146</f>
        <v>0.88888888888888884</v>
      </c>
      <c r="G147" s="572"/>
      <c r="H147" s="706">
        <v>65000</v>
      </c>
      <c r="I147" s="706">
        <v>16000</v>
      </c>
      <c r="Z147" s="652"/>
    </row>
    <row r="148" spans="1:26" ht="17" customHeight="1">
      <c r="A148" s="171">
        <v>2</v>
      </c>
      <c r="B148" s="705">
        <f>0.8*A148^(-0.609)</f>
        <v>0.52452080568625881</v>
      </c>
      <c r="C148" s="705"/>
      <c r="E148" s="572">
        <f>H148/$H$146</f>
        <v>0.67878787878787883</v>
      </c>
      <c r="F148" s="572">
        <f>I148/$I$146</f>
        <v>0.83333333333333337</v>
      </c>
      <c r="G148" s="572"/>
      <c r="H148" s="706">
        <v>56000</v>
      </c>
      <c r="I148" s="706">
        <v>15000</v>
      </c>
      <c r="Z148" s="652"/>
    </row>
    <row r="149" spans="1:26" ht="17" customHeight="1">
      <c r="A149" s="171">
        <v>3</v>
      </c>
      <c r="B149" s="705">
        <f>0.8*A149^(-0.609)</f>
        <v>0.40975394437291829</v>
      </c>
      <c r="C149" s="705"/>
      <c r="E149" s="572">
        <f>H149/$H$146</f>
        <v>0.61818181818181817</v>
      </c>
      <c r="F149" s="572">
        <f>I149/$I$146</f>
        <v>0.5</v>
      </c>
      <c r="G149" s="572"/>
      <c r="H149" s="706">
        <v>51000</v>
      </c>
      <c r="I149" s="706">
        <v>9000</v>
      </c>
      <c r="Z149" s="652"/>
    </row>
    <row r="150" spans="1:26" ht="17" customHeight="1">
      <c r="A150" s="171">
        <v>4</v>
      </c>
      <c r="B150" s="705">
        <f>0.8*A150^(-0.609)</f>
        <v>0.34390259449720262</v>
      </c>
      <c r="C150" s="705"/>
      <c r="E150" s="572">
        <f>H150/$H$146</f>
        <v>0.59393939393939399</v>
      </c>
      <c r="F150" s="572">
        <f>I150/$I$146</f>
        <v>0.3888888888888889</v>
      </c>
      <c r="G150" s="572"/>
      <c r="H150" s="706">
        <v>49000</v>
      </c>
      <c r="I150" s="706">
        <v>7000</v>
      </c>
      <c r="K150" s="652"/>
      <c r="Z150" s="652"/>
    </row>
    <row r="151" spans="1:26" ht="17" customHeight="1">
      <c r="A151" s="171">
        <v>5</v>
      </c>
      <c r="B151" s="705">
        <v>0.3</v>
      </c>
      <c r="C151" s="705"/>
      <c r="E151" s="572">
        <f>H151/$H$146</f>
        <v>0.53333333333333333</v>
      </c>
      <c r="F151" s="572">
        <f>I151/$I$146</f>
        <v>0.33333333333333331</v>
      </c>
      <c r="G151" s="572"/>
      <c r="H151" s="706">
        <v>44000</v>
      </c>
      <c r="I151" s="706">
        <v>6000</v>
      </c>
      <c r="Z151" s="652"/>
    </row>
    <row r="152" spans="1:26" ht="17" customHeight="1">
      <c r="A152" s="171">
        <v>6</v>
      </c>
      <c r="B152" s="705">
        <f>0.8*A152^(-0.609)</f>
        <v>0.26865558629450698</v>
      </c>
      <c r="C152" s="705"/>
      <c r="Z152" s="652"/>
    </row>
    <row r="153" spans="1:26" ht="17" customHeight="1">
      <c r="A153" s="171">
        <v>7</v>
      </c>
      <c r="B153" s="705">
        <f>0.8*A153^(-0.609)</f>
        <v>0.24458244413244112</v>
      </c>
      <c r="C153" s="705"/>
      <c r="Z153" s="652"/>
    </row>
    <row r="154" spans="1:26" ht="17" customHeight="1">
      <c r="A154" s="171">
        <v>8</v>
      </c>
      <c r="B154" s="705">
        <f>0.8*A154^(-0.609)</f>
        <v>0.22548008242908435</v>
      </c>
      <c r="C154" s="705"/>
      <c r="Z154" s="652"/>
    </row>
    <row r="155" spans="1:26" ht="17" customHeight="1">
      <c r="A155" s="171">
        <v>9</v>
      </c>
      <c r="B155" s="705">
        <f>0.8*A155^(-0.609)</f>
        <v>0.20987286866145577</v>
      </c>
      <c r="C155" s="705"/>
      <c r="Z155" s="652"/>
    </row>
    <row r="156" spans="1:26" ht="17" customHeight="1">
      <c r="A156" s="171">
        <v>10</v>
      </c>
      <c r="B156" s="705">
        <f>0.8*A156^(-0.609)</f>
        <v>0.19682940833181017</v>
      </c>
      <c r="C156" s="705"/>
      <c r="Z156" s="652"/>
    </row>
    <row r="157" spans="1:26" ht="17" customHeight="1">
      <c r="B157" s="705"/>
      <c r="C157" s="705"/>
      <c r="D157" s="652" t="s">
        <v>4298</v>
      </c>
      <c r="Z157" s="652"/>
    </row>
    <row r="158" spans="1:26" ht="17" customHeight="1">
      <c r="A158" s="652" t="s">
        <v>4292</v>
      </c>
      <c r="B158" s="705" t="s">
        <v>4296</v>
      </c>
      <c r="C158" s="705"/>
      <c r="D158" s="171" t="s">
        <v>4301</v>
      </c>
      <c r="E158" s="171" t="s">
        <v>4302</v>
      </c>
      <c r="Z158" s="652"/>
    </row>
    <row r="159" spans="1:26" ht="17" customHeight="1">
      <c r="A159" s="171">
        <v>1</v>
      </c>
      <c r="B159" s="705">
        <f t="shared" ref="B159:B168" si="62">GROWTH($D$160:$E$160,$D$159:$E$159,A159,TRUE)</f>
        <v>0.74767439061061025</v>
      </c>
      <c r="C159" s="705"/>
      <c r="D159" s="171">
        <v>2</v>
      </c>
      <c r="E159" s="171">
        <v>6</v>
      </c>
      <c r="Z159" s="652"/>
    </row>
    <row r="160" spans="1:26" ht="17" customHeight="1">
      <c r="A160" s="171">
        <v>2</v>
      </c>
      <c r="B160" s="705">
        <f t="shared" si="62"/>
        <v>0.50000000000000011</v>
      </c>
      <c r="C160" s="705"/>
      <c r="D160" s="705">
        <v>0.5</v>
      </c>
      <c r="E160" s="705">
        <v>0.1</v>
      </c>
      <c r="Z160" s="652"/>
    </row>
    <row r="161" spans="1:26" ht="17" customHeight="1">
      <c r="A161" s="171">
        <v>3</v>
      </c>
      <c r="B161" s="705">
        <f t="shared" si="62"/>
        <v>0.33437015248821106</v>
      </c>
      <c r="C161" s="705"/>
      <c r="Z161" s="652"/>
    </row>
    <row r="162" spans="1:26" ht="17" customHeight="1">
      <c r="A162" s="171">
        <v>4</v>
      </c>
      <c r="B162" s="705">
        <f t="shared" si="62"/>
        <v>0.22360679774997899</v>
      </c>
      <c r="C162" s="705"/>
      <c r="Z162" s="652"/>
    </row>
    <row r="163" spans="1:26" ht="17" customHeight="1">
      <c r="A163" s="171">
        <v>5</v>
      </c>
      <c r="B163" s="705">
        <f t="shared" si="62"/>
        <v>0.14953487812212207</v>
      </c>
      <c r="C163" s="705"/>
      <c r="Z163" s="652"/>
    </row>
    <row r="164" spans="1:26" ht="17" customHeight="1">
      <c r="A164" s="171">
        <v>6</v>
      </c>
      <c r="B164" s="705">
        <f t="shared" si="62"/>
        <v>0.10000000000000003</v>
      </c>
      <c r="C164" s="705"/>
      <c r="Z164" s="652"/>
    </row>
    <row r="165" spans="1:26" ht="17" customHeight="1">
      <c r="A165" s="171">
        <v>7</v>
      </c>
      <c r="B165" s="705">
        <f t="shared" si="62"/>
        <v>6.6874030497642206E-2</v>
      </c>
      <c r="C165" s="705"/>
      <c r="Z165" s="652"/>
    </row>
    <row r="166" spans="1:26" ht="17" customHeight="1">
      <c r="A166" s="171">
        <v>8</v>
      </c>
      <c r="B166" s="705">
        <f t="shared" si="62"/>
        <v>4.4721359549995808E-2</v>
      </c>
      <c r="C166" s="705"/>
      <c r="Z166" s="652"/>
    </row>
    <row r="167" spans="1:26" ht="17" customHeight="1">
      <c r="A167" s="171">
        <v>9</v>
      </c>
      <c r="B167" s="705">
        <f t="shared" si="62"/>
        <v>2.9906975624424424E-2</v>
      </c>
      <c r="C167" s="705"/>
      <c r="Z167" s="652"/>
    </row>
    <row r="168" spans="1:26" ht="17" customHeight="1">
      <c r="A168" s="171">
        <v>10</v>
      </c>
      <c r="B168" s="705">
        <f t="shared" si="62"/>
        <v>2.0000000000000004E-2</v>
      </c>
      <c r="C168" s="705"/>
      <c r="Z168" s="652"/>
    </row>
    <row r="169" spans="1:26" ht="17" customHeight="1">
      <c r="B169" s="705"/>
      <c r="C169" s="705"/>
      <c r="Z169" s="652"/>
    </row>
    <row r="170" spans="1:26" ht="17" customHeight="1">
      <c r="A170" s="652" t="s">
        <v>4222</v>
      </c>
      <c r="B170" s="705" t="s">
        <v>4296</v>
      </c>
      <c r="C170" s="705"/>
      <c r="D170" s="652" t="s">
        <v>4298</v>
      </c>
      <c r="Z170" s="652"/>
    </row>
    <row r="171" spans="1:26" ht="17" customHeight="1">
      <c r="A171" s="171">
        <v>1</v>
      </c>
      <c r="B171" s="705">
        <f>GROWTH($D$173:$E$173,$D$172:$E$172,A171,TRUE)</f>
        <v>0.8772053214638601</v>
      </c>
      <c r="C171" s="705"/>
      <c r="D171" s="171" t="s">
        <v>4301</v>
      </c>
      <c r="E171" s="171" t="s">
        <v>4302</v>
      </c>
      <c r="Z171" s="652"/>
    </row>
    <row r="172" spans="1:26" ht="17" customHeight="1">
      <c r="A172" s="171">
        <v>2</v>
      </c>
      <c r="B172" s="705">
        <f t="shared" ref="B172:B180" si="63">GROWTH($D$173:$E$173,$D$172:$E$172,A172,TRUE)</f>
        <v>0.51299278400300929</v>
      </c>
      <c r="C172" s="705"/>
      <c r="D172" s="171">
        <v>3</v>
      </c>
      <c r="E172" s="171">
        <v>6</v>
      </c>
      <c r="Z172" s="652"/>
    </row>
    <row r="173" spans="1:26" ht="17" customHeight="1">
      <c r="A173" s="171">
        <v>3</v>
      </c>
      <c r="B173" s="705">
        <f t="shared" si="63"/>
        <v>0.30000000000000004</v>
      </c>
      <c r="C173" s="705"/>
      <c r="D173" s="705">
        <v>0.3</v>
      </c>
      <c r="E173" s="705">
        <v>0.06</v>
      </c>
      <c r="Z173" s="652"/>
    </row>
    <row r="174" spans="1:26" ht="17" customHeight="1">
      <c r="A174" s="171">
        <v>4</v>
      </c>
      <c r="B174" s="705">
        <f t="shared" si="63"/>
        <v>0.17544106429277201</v>
      </c>
      <c r="C174" s="705"/>
      <c r="Z174" s="652"/>
    </row>
    <row r="175" spans="1:26" ht="17" customHeight="1">
      <c r="A175" s="171">
        <v>5</v>
      </c>
      <c r="B175" s="705">
        <f t="shared" si="63"/>
        <v>0.10259855680060186</v>
      </c>
      <c r="C175" s="705"/>
      <c r="Z175" s="652"/>
    </row>
    <row r="176" spans="1:26" ht="17" customHeight="1">
      <c r="A176" s="171">
        <v>6</v>
      </c>
      <c r="B176" s="705">
        <f t="shared" si="63"/>
        <v>0.06</v>
      </c>
      <c r="C176" s="705"/>
      <c r="Z176" s="652"/>
    </row>
    <row r="177" spans="1:26" ht="17" customHeight="1">
      <c r="A177" s="171">
        <v>7</v>
      </c>
      <c r="B177" s="705">
        <f t="shared" si="63"/>
        <v>3.5088212858554395E-2</v>
      </c>
      <c r="C177" s="705"/>
      <c r="Z177" s="652"/>
    </row>
    <row r="178" spans="1:26" ht="17" customHeight="1">
      <c r="A178" s="171">
        <v>8</v>
      </c>
      <c r="B178" s="705">
        <f t="shared" si="63"/>
        <v>2.0519711360120371E-2</v>
      </c>
      <c r="C178" s="705"/>
      <c r="Z178" s="652"/>
    </row>
    <row r="179" spans="1:26" ht="17" customHeight="1">
      <c r="A179" s="171">
        <v>9</v>
      </c>
      <c r="B179" s="705">
        <f t="shared" si="63"/>
        <v>1.1999999999999999E-2</v>
      </c>
      <c r="C179" s="705"/>
      <c r="Z179" s="652"/>
    </row>
    <row r="180" spans="1:26" ht="17" customHeight="1">
      <c r="A180" s="171">
        <v>10</v>
      </c>
      <c r="B180" s="705">
        <f t="shared" si="63"/>
        <v>7.017642571710881E-3</v>
      </c>
      <c r="C180" s="705"/>
      <c r="Z180" s="652"/>
    </row>
    <row r="181" spans="1:26" ht="17" customHeight="1">
      <c r="B181" s="705"/>
      <c r="C181" s="705"/>
      <c r="Z181" s="652"/>
    </row>
    <row r="182" spans="1:26" ht="17" customHeight="1">
      <c r="A182" s="652" t="s">
        <v>194</v>
      </c>
      <c r="B182" s="705"/>
      <c r="C182" s="705"/>
      <c r="Z182" s="652"/>
    </row>
    <row r="183" spans="1:26" ht="35" customHeight="1">
      <c r="A183" s="704" t="s">
        <v>195</v>
      </c>
      <c r="B183" s="705"/>
      <c r="C183" s="705"/>
      <c r="Z183" s="652"/>
    </row>
    <row r="184" spans="1:26" ht="17" customHeight="1">
      <c r="A184" s="171" t="s">
        <v>775</v>
      </c>
      <c r="B184" s="705"/>
      <c r="C184" s="705"/>
      <c r="Z184" s="652"/>
    </row>
    <row r="185" spans="1:26" ht="17" customHeight="1">
      <c r="B185" s="705"/>
      <c r="C185" s="705"/>
      <c r="Z185" s="652"/>
    </row>
    <row r="186" spans="1:26" ht="17" customHeight="1">
      <c r="A186" s="652" t="s">
        <v>45</v>
      </c>
      <c r="Z186" s="652"/>
    </row>
    <row r="187" spans="1:26" ht="17" customHeight="1">
      <c r="A187" s="171" t="s">
        <v>46</v>
      </c>
      <c r="B187" s="703" t="s">
        <v>47</v>
      </c>
      <c r="C187" s="703"/>
      <c r="Z187" s="652"/>
    </row>
    <row r="188" spans="1:26" ht="17" customHeight="1">
      <c r="A188" s="171" t="s">
        <v>4297</v>
      </c>
      <c r="B188" s="703"/>
      <c r="C188" s="703"/>
      <c r="Z188" s="652"/>
    </row>
    <row r="189" spans="1:26" ht="17" customHeight="1">
      <c r="B189" s="703"/>
      <c r="C189" s="703"/>
      <c r="Z189" s="652"/>
    </row>
    <row r="190" spans="1:26" ht="17" customHeight="1">
      <c r="A190" s="652" t="s">
        <v>196</v>
      </c>
      <c r="Z190" s="652"/>
    </row>
    <row r="191" spans="1:26">
      <c r="A191" s="652"/>
      <c r="Z191" s="652"/>
    </row>
    <row r="192" spans="1:26" ht="34">
      <c r="A192" s="652" t="s">
        <v>48</v>
      </c>
      <c r="B192" s="652" t="s">
        <v>49</v>
      </c>
      <c r="C192" s="652"/>
      <c r="D192" s="708" t="s">
        <v>197</v>
      </c>
      <c r="E192" s="708" t="s">
        <v>198</v>
      </c>
      <c r="Z192" s="652"/>
    </row>
    <row r="193" spans="1:26">
      <c r="A193" s="171" t="s">
        <v>50</v>
      </c>
      <c r="B193" s="709">
        <v>2.74</v>
      </c>
      <c r="C193" s="709"/>
      <c r="D193" s="709">
        <v>2.2690000000000001</v>
      </c>
      <c r="E193" s="171">
        <v>0.47099999999999997</v>
      </c>
      <c r="F193" s="171" t="s">
        <v>199</v>
      </c>
      <c r="Z193" s="652"/>
    </row>
    <row r="194" spans="1:26">
      <c r="A194" s="171" t="s">
        <v>51</v>
      </c>
      <c r="B194" s="710">
        <v>3.23</v>
      </c>
      <c r="C194" s="710"/>
      <c r="D194" s="171">
        <v>2.6059999999999999</v>
      </c>
      <c r="E194" s="171">
        <v>0.624</v>
      </c>
      <c r="F194" s="171" t="s">
        <v>199</v>
      </c>
      <c r="Z194" s="652"/>
    </row>
    <row r="195" spans="1:26">
      <c r="A195" s="171" t="s">
        <v>200</v>
      </c>
      <c r="B195" s="171">
        <v>0.41299999999999998</v>
      </c>
      <c r="D195" s="171">
        <v>0.36099999999999999</v>
      </c>
      <c r="E195" s="171">
        <v>5.2999999999999999E-2</v>
      </c>
      <c r="F195" s="171" t="s">
        <v>201</v>
      </c>
    </row>
    <row r="196" spans="1:26">
      <c r="A196" s="171" t="s">
        <v>53</v>
      </c>
      <c r="B196" s="171">
        <v>0.64900000000000002</v>
      </c>
      <c r="D196" s="171">
        <v>0.57199999999999995</v>
      </c>
      <c r="E196" s="171">
        <v>7.6999999999999999E-2</v>
      </c>
      <c r="F196" s="171" t="s">
        <v>201</v>
      </c>
    </row>
    <row r="197" spans="1:26">
      <c r="A197" s="171" t="s">
        <v>54</v>
      </c>
      <c r="B197" s="710">
        <v>0</v>
      </c>
      <c r="C197" s="710"/>
      <c r="D197" s="710">
        <v>0</v>
      </c>
      <c r="E197" s="710">
        <v>0</v>
      </c>
      <c r="F197" s="171" t="s">
        <v>201</v>
      </c>
    </row>
    <row r="198" spans="1:26">
      <c r="A198" s="171" t="s">
        <v>55</v>
      </c>
      <c r="B198" s="710">
        <f>IF('2. Invoer parameters'!$C$6="Energie mix",Efac_elek_mix_WTW,IF('2. Invoer parameters'!$C$6="Grijze stroom",Efac_elek_grijs_WTW,IF('2. Invoer parameters'!$C$6="groene stroom",Efac_elek_groen_WTW,"ERROR")))</f>
        <v>0.41299999999999998</v>
      </c>
      <c r="C198" s="710"/>
      <c r="D198" s="710">
        <f>IF('2. Invoer parameters'!$C$6="Energie mix",Efac_elek_mix_TTW,IF('2. Invoer parameters'!$C$6="Grijze stroom",Efac_elek_grijs_TTW,IF('2. Invoer parameters'!$C$6="groene stroom",Efac_elek_groen_TTW,"ERROR")))</f>
        <v>0.36099999999999999</v>
      </c>
      <c r="E198" s="710">
        <v>0</v>
      </c>
      <c r="F198" s="171" t="s">
        <v>201</v>
      </c>
    </row>
    <row r="199" spans="1:26">
      <c r="A199" s="171" t="s">
        <v>1490</v>
      </c>
      <c r="B199" s="616">
        <v>12</v>
      </c>
      <c r="C199" s="710"/>
      <c r="D199" s="710">
        <v>0</v>
      </c>
      <c r="E199" s="710">
        <v>12</v>
      </c>
      <c r="F199" s="171" t="s">
        <v>1492</v>
      </c>
    </row>
    <row r="200" spans="1:26">
      <c r="A200" s="171" t="s">
        <v>1491</v>
      </c>
      <c r="B200" s="710">
        <v>0.84</v>
      </c>
      <c r="C200" s="710"/>
      <c r="D200" s="710">
        <v>0</v>
      </c>
      <c r="E200" s="710">
        <v>8.4000000000000005E-2</v>
      </c>
      <c r="F200" s="171" t="s">
        <v>1492</v>
      </c>
    </row>
    <row r="201" spans="1:26">
      <c r="A201" s="171" t="s">
        <v>1494</v>
      </c>
      <c r="B201" s="710">
        <f>IF('2. Invoer parameters'!$C$8="Grijs",Efac_H2_WTW_grijs,IF('2. Invoer parameters'!$C$8="Groen",Efac_H2_WTW_groen, "ERROR"))</f>
        <v>12</v>
      </c>
      <c r="C201" s="710"/>
      <c r="D201" s="710">
        <v>0</v>
      </c>
      <c r="E201" s="710">
        <v>0</v>
      </c>
      <c r="F201" s="171" t="s">
        <v>1492</v>
      </c>
    </row>
    <row r="202" spans="1:26">
      <c r="A202" s="171" t="s">
        <v>783</v>
      </c>
      <c r="B202" s="710">
        <v>2.7280000000000002</v>
      </c>
      <c r="C202" s="710"/>
      <c r="D202" s="710">
        <v>2.234</v>
      </c>
      <c r="E202" s="710">
        <v>0.49399999999999999</v>
      </c>
      <c r="F202" s="171" t="s">
        <v>1493</v>
      </c>
    </row>
    <row r="203" spans="1:26">
      <c r="A203" s="171" t="s">
        <v>784</v>
      </c>
      <c r="B203" s="710">
        <v>1.0389999999999999</v>
      </c>
      <c r="C203" s="710"/>
      <c r="D203" s="710">
        <v>4.4999999999999998E-2</v>
      </c>
      <c r="E203" s="710">
        <v>0.99399999999999999</v>
      </c>
      <c r="F203" s="171" t="s">
        <v>1493</v>
      </c>
    </row>
    <row r="204" spans="1:26">
      <c r="A204" s="171" t="s">
        <v>785</v>
      </c>
      <c r="B204" s="171">
        <f>IF('2. Invoer parameters'!$C$7="CNG",Efac_CNG_WTW,IF('2. Invoer parameters'!$C$7="bio-CNG",Efac_bio_CNG_WTW, "ERROR"))</f>
        <v>2.7280000000000002</v>
      </c>
      <c r="D204" s="171">
        <f>IF('2. Invoer parameters'!$C$7="CNG",Efac_CNG_TTW,IF('2. Invoer parameters'!$C$7="bio-CNG",Efac_bio_CNG_TTW, "ERROR"))</f>
        <v>2.234</v>
      </c>
      <c r="E204" s="171">
        <f>IF('2. Invoer parameters'!$C$7="CNG",Efac_CNG_WTT,IF('2. Invoer parameters'!$C$7="bio-CNG",Efac_bio_CNG_WTT, "ERROR"))</f>
        <v>0.49399999999999999</v>
      </c>
      <c r="F204" s="171" t="s">
        <v>1493</v>
      </c>
    </row>
    <row r="206" spans="1:26">
      <c r="A206" s="171" t="s">
        <v>792</v>
      </c>
      <c r="B206" s="171">
        <v>0.49359999999999998</v>
      </c>
    </row>
    <row r="211" spans="1:9">
      <c r="A211" s="652" t="s">
        <v>45</v>
      </c>
    </row>
    <row r="212" spans="1:9">
      <c r="A212" s="171" t="s">
        <v>202</v>
      </c>
      <c r="B212" s="703" t="s">
        <v>60</v>
      </c>
      <c r="C212" s="703"/>
    </row>
    <row r="213" spans="1:9">
      <c r="A213" s="171" t="s">
        <v>203</v>
      </c>
      <c r="B213" s="703" t="s">
        <v>204</v>
      </c>
      <c r="C213" s="703"/>
      <c r="D213" s="703"/>
    </row>
    <row r="215" spans="1:9">
      <c r="A215" s="652" t="s">
        <v>205</v>
      </c>
    </row>
    <row r="216" spans="1:9">
      <c r="A216" s="171" t="s">
        <v>706</v>
      </c>
    </row>
    <row r="218" spans="1:9">
      <c r="A218" s="652" t="s">
        <v>206</v>
      </c>
    </row>
    <row r="219" spans="1:9">
      <c r="A219" s="171" t="s">
        <v>207</v>
      </c>
    </row>
    <row r="222" spans="1:9">
      <c r="A222" s="652" t="s">
        <v>165</v>
      </c>
    </row>
    <row r="223" spans="1:9">
      <c r="A223" s="1557" t="s">
        <v>208</v>
      </c>
      <c r="B223" s="1557"/>
      <c r="C223" s="1557"/>
      <c r="D223" s="1557"/>
      <c r="E223" s="1557"/>
      <c r="F223" s="1557"/>
      <c r="G223" s="1557"/>
      <c r="H223" s="1557"/>
      <c r="I223" s="1557"/>
    </row>
    <row r="224" spans="1:9">
      <c r="A224" s="171" t="s">
        <v>776</v>
      </c>
    </row>
    <row r="226" spans="1:8">
      <c r="A226" s="652" t="s">
        <v>76</v>
      </c>
    </row>
    <row r="227" spans="1:8">
      <c r="A227" s="171" t="s">
        <v>77</v>
      </c>
      <c r="B227" s="705">
        <v>0.21</v>
      </c>
      <c r="C227" s="705"/>
    </row>
    <row r="228" spans="1:8">
      <c r="B228" s="705"/>
      <c r="C228" s="705"/>
    </row>
    <row r="229" spans="1:8" ht="34">
      <c r="A229" s="652" t="s">
        <v>78</v>
      </c>
      <c r="B229" s="711" t="s">
        <v>828</v>
      </c>
      <c r="C229" s="711"/>
      <c r="D229" s="711" t="s">
        <v>827</v>
      </c>
      <c r="E229" s="171" t="s">
        <v>464</v>
      </c>
      <c r="F229" s="171" t="s">
        <v>115</v>
      </c>
    </row>
    <row r="230" spans="1:8">
      <c r="A230" s="171" t="s">
        <v>1584</v>
      </c>
      <c r="B230" s="712">
        <f>IF(BTW_verrekening="ja",D230-E230,D230)</f>
        <v>1.3603305785123967</v>
      </c>
      <c r="C230" s="712"/>
      <c r="D230" s="713">
        <v>1.6459999999999999</v>
      </c>
      <c r="E230" s="616">
        <f>(D230*BTW)/(100%+BTW)</f>
        <v>0.28566942148760327</v>
      </c>
      <c r="F230" s="171" t="s">
        <v>79</v>
      </c>
      <c r="H230" s="703" t="s">
        <v>1566</v>
      </c>
    </row>
    <row r="231" spans="1:8" ht="17" customHeight="1">
      <c r="A231" s="171" t="s">
        <v>1565</v>
      </c>
      <c r="B231" s="712">
        <f>IF(BTW_verrekening="ja",D231-E231,D231)</f>
        <v>1.1181818181818182</v>
      </c>
      <c r="C231" s="712"/>
      <c r="D231" s="713">
        <v>1.353</v>
      </c>
      <c r="E231" s="616">
        <f>(D231*BTW)/(100%+BTW)</f>
        <v>0.23481818181818181</v>
      </c>
      <c r="F231" s="171" t="s">
        <v>79</v>
      </c>
      <c r="H231" s="703" t="s">
        <v>1566</v>
      </c>
    </row>
    <row r="232" spans="1:8" ht="17" customHeight="1">
      <c r="A232" s="171" t="s">
        <v>1288</v>
      </c>
      <c r="B232" s="712">
        <f>IF(BTW_verrekening="ja",D232-E232,D232)</f>
        <v>0.96363636363636362</v>
      </c>
      <c r="C232" s="712"/>
      <c r="D232" s="714">
        <v>1.1659999999999999</v>
      </c>
      <c r="E232" s="616">
        <f>(D232*BTW)/(100%+BTW)</f>
        <v>0.20236363636363633</v>
      </c>
      <c r="F232" s="171" t="s">
        <v>778</v>
      </c>
      <c r="H232" s="703" t="s">
        <v>1289</v>
      </c>
    </row>
    <row r="233" spans="1:8">
      <c r="B233" s="712"/>
      <c r="C233" s="712"/>
      <c r="D233" s="705"/>
      <c r="E233" s="616"/>
    </row>
    <row r="234" spans="1:8">
      <c r="A234" s="652" t="s">
        <v>80</v>
      </c>
      <c r="B234" s="712"/>
      <c r="C234" s="712"/>
      <c r="D234" s="705"/>
      <c r="E234" s="616"/>
    </row>
    <row r="235" spans="1:8">
      <c r="A235" s="171" t="s">
        <v>81</v>
      </c>
      <c r="B235" s="712">
        <f>IF(BTW_verrekening="ja",D235-E235,D235)</f>
        <v>7.43801652892562E-2</v>
      </c>
      <c r="C235" s="712"/>
      <c r="D235" s="715">
        <v>0.09</v>
      </c>
      <c r="E235" s="616">
        <f>(D235*BTW)/(100%+BTW)</f>
        <v>1.5619834710743801E-2</v>
      </c>
      <c r="F235" s="171" t="s">
        <v>82</v>
      </c>
      <c r="H235" s="703"/>
    </row>
    <row r="236" spans="1:8">
      <c r="A236" s="171" t="s">
        <v>83</v>
      </c>
      <c r="B236" s="712">
        <f>IF(BTW_verrekening="ja",D236-E236,D236)</f>
        <v>0.17355371900826447</v>
      </c>
      <c r="C236" s="712"/>
      <c r="D236" s="715">
        <v>0.21</v>
      </c>
      <c r="E236" s="616">
        <f>(D236*BTW)/(100%+BTW)</f>
        <v>3.6446280991735532E-2</v>
      </c>
      <c r="F236" s="171" t="s">
        <v>82</v>
      </c>
      <c r="H236" s="703"/>
    </row>
    <row r="237" spans="1:8">
      <c r="A237" s="171" t="s">
        <v>84</v>
      </c>
      <c r="B237" s="712">
        <f>IF(BTW_verrekening="ja",D237-E237,D237)</f>
        <v>0.28099173553719009</v>
      </c>
      <c r="C237" s="712"/>
      <c r="D237" s="715">
        <v>0.34</v>
      </c>
      <c r="E237" s="616">
        <f>(D237*BTW)/(100%+BTW)</f>
        <v>5.900826446280992E-2</v>
      </c>
      <c r="F237" s="171" t="s">
        <v>82</v>
      </c>
      <c r="H237" s="703" t="s">
        <v>1570</v>
      </c>
    </row>
    <row r="238" spans="1:8">
      <c r="A238" s="171" t="s">
        <v>85</v>
      </c>
      <c r="B238" s="712">
        <f>IF(BTW_verrekening="ja",D238-E238,D238)</f>
        <v>0.51239669421487588</v>
      </c>
      <c r="C238" s="712"/>
      <c r="D238" s="715">
        <f>AVERAGE(0.69,0.65,0.59,0.55)</f>
        <v>0.61999999999999988</v>
      </c>
      <c r="E238" s="616">
        <f>(D238*BTW)/(100%+BTW)</f>
        <v>0.10760330578512396</v>
      </c>
      <c r="F238" s="171" t="s">
        <v>82</v>
      </c>
      <c r="H238" s="703" t="s">
        <v>1570</v>
      </c>
    </row>
    <row r="239" spans="1:8" ht="17" customHeight="1">
      <c r="B239" s="715"/>
      <c r="C239" s="715"/>
      <c r="H239" s="171" t="s">
        <v>1572</v>
      </c>
    </row>
    <row r="240" spans="1:8">
      <c r="A240" s="652" t="s">
        <v>45</v>
      </c>
      <c r="B240" s="705"/>
      <c r="C240" s="705"/>
      <c r="H240" s="171" t="s">
        <v>1573</v>
      </c>
    </row>
    <row r="241" spans="1:8">
      <c r="A241" s="171" t="s">
        <v>209</v>
      </c>
      <c r="B241" s="705"/>
      <c r="C241" s="705"/>
      <c r="H241" s="171" t="s">
        <v>1574</v>
      </c>
    </row>
    <row r="242" spans="1:8">
      <c r="A242" s="171" t="s">
        <v>87</v>
      </c>
      <c r="B242" s="705"/>
      <c r="C242" s="705"/>
      <c r="D242" s="703" t="s">
        <v>88</v>
      </c>
    </row>
    <row r="243" spans="1:8">
      <c r="A243" s="171" t="s">
        <v>89</v>
      </c>
      <c r="B243" s="705"/>
      <c r="C243" s="705"/>
      <c r="D243" s="703" t="s">
        <v>90</v>
      </c>
    </row>
    <row r="244" spans="1:8">
      <c r="A244" s="171" t="s">
        <v>91</v>
      </c>
      <c r="B244" s="705"/>
      <c r="C244" s="705"/>
      <c r="D244" s="703" t="s">
        <v>92</v>
      </c>
    </row>
    <row r="245" spans="1:8">
      <c r="A245" s="171" t="s">
        <v>93</v>
      </c>
      <c r="B245" s="705"/>
      <c r="C245" s="705"/>
      <c r="D245" s="703" t="s">
        <v>94</v>
      </c>
    </row>
    <row r="246" spans="1:8">
      <c r="A246" s="171" t="s">
        <v>781</v>
      </c>
      <c r="B246" s="705"/>
      <c r="C246" s="705"/>
      <c r="D246" s="703" t="s">
        <v>780</v>
      </c>
    </row>
    <row r="247" spans="1:8">
      <c r="B247" s="705"/>
      <c r="C247" s="705"/>
      <c r="D247" s="703"/>
    </row>
    <row r="248" spans="1:8" ht="51">
      <c r="A248" s="716" t="s">
        <v>1583</v>
      </c>
      <c r="B248" s="717" t="s">
        <v>1589</v>
      </c>
      <c r="C248" s="718" t="s">
        <v>828</v>
      </c>
      <c r="D248" s="718" t="s">
        <v>827</v>
      </c>
    </row>
    <row r="249" spans="1:8">
      <c r="A249" s="719">
        <v>2020</v>
      </c>
      <c r="B249" s="720">
        <v>0</v>
      </c>
      <c r="C249" s="721">
        <f>B231</f>
        <v>1.1181818181818182</v>
      </c>
      <c r="D249" s="721">
        <f>D230</f>
        <v>1.6459999999999999</v>
      </c>
    </row>
    <row r="250" spans="1:8">
      <c r="A250" s="719">
        <v>2021</v>
      </c>
      <c r="B250" s="720">
        <v>0.01</v>
      </c>
      <c r="C250" s="721">
        <f>C249+B250</f>
        <v>1.1281818181818182</v>
      </c>
      <c r="D250" s="721">
        <f>D249+B250</f>
        <v>1.6559999999999999</v>
      </c>
    </row>
    <row r="251" spans="1:8">
      <c r="A251" s="719">
        <v>2022</v>
      </c>
      <c r="B251" s="720">
        <v>0</v>
      </c>
      <c r="C251" s="721">
        <f t="shared" ref="C251:C263" si="64">C250+B251</f>
        <v>1.1281818181818182</v>
      </c>
      <c r="D251" s="721">
        <f t="shared" ref="D251:D263" si="65">D250+B251</f>
        <v>1.6559999999999999</v>
      </c>
    </row>
    <row r="252" spans="1:8">
      <c r="A252" s="719">
        <v>2023</v>
      </c>
      <c r="B252" s="720">
        <v>0.01</v>
      </c>
      <c r="C252" s="721">
        <f t="shared" si="64"/>
        <v>1.1381818181818182</v>
      </c>
      <c r="D252" s="721">
        <f t="shared" si="65"/>
        <v>1.6659999999999999</v>
      </c>
    </row>
    <row r="253" spans="1:8">
      <c r="A253" s="719">
        <v>2024</v>
      </c>
      <c r="B253" s="720">
        <v>0</v>
      </c>
      <c r="C253" s="721">
        <f t="shared" si="64"/>
        <v>1.1381818181818182</v>
      </c>
      <c r="D253" s="721">
        <f t="shared" si="65"/>
        <v>1.6659999999999999</v>
      </c>
    </row>
    <row r="254" spans="1:8">
      <c r="A254" s="719">
        <v>2025</v>
      </c>
      <c r="B254" s="720">
        <v>0</v>
      </c>
      <c r="C254" s="721">
        <f t="shared" si="64"/>
        <v>1.1381818181818182</v>
      </c>
      <c r="D254" s="721">
        <f t="shared" si="65"/>
        <v>1.6659999999999999</v>
      </c>
    </row>
    <row r="255" spans="1:8">
      <c r="A255" s="719">
        <v>2026</v>
      </c>
      <c r="B255" s="720">
        <v>0</v>
      </c>
      <c r="C255" s="721">
        <f t="shared" si="64"/>
        <v>1.1381818181818182</v>
      </c>
      <c r="D255" s="721">
        <f t="shared" si="65"/>
        <v>1.6659999999999999</v>
      </c>
    </row>
    <row r="256" spans="1:8">
      <c r="A256" s="719">
        <v>2027</v>
      </c>
      <c r="B256" s="720">
        <v>0</v>
      </c>
      <c r="C256" s="721">
        <f t="shared" si="64"/>
        <v>1.1381818181818182</v>
      </c>
      <c r="D256" s="721">
        <f t="shared" si="65"/>
        <v>1.6659999999999999</v>
      </c>
      <c r="F256" s="171" t="s">
        <v>1404</v>
      </c>
    </row>
    <row r="257" spans="1:4">
      <c r="A257" s="719">
        <v>2028</v>
      </c>
      <c r="B257" s="720">
        <v>0</v>
      </c>
      <c r="C257" s="721">
        <f t="shared" si="64"/>
        <v>1.1381818181818182</v>
      </c>
      <c r="D257" s="721">
        <f t="shared" si="65"/>
        <v>1.6659999999999999</v>
      </c>
    </row>
    <row r="258" spans="1:4">
      <c r="A258" s="719">
        <v>2029</v>
      </c>
      <c r="B258" s="720">
        <v>0</v>
      </c>
      <c r="C258" s="721">
        <f t="shared" si="64"/>
        <v>1.1381818181818182</v>
      </c>
      <c r="D258" s="721">
        <f t="shared" si="65"/>
        <v>1.6659999999999999</v>
      </c>
    </row>
    <row r="259" spans="1:4">
      <c r="A259" s="719">
        <v>2030</v>
      </c>
      <c r="B259" s="720">
        <v>0</v>
      </c>
      <c r="C259" s="721">
        <f t="shared" si="64"/>
        <v>1.1381818181818182</v>
      </c>
      <c r="D259" s="721">
        <f t="shared" si="65"/>
        <v>1.6659999999999999</v>
      </c>
    </row>
    <row r="260" spans="1:4">
      <c r="A260" s="719">
        <v>2031</v>
      </c>
      <c r="B260" s="720">
        <v>0</v>
      </c>
      <c r="C260" s="721">
        <f t="shared" si="64"/>
        <v>1.1381818181818182</v>
      </c>
      <c r="D260" s="721">
        <f t="shared" si="65"/>
        <v>1.6659999999999999</v>
      </c>
    </row>
    <row r="261" spans="1:4">
      <c r="A261" s="719">
        <v>2032</v>
      </c>
      <c r="B261" s="720">
        <v>0</v>
      </c>
      <c r="C261" s="721">
        <f t="shared" si="64"/>
        <v>1.1381818181818182</v>
      </c>
      <c r="D261" s="721">
        <f t="shared" si="65"/>
        <v>1.6659999999999999</v>
      </c>
    </row>
    <row r="262" spans="1:4">
      <c r="A262" s="719">
        <v>2033</v>
      </c>
      <c r="B262" s="720">
        <v>0</v>
      </c>
      <c r="C262" s="721">
        <f t="shared" si="64"/>
        <v>1.1381818181818182</v>
      </c>
      <c r="D262" s="721">
        <f t="shared" si="65"/>
        <v>1.6659999999999999</v>
      </c>
    </row>
    <row r="263" spans="1:4">
      <c r="A263" s="719">
        <v>2034</v>
      </c>
      <c r="B263" s="720">
        <v>0</v>
      </c>
      <c r="C263" s="721">
        <f t="shared" si="64"/>
        <v>1.1381818181818182</v>
      </c>
      <c r="D263" s="721">
        <f t="shared" si="65"/>
        <v>1.6659999999999999</v>
      </c>
    </row>
    <row r="264" spans="1:4">
      <c r="A264" s="719"/>
      <c r="B264" s="720"/>
      <c r="C264" s="720"/>
      <c r="D264" s="720"/>
    </row>
    <row r="265" spans="1:4">
      <c r="A265" s="716" t="s">
        <v>1543</v>
      </c>
      <c r="B265" s="171">
        <f>startjaar</f>
        <v>2020</v>
      </c>
      <c r="C265" s="720"/>
      <c r="D265" s="720"/>
    </row>
    <row r="266" spans="1:4">
      <c r="A266" s="719"/>
      <c r="B266" s="720"/>
      <c r="C266" s="720"/>
      <c r="D266" s="720"/>
    </row>
    <row r="267" spans="1:4">
      <c r="A267" s="716" t="s">
        <v>1557</v>
      </c>
      <c r="B267" s="716"/>
      <c r="C267" s="720"/>
      <c r="D267" s="720"/>
    </row>
    <row r="268" spans="1:4">
      <c r="A268" s="716" t="s">
        <v>1558</v>
      </c>
      <c r="C268" s="720"/>
      <c r="D268" s="720"/>
    </row>
    <row r="269" spans="1:4">
      <c r="A269" s="171">
        <v>1</v>
      </c>
      <c r="B269" s="171">
        <f>B265</f>
        <v>2020</v>
      </c>
      <c r="C269" s="721">
        <f>IF($B269=" ",0,INDEX(C249:C264,(MATCH($B269,$A249:$A263,0))))</f>
        <v>1.1181818181818182</v>
      </c>
      <c r="D269" s="721">
        <f>IF($B269=" ",0,INDEX(D249:D264,(MATCH($B269,$A249:$A263,0))))</f>
        <v>1.6459999999999999</v>
      </c>
    </row>
    <row r="270" spans="1:4">
      <c r="A270" s="171">
        <v>2</v>
      </c>
      <c r="B270" s="171">
        <f t="shared" ref="B270:B278" si="66">IF(looptijd&gt;A270-1,B269+1," ")</f>
        <v>2021</v>
      </c>
      <c r="C270" s="721">
        <f t="shared" ref="C270:D278" si="67">IF($B270=" ",0,INDEX(C250:C265,(MATCH($B270,$A250:$A264,0))))</f>
        <v>1.1281818181818182</v>
      </c>
      <c r="D270" s="721">
        <f t="shared" si="67"/>
        <v>1.6559999999999999</v>
      </c>
    </row>
    <row r="271" spans="1:4">
      <c r="A271" s="171">
        <v>3</v>
      </c>
      <c r="B271" s="171">
        <f t="shared" si="66"/>
        <v>2022</v>
      </c>
      <c r="C271" s="721">
        <f t="shared" si="67"/>
        <v>1.1281818181818182</v>
      </c>
      <c r="D271" s="721">
        <f t="shared" si="67"/>
        <v>1.6559999999999999</v>
      </c>
    </row>
    <row r="272" spans="1:4">
      <c r="A272" s="171">
        <v>4</v>
      </c>
      <c r="B272" s="171">
        <f t="shared" si="66"/>
        <v>2023</v>
      </c>
      <c r="C272" s="721">
        <f t="shared" si="67"/>
        <v>1.1381818181818182</v>
      </c>
      <c r="D272" s="721">
        <f t="shared" si="67"/>
        <v>1.6659999999999999</v>
      </c>
    </row>
    <row r="273" spans="1:10">
      <c r="A273" s="171">
        <v>5</v>
      </c>
      <c r="B273" s="171">
        <f t="shared" si="66"/>
        <v>2024</v>
      </c>
      <c r="C273" s="721">
        <f t="shared" si="67"/>
        <v>1.1381818181818182</v>
      </c>
      <c r="D273" s="721">
        <f t="shared" si="67"/>
        <v>1.6659999999999999</v>
      </c>
    </row>
    <row r="274" spans="1:10">
      <c r="A274" s="171">
        <v>6</v>
      </c>
      <c r="B274" s="171" t="str">
        <f t="shared" si="66"/>
        <v xml:space="preserve"> </v>
      </c>
      <c r="C274" s="721">
        <f t="shared" si="67"/>
        <v>0</v>
      </c>
      <c r="D274" s="721">
        <f t="shared" si="67"/>
        <v>0</v>
      </c>
    </row>
    <row r="275" spans="1:10">
      <c r="A275" s="171">
        <v>7</v>
      </c>
      <c r="B275" s="171" t="str">
        <f t="shared" si="66"/>
        <v xml:space="preserve"> </v>
      </c>
      <c r="C275" s="721">
        <f t="shared" si="67"/>
        <v>0</v>
      </c>
      <c r="D275" s="721">
        <f t="shared" si="67"/>
        <v>0</v>
      </c>
    </row>
    <row r="276" spans="1:10">
      <c r="A276" s="171">
        <v>8</v>
      </c>
      <c r="B276" s="171" t="str">
        <f t="shared" si="66"/>
        <v xml:space="preserve"> </v>
      </c>
      <c r="C276" s="721">
        <f t="shared" si="67"/>
        <v>0</v>
      </c>
      <c r="D276" s="721">
        <f t="shared" si="67"/>
        <v>0</v>
      </c>
    </row>
    <row r="277" spans="1:10">
      <c r="A277" s="171">
        <v>9</v>
      </c>
      <c r="B277" s="171" t="str">
        <f t="shared" si="66"/>
        <v xml:space="preserve"> </v>
      </c>
      <c r="C277" s="721">
        <f t="shared" si="67"/>
        <v>0</v>
      </c>
      <c r="D277" s="721">
        <f t="shared" si="67"/>
        <v>0</v>
      </c>
    </row>
    <row r="278" spans="1:10">
      <c r="A278" s="171">
        <v>10</v>
      </c>
      <c r="B278" s="171" t="str">
        <f t="shared" si="66"/>
        <v xml:space="preserve"> </v>
      </c>
      <c r="C278" s="721">
        <f t="shared" si="67"/>
        <v>0</v>
      </c>
      <c r="D278" s="721">
        <f t="shared" si="67"/>
        <v>0</v>
      </c>
    </row>
    <row r="279" spans="1:10" ht="17" thickBot="1">
      <c r="A279" s="719"/>
      <c r="B279" s="720"/>
      <c r="C279" s="720"/>
      <c r="D279" s="720"/>
    </row>
    <row r="280" spans="1:10" ht="17" thickBot="1">
      <c r="A280" s="722" t="s">
        <v>1590</v>
      </c>
      <c r="B280" s="723"/>
      <c r="C280" s="724">
        <f>AVERAGEIF(C269:C278,"&gt;0")</f>
        <v>1.1301818181818182</v>
      </c>
      <c r="D280" s="724">
        <f>AVERAGEIF(D269:D278,"&gt;0")</f>
        <v>1.6579999999999999</v>
      </c>
      <c r="E280" s="725" t="s">
        <v>1591</v>
      </c>
      <c r="F280" s="726">
        <f>IF(BTW_verrekening="ja",C280,D280)</f>
        <v>1.1301818181818182</v>
      </c>
    </row>
    <row r="281" spans="1:10">
      <c r="A281" s="719"/>
      <c r="B281" s="720"/>
      <c r="C281" s="720"/>
      <c r="D281" s="720"/>
    </row>
    <row r="282" spans="1:10">
      <c r="A282" s="719"/>
      <c r="B282" s="720"/>
      <c r="C282" s="720"/>
      <c r="D282" s="720"/>
    </row>
    <row r="283" spans="1:10">
      <c r="A283" s="719"/>
      <c r="B283" s="705"/>
      <c r="C283" s="705"/>
      <c r="D283" s="703"/>
    </row>
    <row r="284" spans="1:10">
      <c r="A284" s="652" t="s">
        <v>210</v>
      </c>
      <c r="B284" s="652"/>
      <c r="C284" s="652"/>
    </row>
    <row r="285" spans="1:10">
      <c r="A285" s="652"/>
      <c r="B285" s="652"/>
      <c r="C285" s="652"/>
      <c r="I285" s="704"/>
    </row>
    <row r="286" spans="1:10">
      <c r="B286" s="652"/>
      <c r="C286" s="652"/>
      <c r="I286" s="652"/>
      <c r="J286" s="652"/>
    </row>
    <row r="287" spans="1:10">
      <c r="A287" s="652"/>
      <c r="I287" s="727"/>
    </row>
    <row r="288" spans="1:10">
      <c r="A288" s="652"/>
      <c r="B288" s="652"/>
      <c r="C288" s="652"/>
      <c r="I288" s="727"/>
    </row>
    <row r="289" spans="1:11">
      <c r="A289" s="652"/>
      <c r="B289" s="652"/>
      <c r="C289" s="652"/>
      <c r="I289" s="727"/>
    </row>
    <row r="290" spans="1:11">
      <c r="A290" s="652"/>
      <c r="B290" s="652"/>
      <c r="C290" s="652"/>
      <c r="I290" s="727"/>
    </row>
    <row r="291" spans="1:11">
      <c r="A291" s="652"/>
      <c r="B291" s="652"/>
      <c r="C291" s="652"/>
      <c r="I291" s="727"/>
    </row>
    <row r="292" spans="1:11">
      <c r="A292" s="652"/>
      <c r="B292" s="652"/>
      <c r="C292" s="652"/>
      <c r="I292" s="652"/>
      <c r="J292" s="652"/>
    </row>
    <row r="293" spans="1:11">
      <c r="A293" s="652"/>
      <c r="B293" s="652"/>
      <c r="C293" s="652"/>
      <c r="I293" s="728"/>
      <c r="J293" s="727"/>
    </row>
    <row r="294" spans="1:11">
      <c r="A294" s="729" t="s">
        <v>1238</v>
      </c>
      <c r="B294" s="729"/>
      <c r="C294" s="729"/>
      <c r="I294" s="728"/>
      <c r="J294" s="727"/>
    </row>
    <row r="295" spans="1:11" ht="34">
      <c r="A295" s="652" t="s">
        <v>1237</v>
      </c>
      <c r="B295" s="652"/>
      <c r="C295" s="652"/>
      <c r="E295" s="708" t="s">
        <v>211</v>
      </c>
      <c r="F295" s="1556" t="s">
        <v>212</v>
      </c>
      <c r="G295" s="1556"/>
      <c r="H295" s="1557"/>
      <c r="J295" s="706"/>
    </row>
    <row r="296" spans="1:11">
      <c r="A296" s="730" t="s">
        <v>213</v>
      </c>
      <c r="B296" s="730"/>
      <c r="C296" s="730"/>
      <c r="D296" s="652"/>
      <c r="E296" s="652" t="s">
        <v>214</v>
      </c>
      <c r="F296" s="652" t="s">
        <v>215</v>
      </c>
      <c r="G296" s="652"/>
      <c r="H296" s="652" t="s">
        <v>216</v>
      </c>
      <c r="K296" s="727"/>
    </row>
    <row r="297" spans="1:11">
      <c r="A297" s="171">
        <v>1</v>
      </c>
      <c r="D297" s="171" t="s">
        <v>217</v>
      </c>
      <c r="E297" s="171">
        <v>90</v>
      </c>
      <c r="F297" s="727">
        <v>366</v>
      </c>
      <c r="G297" s="727"/>
      <c r="H297" s="727">
        <v>1</v>
      </c>
    </row>
    <row r="298" spans="1:11">
      <c r="A298" s="171">
        <v>91</v>
      </c>
      <c r="D298" s="171" t="s">
        <v>217</v>
      </c>
      <c r="E298" s="171">
        <v>116</v>
      </c>
      <c r="F298" s="731">
        <f>F297+H297*E297</f>
        <v>456</v>
      </c>
      <c r="G298" s="731"/>
      <c r="H298" s="727">
        <v>57</v>
      </c>
    </row>
    <row r="299" spans="1:11">
      <c r="A299" s="171">
        <v>117</v>
      </c>
      <c r="D299" s="171" t="s">
        <v>217</v>
      </c>
      <c r="E299" s="171">
        <v>162</v>
      </c>
      <c r="F299" s="731">
        <f>F298+H298*(E298-E297)</f>
        <v>1938</v>
      </c>
      <c r="G299" s="731"/>
      <c r="H299" s="727">
        <v>124</v>
      </c>
    </row>
    <row r="300" spans="1:11">
      <c r="A300" s="171">
        <v>163</v>
      </c>
      <c r="D300" s="171" t="s">
        <v>217</v>
      </c>
      <c r="E300" s="171">
        <v>180</v>
      </c>
      <c r="F300" s="731">
        <f>F299+(H299*(E299-E298))</f>
        <v>7642</v>
      </c>
      <c r="G300" s="731"/>
      <c r="H300" s="727">
        <v>204</v>
      </c>
    </row>
    <row r="301" spans="1:11">
      <c r="A301" s="171">
        <v>180</v>
      </c>
      <c r="D301" s="171" t="s">
        <v>217</v>
      </c>
      <c r="E301" s="732" t="s">
        <v>118</v>
      </c>
      <c r="F301" s="731">
        <f>F300+H300*(E300-E299)</f>
        <v>11314</v>
      </c>
      <c r="G301" s="731"/>
      <c r="H301" s="727">
        <v>408</v>
      </c>
      <c r="I301" s="733"/>
    </row>
    <row r="302" spans="1:11">
      <c r="E302" s="732"/>
      <c r="F302" s="727"/>
      <c r="G302" s="727"/>
      <c r="H302" s="727"/>
      <c r="I302" s="733"/>
      <c r="K302" s="703"/>
    </row>
    <row r="303" spans="1:11">
      <c r="A303" s="171" t="s">
        <v>1397</v>
      </c>
      <c r="E303" s="732"/>
      <c r="F303" s="727"/>
      <c r="G303" s="727"/>
      <c r="H303" s="727"/>
      <c r="I303" s="733"/>
    </row>
    <row r="304" spans="1:11">
      <c r="A304" s="171" t="s">
        <v>4346</v>
      </c>
      <c r="E304" s="732"/>
      <c r="F304" s="727"/>
      <c r="G304" s="727"/>
      <c r="H304" s="727"/>
      <c r="I304" s="733"/>
    </row>
    <row r="305" spans="5:9">
      <c r="E305" s="732"/>
      <c r="F305" s="727"/>
      <c r="G305" s="727"/>
      <c r="H305" s="727"/>
      <c r="I305" s="733"/>
    </row>
    <row r="306" spans="5:9">
      <c r="E306" s="732"/>
      <c r="F306" s="727"/>
      <c r="G306" s="727"/>
      <c r="H306" s="727"/>
      <c r="I306" s="733"/>
    </row>
    <row r="307" spans="5:9">
      <c r="E307" s="732"/>
      <c r="F307" s="727"/>
      <c r="G307" s="727"/>
      <c r="H307" s="727"/>
      <c r="I307" s="733"/>
    </row>
    <row r="308" spans="5:9">
      <c r="E308" s="732"/>
      <c r="F308" s="727"/>
      <c r="G308" s="727"/>
      <c r="H308" s="727"/>
      <c r="I308" s="733"/>
    </row>
    <row r="309" spans="5:9">
      <c r="E309" s="732"/>
      <c r="F309" s="727"/>
      <c r="G309" s="727"/>
      <c r="H309" s="727"/>
      <c r="I309" s="733"/>
    </row>
    <row r="310" spans="5:9">
      <c r="E310" s="732"/>
      <c r="F310" s="727"/>
      <c r="G310" s="727"/>
      <c r="H310" s="727"/>
      <c r="I310" s="733"/>
    </row>
    <row r="311" spans="5:9">
      <c r="E311" s="732"/>
      <c r="F311" s="727"/>
      <c r="G311" s="727"/>
      <c r="H311" s="727"/>
      <c r="I311" s="733"/>
    </row>
    <row r="312" spans="5:9">
      <c r="E312" s="732"/>
      <c r="F312" s="727"/>
      <c r="G312" s="727"/>
      <c r="H312" s="727"/>
      <c r="I312" s="733"/>
    </row>
    <row r="313" spans="5:9">
      <c r="E313" s="732"/>
      <c r="F313" s="727"/>
      <c r="G313" s="727"/>
      <c r="H313" s="727"/>
      <c r="I313" s="733"/>
    </row>
    <row r="314" spans="5:9">
      <c r="E314" s="732"/>
      <c r="F314" s="727"/>
      <c r="G314" s="727"/>
      <c r="H314" s="727"/>
      <c r="I314" s="733"/>
    </row>
    <row r="315" spans="5:9">
      <c r="E315" s="732"/>
      <c r="F315" s="727"/>
      <c r="G315" s="727"/>
      <c r="H315" s="727"/>
      <c r="I315" s="733"/>
    </row>
    <row r="316" spans="5:9">
      <c r="E316" s="732"/>
      <c r="F316" s="727"/>
      <c r="G316" s="727"/>
      <c r="H316" s="727"/>
      <c r="I316" s="733"/>
    </row>
    <row r="317" spans="5:9">
      <c r="E317" s="732"/>
      <c r="F317" s="727"/>
      <c r="G317" s="727"/>
      <c r="H317" s="727"/>
      <c r="I317" s="733"/>
    </row>
    <row r="318" spans="5:9">
      <c r="H318" s="652"/>
    </row>
    <row r="319" spans="5:9">
      <c r="H319" s="652"/>
    </row>
    <row r="320" spans="5:9">
      <c r="H320" s="652"/>
    </row>
    <row r="321" spans="1:8">
      <c r="H321" s="652"/>
    </row>
    <row r="322" spans="1:8">
      <c r="A322" s="652" t="s">
        <v>218</v>
      </c>
      <c r="B322" s="652"/>
      <c r="C322" s="652"/>
      <c r="H322" s="728"/>
    </row>
    <row r="323" spans="1:8">
      <c r="A323" s="171">
        <f>D469</f>
        <v>0</v>
      </c>
      <c r="D323" s="171" t="s">
        <v>217</v>
      </c>
      <c r="H323" s="728"/>
    </row>
    <row r="324" spans="1:8">
      <c r="A324" s="719">
        <v>80</v>
      </c>
      <c r="B324" s="719" t="s">
        <v>1398</v>
      </c>
      <c r="C324" s="719"/>
      <c r="D324" s="171" t="s">
        <v>217</v>
      </c>
      <c r="E324" s="733">
        <v>78.819999999999993</v>
      </c>
      <c r="F324" s="727" t="s">
        <v>219</v>
      </c>
      <c r="G324" s="727"/>
      <c r="H324" s="728"/>
    </row>
    <row r="326" spans="1:8">
      <c r="A326" s="652" t="s">
        <v>220</v>
      </c>
      <c r="B326" s="652"/>
      <c r="C326" s="652"/>
    </row>
    <row r="328" spans="1:8">
      <c r="A328" s="171" t="s">
        <v>221</v>
      </c>
    </row>
    <row r="329" spans="1:8">
      <c r="A329" s="171" t="s">
        <v>222</v>
      </c>
    </row>
    <row r="331" spans="1:8">
      <c r="D331" s="652" t="s">
        <v>223</v>
      </c>
      <c r="E331" s="652" t="s">
        <v>224</v>
      </c>
      <c r="F331" s="652" t="s">
        <v>225</v>
      </c>
      <c r="G331" s="652"/>
    </row>
    <row r="332" spans="1:8">
      <c r="D332" s="652" t="s">
        <v>226</v>
      </c>
      <c r="E332" s="652"/>
      <c r="F332" s="652"/>
      <c r="G332" s="652"/>
    </row>
    <row r="333" spans="1:8">
      <c r="A333" s="171" t="s">
        <v>227</v>
      </c>
      <c r="D333" s="734">
        <v>0.377</v>
      </c>
      <c r="E333" s="706">
        <v>1283</v>
      </c>
      <c r="F333" s="720">
        <v>0</v>
      </c>
      <c r="G333" s="720"/>
    </row>
    <row r="334" spans="1:8">
      <c r="A334" s="171" t="s">
        <v>4347</v>
      </c>
      <c r="D334" s="734"/>
      <c r="E334" s="720"/>
      <c r="F334" s="720"/>
      <c r="G334" s="720"/>
    </row>
    <row r="335" spans="1:8">
      <c r="A335" s="171" t="s">
        <v>227</v>
      </c>
      <c r="D335" s="734">
        <v>0.377</v>
      </c>
      <c r="E335" s="720">
        <v>0</v>
      </c>
      <c r="F335" s="707">
        <v>273</v>
      </c>
      <c r="G335" s="707"/>
    </row>
    <row r="336" spans="1:8">
      <c r="A336" s="171" t="s">
        <v>4348</v>
      </c>
    </row>
    <row r="338" spans="1:11">
      <c r="A338" s="171" t="s">
        <v>228</v>
      </c>
      <c r="K338" s="652"/>
    </row>
    <row r="339" spans="1:11">
      <c r="A339" s="171" t="s">
        <v>4349</v>
      </c>
    </row>
    <row r="341" spans="1:11">
      <c r="A341" s="652" t="s">
        <v>229</v>
      </c>
      <c r="D341" s="706">
        <v>0</v>
      </c>
      <c r="E341" s="706">
        <v>0</v>
      </c>
    </row>
    <row r="342" spans="1:11">
      <c r="A342" s="171" t="s">
        <v>1240</v>
      </c>
      <c r="D342" s="706"/>
    </row>
    <row r="343" spans="1:11">
      <c r="A343" s="652"/>
      <c r="D343" s="706"/>
    </row>
    <row r="344" spans="1:11">
      <c r="A344" s="652"/>
      <c r="D344" s="706"/>
    </row>
    <row r="345" spans="1:11">
      <c r="A345" s="652"/>
      <c r="D345" s="706"/>
    </row>
    <row r="346" spans="1:11">
      <c r="A346" s="652" t="s">
        <v>717</v>
      </c>
      <c r="D346" s="706"/>
    </row>
    <row r="347" spans="1:11">
      <c r="A347" s="171" t="s">
        <v>718</v>
      </c>
      <c r="D347" s="706"/>
    </row>
    <row r="348" spans="1:11">
      <c r="A348" s="171" t="s">
        <v>719</v>
      </c>
    </row>
    <row r="350" spans="1:11">
      <c r="A350" s="652" t="s">
        <v>4193</v>
      </c>
      <c r="D350" s="652"/>
      <c r="E350" s="652"/>
      <c r="F350" s="652"/>
    </row>
    <row r="351" spans="1:11">
      <c r="A351" s="171" t="s">
        <v>718</v>
      </c>
      <c r="D351" s="652"/>
      <c r="E351" s="652"/>
      <c r="F351" s="652"/>
    </row>
    <row r="352" spans="1:11">
      <c r="A352" s="171" t="s">
        <v>719</v>
      </c>
      <c r="D352" s="734"/>
      <c r="E352" s="706"/>
      <c r="F352" s="720"/>
    </row>
    <row r="354" spans="1:3">
      <c r="A354" s="652" t="s">
        <v>45</v>
      </c>
    </row>
    <row r="355" spans="1:3">
      <c r="A355" s="171" t="s">
        <v>86</v>
      </c>
      <c r="B355" s="703" t="s">
        <v>96</v>
      </c>
      <c r="C355" s="703"/>
    </row>
    <row r="356" spans="1:3">
      <c r="A356" s="171" t="s">
        <v>1235</v>
      </c>
      <c r="B356" s="703" t="s">
        <v>1236</v>
      </c>
      <c r="C356" s="703"/>
    </row>
    <row r="358" spans="1:3">
      <c r="A358" s="652" t="s">
        <v>230</v>
      </c>
    </row>
    <row r="363" spans="1:3">
      <c r="A363" s="652" t="s">
        <v>1424</v>
      </c>
    </row>
    <row r="364" spans="1:3">
      <c r="A364" s="171" t="s">
        <v>231</v>
      </c>
    </row>
    <row r="365" spans="1:3">
      <c r="A365" s="171" t="s">
        <v>1425</v>
      </c>
    </row>
    <row r="367" spans="1:3">
      <c r="A367" s="652" t="s">
        <v>1421</v>
      </c>
    </row>
    <row r="368" spans="1:3">
      <c r="A368" s="171" t="s">
        <v>1411</v>
      </c>
    </row>
    <row r="371" spans="1:8">
      <c r="A371" s="716" t="s">
        <v>1555</v>
      </c>
      <c r="B371" s="652" t="s">
        <v>1414</v>
      </c>
      <c r="C371" s="652" t="s">
        <v>1544</v>
      </c>
      <c r="D371" s="652" t="s">
        <v>1540</v>
      </c>
      <c r="E371" s="652" t="s">
        <v>1541</v>
      </c>
      <c r="F371" s="652" t="s">
        <v>1542</v>
      </c>
    </row>
    <row r="372" spans="1:8">
      <c r="A372" s="719" t="s">
        <v>1415</v>
      </c>
    </row>
    <row r="373" spans="1:8">
      <c r="A373" s="171">
        <v>1</v>
      </c>
      <c r="B373" s="171">
        <v>2020</v>
      </c>
      <c r="C373" s="735">
        <v>0</v>
      </c>
      <c r="D373" s="736">
        <f>MRB_die_bestel_klein*(C373+100%)</f>
        <v>25.333333333333332</v>
      </c>
      <c r="E373" s="736">
        <f>MRB_die_bestel_middel*(C373+100%)</f>
        <v>35.333333333333336</v>
      </c>
      <c r="F373" s="736">
        <f>MRB_die_bestel_groot*(C373+100%)</f>
        <v>37.333333333333336</v>
      </c>
      <c r="G373" s="735"/>
      <c r="H373" s="735"/>
    </row>
    <row r="374" spans="1:8">
      <c r="A374" s="171">
        <v>2</v>
      </c>
      <c r="B374" s="171">
        <v>2021</v>
      </c>
      <c r="C374" s="735">
        <v>5.2999999999999999E-2</v>
      </c>
      <c r="D374" s="736">
        <f>D373*(C374+100%)</f>
        <v>26.675999999999998</v>
      </c>
      <c r="E374" s="736">
        <f>E373*(C374+100%)</f>
        <v>37.206000000000003</v>
      </c>
      <c r="F374" s="736">
        <f>F373*(C374+100%)</f>
        <v>39.311999999999998</v>
      </c>
      <c r="G374" s="735"/>
      <c r="H374" s="735"/>
    </row>
    <row r="375" spans="1:8">
      <c r="A375" s="171">
        <v>3</v>
      </c>
      <c r="B375" s="171">
        <v>2022</v>
      </c>
      <c r="C375" s="735">
        <v>0.05</v>
      </c>
      <c r="D375" s="736">
        <f t="shared" ref="D375:D376" si="68">D374*(C375+100%)</f>
        <v>28.009799999999998</v>
      </c>
      <c r="E375" s="736">
        <f t="shared" ref="E375:E387" si="69">E374*(C375+100%)</f>
        <v>39.066300000000005</v>
      </c>
      <c r="F375" s="736">
        <f t="shared" ref="F375:F387" si="70">F374*(C375+100%)</f>
        <v>41.2776</v>
      </c>
      <c r="G375" s="735"/>
      <c r="H375" s="735"/>
    </row>
    <row r="376" spans="1:8">
      <c r="A376" s="171">
        <v>4</v>
      </c>
      <c r="B376" s="171">
        <v>2023</v>
      </c>
      <c r="C376" s="735">
        <v>4.8000000000000001E-2</v>
      </c>
      <c r="D376" s="736">
        <f t="shared" si="68"/>
        <v>29.354270400000001</v>
      </c>
      <c r="E376" s="736">
        <f t="shared" si="69"/>
        <v>40.941482400000005</v>
      </c>
      <c r="F376" s="736">
        <f t="shared" si="70"/>
        <v>43.258924800000003</v>
      </c>
      <c r="G376" s="735"/>
      <c r="H376" s="735"/>
    </row>
    <row r="377" spans="1:8">
      <c r="A377" s="171">
        <v>5</v>
      </c>
      <c r="B377" s="171">
        <v>2024</v>
      </c>
      <c r="C377" s="735">
        <v>4.8000000000000001E-2</v>
      </c>
      <c r="D377" s="736">
        <f>D376*(C377+100%)</f>
        <v>30.763275379200003</v>
      </c>
      <c r="E377" s="736">
        <f t="shared" si="69"/>
        <v>42.906673555200008</v>
      </c>
      <c r="F377" s="736">
        <f t="shared" si="70"/>
        <v>45.335353190400006</v>
      </c>
      <c r="G377" s="735"/>
      <c r="H377" s="735"/>
    </row>
    <row r="378" spans="1:8">
      <c r="A378" s="171">
        <v>6</v>
      </c>
      <c r="B378" s="171">
        <v>2025</v>
      </c>
      <c r="C378" s="735">
        <v>0</v>
      </c>
      <c r="D378" s="736">
        <f t="shared" ref="D378:D387" si="71">D377*(C378+100%)</f>
        <v>30.763275379200003</v>
      </c>
      <c r="E378" s="736">
        <f t="shared" si="69"/>
        <v>42.906673555200008</v>
      </c>
      <c r="F378" s="736">
        <f t="shared" si="70"/>
        <v>45.335353190400006</v>
      </c>
      <c r="G378" s="735"/>
      <c r="H378" s="735"/>
    </row>
    <row r="379" spans="1:8">
      <c r="A379" s="171">
        <v>7</v>
      </c>
      <c r="B379" s="171">
        <v>2026</v>
      </c>
      <c r="C379" s="735">
        <v>0</v>
      </c>
      <c r="D379" s="736">
        <f t="shared" si="71"/>
        <v>30.763275379200003</v>
      </c>
      <c r="E379" s="736">
        <f t="shared" si="69"/>
        <v>42.906673555200008</v>
      </c>
      <c r="F379" s="736">
        <f t="shared" si="70"/>
        <v>45.335353190400006</v>
      </c>
      <c r="G379" s="735"/>
      <c r="H379" s="735"/>
    </row>
    <row r="380" spans="1:8">
      <c r="A380" s="171">
        <v>8</v>
      </c>
      <c r="B380" s="171">
        <v>2027</v>
      </c>
      <c r="C380" s="735">
        <v>0</v>
      </c>
      <c r="D380" s="736">
        <f t="shared" si="71"/>
        <v>30.763275379200003</v>
      </c>
      <c r="E380" s="736">
        <f t="shared" si="69"/>
        <v>42.906673555200008</v>
      </c>
      <c r="F380" s="736">
        <f t="shared" si="70"/>
        <v>45.335353190400006</v>
      </c>
      <c r="G380" s="735"/>
      <c r="H380" s="735"/>
    </row>
    <row r="381" spans="1:8">
      <c r="A381" s="171">
        <v>9</v>
      </c>
      <c r="B381" s="171">
        <v>2028</v>
      </c>
      <c r="C381" s="735">
        <v>0</v>
      </c>
      <c r="D381" s="736">
        <f t="shared" si="71"/>
        <v>30.763275379200003</v>
      </c>
      <c r="E381" s="736">
        <f t="shared" si="69"/>
        <v>42.906673555200008</v>
      </c>
      <c r="F381" s="736">
        <f t="shared" si="70"/>
        <v>45.335353190400006</v>
      </c>
      <c r="G381" s="735"/>
      <c r="H381" s="735"/>
    </row>
    <row r="382" spans="1:8">
      <c r="A382" s="171">
        <v>10</v>
      </c>
      <c r="B382" s="171">
        <v>2029</v>
      </c>
      <c r="C382" s="735">
        <v>0</v>
      </c>
      <c r="D382" s="736">
        <f t="shared" si="71"/>
        <v>30.763275379200003</v>
      </c>
      <c r="E382" s="736">
        <f t="shared" si="69"/>
        <v>42.906673555200008</v>
      </c>
      <c r="F382" s="736">
        <f t="shared" si="70"/>
        <v>45.335353190400006</v>
      </c>
      <c r="G382" s="735"/>
      <c r="H382" s="735"/>
    </row>
    <row r="383" spans="1:8">
      <c r="A383" s="171">
        <v>11</v>
      </c>
      <c r="B383" s="171">
        <v>2030</v>
      </c>
      <c r="C383" s="735">
        <v>0</v>
      </c>
      <c r="D383" s="736">
        <f t="shared" si="71"/>
        <v>30.763275379200003</v>
      </c>
      <c r="E383" s="736">
        <f t="shared" si="69"/>
        <v>42.906673555200008</v>
      </c>
      <c r="F383" s="736">
        <f t="shared" si="70"/>
        <v>45.335353190400006</v>
      </c>
      <c r="G383" s="735"/>
      <c r="H383" s="735"/>
    </row>
    <row r="384" spans="1:8">
      <c r="A384" s="171">
        <v>12</v>
      </c>
      <c r="B384" s="171">
        <v>2031</v>
      </c>
      <c r="C384" s="735">
        <v>0</v>
      </c>
      <c r="D384" s="736">
        <f t="shared" si="71"/>
        <v>30.763275379200003</v>
      </c>
      <c r="E384" s="736">
        <f t="shared" si="69"/>
        <v>42.906673555200008</v>
      </c>
      <c r="F384" s="736">
        <f t="shared" si="70"/>
        <v>45.335353190400006</v>
      </c>
      <c r="G384" s="735"/>
      <c r="H384" s="735"/>
    </row>
    <row r="385" spans="1:12">
      <c r="A385" s="171">
        <v>13</v>
      </c>
      <c r="B385" s="171">
        <v>2032</v>
      </c>
      <c r="C385" s="735">
        <v>0</v>
      </c>
      <c r="D385" s="736">
        <f t="shared" si="71"/>
        <v>30.763275379200003</v>
      </c>
      <c r="E385" s="736">
        <f t="shared" si="69"/>
        <v>42.906673555200008</v>
      </c>
      <c r="F385" s="736">
        <f t="shared" si="70"/>
        <v>45.335353190400006</v>
      </c>
      <c r="G385" s="735"/>
      <c r="H385" s="735"/>
    </row>
    <row r="386" spans="1:12">
      <c r="A386" s="171">
        <v>14</v>
      </c>
      <c r="B386" s="171">
        <v>2033</v>
      </c>
      <c r="C386" s="735">
        <v>0</v>
      </c>
      <c r="D386" s="736">
        <f t="shared" si="71"/>
        <v>30.763275379200003</v>
      </c>
      <c r="E386" s="736">
        <f t="shared" si="69"/>
        <v>42.906673555200008</v>
      </c>
      <c r="F386" s="736">
        <f t="shared" si="70"/>
        <v>45.335353190400006</v>
      </c>
    </row>
    <row r="387" spans="1:12">
      <c r="A387" s="171">
        <v>15</v>
      </c>
      <c r="B387" s="171">
        <v>2034</v>
      </c>
      <c r="C387" s="735">
        <v>0</v>
      </c>
      <c r="D387" s="736">
        <f t="shared" si="71"/>
        <v>30.763275379200003</v>
      </c>
      <c r="E387" s="736">
        <f t="shared" si="69"/>
        <v>42.906673555200008</v>
      </c>
      <c r="F387" s="736">
        <f t="shared" si="70"/>
        <v>45.335353190400006</v>
      </c>
    </row>
    <row r="388" spans="1:12">
      <c r="C388" s="737"/>
      <c r="D388" s="736"/>
      <c r="E388" s="736"/>
      <c r="F388" s="736"/>
    </row>
    <row r="389" spans="1:12">
      <c r="A389" s="716" t="s">
        <v>1556</v>
      </c>
      <c r="C389" s="737"/>
      <c r="D389" s="738" t="s">
        <v>1554</v>
      </c>
      <c r="E389" s="736"/>
      <c r="F389" s="736"/>
    </row>
    <row r="390" spans="1:12">
      <c r="A390" s="719" t="s">
        <v>1416</v>
      </c>
      <c r="B390" s="652" t="s">
        <v>1414</v>
      </c>
      <c r="C390" s="652" t="s">
        <v>1544</v>
      </c>
      <c r="D390" s="652" t="s">
        <v>1545</v>
      </c>
      <c r="E390" s="652" t="s">
        <v>1547</v>
      </c>
      <c r="F390" s="652" t="s">
        <v>1548</v>
      </c>
      <c r="G390" s="652" t="s">
        <v>1549</v>
      </c>
      <c r="H390" s="652" t="s">
        <v>1550</v>
      </c>
      <c r="I390" s="652" t="s">
        <v>1551</v>
      </c>
      <c r="J390" s="652" t="s">
        <v>1552</v>
      </c>
      <c r="K390" s="652" t="s">
        <v>1553</v>
      </c>
      <c r="L390" s="652" t="s">
        <v>1546</v>
      </c>
    </row>
    <row r="391" spans="1:12">
      <c r="A391" s="171">
        <v>1</v>
      </c>
      <c r="B391" s="171">
        <f>B373</f>
        <v>2020</v>
      </c>
      <c r="C391" s="735">
        <v>0</v>
      </c>
      <c r="D391" s="736">
        <f>MRB_die_bestel_klein_part</f>
        <v>83.333333333333329</v>
      </c>
      <c r="E391" s="736">
        <f>MRB_benz_bestel_klein_part</f>
        <v>30.333333333333332</v>
      </c>
      <c r="F391" s="736">
        <f>MRB_CNG_bestel_klein_part</f>
        <v>50.333333333333336</v>
      </c>
      <c r="G391" s="736">
        <f>MRB_die_bestel_middel_part</f>
        <v>127.66666666666667</v>
      </c>
      <c r="H391" s="739">
        <v>0</v>
      </c>
      <c r="I391" s="739">
        <v>0</v>
      </c>
      <c r="J391" s="736">
        <f>MRB_die_bestel_groot_part</f>
        <v>136.66666666666666</v>
      </c>
      <c r="K391" s="739">
        <v>0</v>
      </c>
      <c r="L391" s="736">
        <f>MRB_CNG_bestel_groot_part</f>
        <v>107.33333333333333</v>
      </c>
    </row>
    <row r="392" spans="1:12">
      <c r="A392" s="171">
        <v>2</v>
      </c>
      <c r="B392" s="171">
        <f t="shared" ref="B392:B405" si="72">B374</f>
        <v>2021</v>
      </c>
      <c r="C392" s="735">
        <v>0</v>
      </c>
      <c r="D392" s="736">
        <f>D391*(C392+100%)</f>
        <v>83.333333333333329</v>
      </c>
      <c r="E392" s="736">
        <f>E391*(C392+100%)</f>
        <v>30.333333333333332</v>
      </c>
      <c r="F392" s="736">
        <f>F391*(C392+100%)</f>
        <v>50.333333333333336</v>
      </c>
      <c r="G392" s="736">
        <f>G391*(C392+100%)</f>
        <v>127.66666666666667</v>
      </c>
      <c r="H392" s="739">
        <v>0</v>
      </c>
      <c r="I392" s="739">
        <v>0</v>
      </c>
      <c r="J392" s="736">
        <f>J391*(C392+100%)</f>
        <v>136.66666666666666</v>
      </c>
      <c r="K392" s="739">
        <v>0</v>
      </c>
      <c r="L392" s="736">
        <f>L391*(C392+100%)</f>
        <v>107.33333333333333</v>
      </c>
    </row>
    <row r="393" spans="1:12">
      <c r="A393" s="171">
        <v>3</v>
      </c>
      <c r="B393" s="171">
        <f t="shared" si="72"/>
        <v>2022</v>
      </c>
      <c r="C393" s="735">
        <v>0</v>
      </c>
      <c r="D393" s="736">
        <f t="shared" ref="D393:D405" si="73">D392*(C393+100%)</f>
        <v>83.333333333333329</v>
      </c>
      <c r="E393" s="736">
        <f t="shared" ref="E393:E405" si="74">E392*(C393+100%)</f>
        <v>30.333333333333332</v>
      </c>
      <c r="F393" s="736">
        <f t="shared" ref="F393:F405" si="75">F392*(C393+100%)</f>
        <v>50.333333333333336</v>
      </c>
      <c r="G393" s="736">
        <f t="shared" ref="G393:G405" si="76">G392*(C393+100%)</f>
        <v>127.66666666666667</v>
      </c>
      <c r="H393" s="739">
        <v>0</v>
      </c>
      <c r="I393" s="739">
        <v>0</v>
      </c>
      <c r="J393" s="736">
        <f t="shared" ref="J393:J405" si="77">J392*(C393+100%)</f>
        <v>136.66666666666666</v>
      </c>
      <c r="K393" s="739">
        <v>0</v>
      </c>
      <c r="L393" s="736">
        <f t="shared" ref="L393:L405" si="78">L392*(C393+100%)</f>
        <v>107.33333333333333</v>
      </c>
    </row>
    <row r="394" spans="1:12">
      <c r="A394" s="171">
        <v>4</v>
      </c>
      <c r="B394" s="171">
        <f t="shared" si="72"/>
        <v>2023</v>
      </c>
      <c r="C394" s="735">
        <v>0</v>
      </c>
      <c r="D394" s="736">
        <f t="shared" si="73"/>
        <v>83.333333333333329</v>
      </c>
      <c r="E394" s="736">
        <f t="shared" si="74"/>
        <v>30.333333333333332</v>
      </c>
      <c r="F394" s="736">
        <f t="shared" si="75"/>
        <v>50.333333333333336</v>
      </c>
      <c r="G394" s="736">
        <f t="shared" si="76"/>
        <v>127.66666666666667</v>
      </c>
      <c r="H394" s="739">
        <v>0</v>
      </c>
      <c r="I394" s="739">
        <v>0</v>
      </c>
      <c r="J394" s="736">
        <f t="shared" si="77"/>
        <v>136.66666666666666</v>
      </c>
      <c r="K394" s="739">
        <v>0</v>
      </c>
      <c r="L394" s="736">
        <f t="shared" si="78"/>
        <v>107.33333333333333</v>
      </c>
    </row>
    <row r="395" spans="1:12">
      <c r="A395" s="171">
        <v>5</v>
      </c>
      <c r="B395" s="171">
        <f t="shared" si="72"/>
        <v>2024</v>
      </c>
      <c r="C395" s="735">
        <v>0</v>
      </c>
      <c r="D395" s="736">
        <f t="shared" si="73"/>
        <v>83.333333333333329</v>
      </c>
      <c r="E395" s="736">
        <f t="shared" si="74"/>
        <v>30.333333333333332</v>
      </c>
      <c r="F395" s="736">
        <f t="shared" si="75"/>
        <v>50.333333333333336</v>
      </c>
      <c r="G395" s="736">
        <f t="shared" si="76"/>
        <v>127.66666666666667</v>
      </c>
      <c r="H395" s="739">
        <v>0</v>
      </c>
      <c r="I395" s="739">
        <v>0</v>
      </c>
      <c r="J395" s="736">
        <f t="shared" si="77"/>
        <v>136.66666666666666</v>
      </c>
      <c r="K395" s="739">
        <v>0</v>
      </c>
      <c r="L395" s="736">
        <f t="shared" si="78"/>
        <v>107.33333333333333</v>
      </c>
    </row>
    <row r="396" spans="1:12">
      <c r="A396" s="171">
        <v>6</v>
      </c>
      <c r="B396" s="171">
        <f t="shared" si="72"/>
        <v>2025</v>
      </c>
      <c r="C396" s="735">
        <v>0</v>
      </c>
      <c r="D396" s="736">
        <f t="shared" si="73"/>
        <v>83.333333333333329</v>
      </c>
      <c r="E396" s="736">
        <f t="shared" si="74"/>
        <v>30.333333333333332</v>
      </c>
      <c r="F396" s="736">
        <f t="shared" si="75"/>
        <v>50.333333333333336</v>
      </c>
      <c r="G396" s="736">
        <f t="shared" si="76"/>
        <v>127.66666666666667</v>
      </c>
      <c r="H396" s="739">
        <v>0</v>
      </c>
      <c r="I396" s="739">
        <v>0</v>
      </c>
      <c r="J396" s="736">
        <f t="shared" si="77"/>
        <v>136.66666666666666</v>
      </c>
      <c r="K396" s="739">
        <v>0</v>
      </c>
      <c r="L396" s="736">
        <f t="shared" si="78"/>
        <v>107.33333333333333</v>
      </c>
    </row>
    <row r="397" spans="1:12">
      <c r="A397" s="171">
        <v>7</v>
      </c>
      <c r="B397" s="171">
        <f t="shared" si="72"/>
        <v>2026</v>
      </c>
      <c r="C397" s="735">
        <v>0</v>
      </c>
      <c r="D397" s="736">
        <f t="shared" si="73"/>
        <v>83.333333333333329</v>
      </c>
      <c r="E397" s="736">
        <f t="shared" si="74"/>
        <v>30.333333333333332</v>
      </c>
      <c r="F397" s="736">
        <f t="shared" si="75"/>
        <v>50.333333333333336</v>
      </c>
      <c r="G397" s="736">
        <f t="shared" si="76"/>
        <v>127.66666666666667</v>
      </c>
      <c r="H397" s="739">
        <v>0</v>
      </c>
      <c r="I397" s="739">
        <v>0</v>
      </c>
      <c r="J397" s="736">
        <f t="shared" si="77"/>
        <v>136.66666666666666</v>
      </c>
      <c r="K397" s="739">
        <v>0</v>
      </c>
      <c r="L397" s="736">
        <f t="shared" si="78"/>
        <v>107.33333333333333</v>
      </c>
    </row>
    <row r="398" spans="1:12">
      <c r="A398" s="171">
        <v>8</v>
      </c>
      <c r="B398" s="171">
        <f t="shared" si="72"/>
        <v>2027</v>
      </c>
      <c r="C398" s="735">
        <v>0</v>
      </c>
      <c r="D398" s="736">
        <f t="shared" si="73"/>
        <v>83.333333333333329</v>
      </c>
      <c r="E398" s="736">
        <f t="shared" si="74"/>
        <v>30.333333333333332</v>
      </c>
      <c r="F398" s="736">
        <f t="shared" si="75"/>
        <v>50.333333333333336</v>
      </c>
      <c r="G398" s="736">
        <f t="shared" si="76"/>
        <v>127.66666666666667</v>
      </c>
      <c r="H398" s="739">
        <v>0</v>
      </c>
      <c r="I398" s="739">
        <v>0</v>
      </c>
      <c r="J398" s="736">
        <f t="shared" si="77"/>
        <v>136.66666666666666</v>
      </c>
      <c r="K398" s="739">
        <v>0</v>
      </c>
      <c r="L398" s="736">
        <f t="shared" si="78"/>
        <v>107.33333333333333</v>
      </c>
    </row>
    <row r="399" spans="1:12">
      <c r="A399" s="171">
        <v>9</v>
      </c>
      <c r="B399" s="171">
        <f t="shared" si="72"/>
        <v>2028</v>
      </c>
      <c r="C399" s="735">
        <v>0</v>
      </c>
      <c r="D399" s="736">
        <f t="shared" si="73"/>
        <v>83.333333333333329</v>
      </c>
      <c r="E399" s="736">
        <f t="shared" si="74"/>
        <v>30.333333333333332</v>
      </c>
      <c r="F399" s="736">
        <f t="shared" si="75"/>
        <v>50.333333333333336</v>
      </c>
      <c r="G399" s="736">
        <f t="shared" si="76"/>
        <v>127.66666666666667</v>
      </c>
      <c r="H399" s="739">
        <v>0</v>
      </c>
      <c r="I399" s="739">
        <v>0</v>
      </c>
      <c r="J399" s="736">
        <f t="shared" si="77"/>
        <v>136.66666666666666</v>
      </c>
      <c r="K399" s="739">
        <v>0</v>
      </c>
      <c r="L399" s="736">
        <f t="shared" si="78"/>
        <v>107.33333333333333</v>
      </c>
    </row>
    <row r="400" spans="1:12">
      <c r="A400" s="171">
        <v>10</v>
      </c>
      <c r="B400" s="171">
        <f t="shared" si="72"/>
        <v>2029</v>
      </c>
      <c r="C400" s="735">
        <v>0</v>
      </c>
      <c r="D400" s="736">
        <f t="shared" si="73"/>
        <v>83.333333333333329</v>
      </c>
      <c r="E400" s="736">
        <f t="shared" si="74"/>
        <v>30.333333333333332</v>
      </c>
      <c r="F400" s="736">
        <f t="shared" si="75"/>
        <v>50.333333333333336</v>
      </c>
      <c r="G400" s="736">
        <f t="shared" si="76"/>
        <v>127.66666666666667</v>
      </c>
      <c r="H400" s="739">
        <v>0</v>
      </c>
      <c r="I400" s="739">
        <v>0</v>
      </c>
      <c r="J400" s="736">
        <f t="shared" si="77"/>
        <v>136.66666666666666</v>
      </c>
      <c r="K400" s="739">
        <v>0</v>
      </c>
      <c r="L400" s="736">
        <f t="shared" si="78"/>
        <v>107.33333333333333</v>
      </c>
    </row>
    <row r="401" spans="1:12">
      <c r="A401" s="171">
        <v>11</v>
      </c>
      <c r="B401" s="171">
        <f t="shared" si="72"/>
        <v>2030</v>
      </c>
      <c r="C401" s="735">
        <v>0</v>
      </c>
      <c r="D401" s="736">
        <f t="shared" si="73"/>
        <v>83.333333333333329</v>
      </c>
      <c r="E401" s="736">
        <f t="shared" si="74"/>
        <v>30.333333333333332</v>
      </c>
      <c r="F401" s="736">
        <f t="shared" si="75"/>
        <v>50.333333333333336</v>
      </c>
      <c r="G401" s="736">
        <f t="shared" si="76"/>
        <v>127.66666666666667</v>
      </c>
      <c r="H401" s="739">
        <v>0</v>
      </c>
      <c r="I401" s="739">
        <v>0</v>
      </c>
      <c r="J401" s="736">
        <f t="shared" si="77"/>
        <v>136.66666666666666</v>
      </c>
      <c r="K401" s="739">
        <v>0</v>
      </c>
      <c r="L401" s="736">
        <f t="shared" si="78"/>
        <v>107.33333333333333</v>
      </c>
    </row>
    <row r="402" spans="1:12">
      <c r="A402" s="171">
        <v>12</v>
      </c>
      <c r="B402" s="171">
        <f t="shared" si="72"/>
        <v>2031</v>
      </c>
      <c r="C402" s="735">
        <v>0</v>
      </c>
      <c r="D402" s="736">
        <f t="shared" si="73"/>
        <v>83.333333333333329</v>
      </c>
      <c r="E402" s="736">
        <f t="shared" si="74"/>
        <v>30.333333333333332</v>
      </c>
      <c r="F402" s="736">
        <f t="shared" si="75"/>
        <v>50.333333333333336</v>
      </c>
      <c r="G402" s="736">
        <f t="shared" si="76"/>
        <v>127.66666666666667</v>
      </c>
      <c r="H402" s="739">
        <v>0</v>
      </c>
      <c r="I402" s="739">
        <v>0</v>
      </c>
      <c r="J402" s="736">
        <f t="shared" si="77"/>
        <v>136.66666666666666</v>
      </c>
      <c r="K402" s="739">
        <v>0</v>
      </c>
      <c r="L402" s="736">
        <f t="shared" si="78"/>
        <v>107.33333333333333</v>
      </c>
    </row>
    <row r="403" spans="1:12">
      <c r="A403" s="171">
        <v>13</v>
      </c>
      <c r="B403" s="171">
        <f t="shared" si="72"/>
        <v>2032</v>
      </c>
      <c r="C403" s="735">
        <v>0</v>
      </c>
      <c r="D403" s="736">
        <f t="shared" si="73"/>
        <v>83.333333333333329</v>
      </c>
      <c r="E403" s="736">
        <f t="shared" si="74"/>
        <v>30.333333333333332</v>
      </c>
      <c r="F403" s="736">
        <f t="shared" si="75"/>
        <v>50.333333333333336</v>
      </c>
      <c r="G403" s="736">
        <f t="shared" si="76"/>
        <v>127.66666666666667</v>
      </c>
      <c r="H403" s="739">
        <v>0</v>
      </c>
      <c r="I403" s="739">
        <v>0</v>
      </c>
      <c r="J403" s="736">
        <f t="shared" si="77"/>
        <v>136.66666666666666</v>
      </c>
      <c r="K403" s="739">
        <v>0</v>
      </c>
      <c r="L403" s="736">
        <f t="shared" si="78"/>
        <v>107.33333333333333</v>
      </c>
    </row>
    <row r="404" spans="1:12">
      <c r="A404" s="171">
        <v>14</v>
      </c>
      <c r="B404" s="171">
        <f t="shared" si="72"/>
        <v>2033</v>
      </c>
      <c r="C404" s="735">
        <v>0</v>
      </c>
      <c r="D404" s="736">
        <f t="shared" si="73"/>
        <v>83.333333333333329</v>
      </c>
      <c r="E404" s="736">
        <f t="shared" si="74"/>
        <v>30.333333333333332</v>
      </c>
      <c r="F404" s="736">
        <f t="shared" si="75"/>
        <v>50.333333333333336</v>
      </c>
      <c r="G404" s="736">
        <f t="shared" si="76"/>
        <v>127.66666666666667</v>
      </c>
      <c r="H404" s="739">
        <v>0</v>
      </c>
      <c r="I404" s="739">
        <v>0</v>
      </c>
      <c r="J404" s="736">
        <f t="shared" si="77"/>
        <v>136.66666666666666</v>
      </c>
      <c r="K404" s="739">
        <v>0</v>
      </c>
      <c r="L404" s="736">
        <f t="shared" si="78"/>
        <v>107.33333333333333</v>
      </c>
    </row>
    <row r="405" spans="1:12">
      <c r="A405" s="171">
        <v>15</v>
      </c>
      <c r="B405" s="171">
        <f t="shared" si="72"/>
        <v>2034</v>
      </c>
      <c r="C405" s="735">
        <v>0</v>
      </c>
      <c r="D405" s="736">
        <f t="shared" si="73"/>
        <v>83.333333333333329</v>
      </c>
      <c r="E405" s="736">
        <f t="shared" si="74"/>
        <v>30.333333333333332</v>
      </c>
      <c r="F405" s="736">
        <f t="shared" si="75"/>
        <v>50.333333333333336</v>
      </c>
      <c r="G405" s="736">
        <f t="shared" si="76"/>
        <v>127.66666666666667</v>
      </c>
      <c r="H405" s="739">
        <v>0</v>
      </c>
      <c r="I405" s="739">
        <v>0</v>
      </c>
      <c r="J405" s="736">
        <f t="shared" si="77"/>
        <v>136.66666666666666</v>
      </c>
      <c r="K405" s="739">
        <v>0</v>
      </c>
      <c r="L405" s="736">
        <f t="shared" si="78"/>
        <v>107.33333333333333</v>
      </c>
    </row>
    <row r="406" spans="1:12">
      <c r="C406" s="735"/>
      <c r="D406" s="736"/>
      <c r="E406" s="736"/>
      <c r="F406" s="736"/>
      <c r="G406" s="736"/>
      <c r="H406" s="736"/>
      <c r="I406" s="736"/>
      <c r="J406" s="736"/>
      <c r="K406" s="736"/>
      <c r="L406" s="736"/>
    </row>
    <row r="407" spans="1:12">
      <c r="A407" s="716" t="s">
        <v>1559</v>
      </c>
      <c r="C407" s="735"/>
      <c r="D407" s="736"/>
      <c r="E407" s="736"/>
      <c r="F407" s="736"/>
      <c r="G407" s="736"/>
      <c r="H407" s="736"/>
      <c r="I407" s="736"/>
      <c r="J407" s="736"/>
      <c r="K407" s="736"/>
      <c r="L407" s="736"/>
    </row>
    <row r="408" spans="1:12">
      <c r="A408" s="716"/>
      <c r="C408" s="737"/>
      <c r="D408" s="738" t="s">
        <v>1554</v>
      </c>
      <c r="E408" s="736"/>
      <c r="F408" s="736"/>
    </row>
    <row r="409" spans="1:12">
      <c r="A409" s="719"/>
      <c r="B409" s="716" t="s">
        <v>1414</v>
      </c>
      <c r="C409" s="652"/>
      <c r="D409" s="652" t="s">
        <v>1545</v>
      </c>
      <c r="E409" s="652" t="s">
        <v>1547</v>
      </c>
      <c r="F409" s="652" t="s">
        <v>1548</v>
      </c>
      <c r="G409" s="652" t="s">
        <v>1549</v>
      </c>
      <c r="H409" s="652" t="s">
        <v>1550</v>
      </c>
      <c r="I409" s="652" t="s">
        <v>1551</v>
      </c>
      <c r="J409" s="652" t="s">
        <v>1552</v>
      </c>
      <c r="K409" s="652" t="s">
        <v>1553</v>
      </c>
      <c r="L409" s="652" t="s">
        <v>1546</v>
      </c>
    </row>
    <row r="410" spans="1:12">
      <c r="A410" s="171">
        <v>1</v>
      </c>
      <c r="B410" s="171">
        <f>B373</f>
        <v>2020</v>
      </c>
      <c r="C410" s="735"/>
      <c r="D410" s="736">
        <f>IF('2. Invoer parameters'!$C$13="ja",$D373,D391)</f>
        <v>83.333333333333329</v>
      </c>
      <c r="E410" s="736">
        <f>IF('2. Invoer parameters'!$C$13="ja",$D373,E391)</f>
        <v>30.333333333333332</v>
      </c>
      <c r="F410" s="736">
        <f>IF('2. Invoer parameters'!$C$13="ja",$D373,F391)</f>
        <v>50.333333333333336</v>
      </c>
      <c r="G410" s="736">
        <f>IF('2. Invoer parameters'!$C$13="ja",$E373,G391)</f>
        <v>127.66666666666667</v>
      </c>
      <c r="H410" s="739">
        <v>0</v>
      </c>
      <c r="I410" s="739">
        <v>0</v>
      </c>
      <c r="J410" s="736">
        <f>IF('2. Invoer parameters'!$C$13="ja",$F373,J391)</f>
        <v>136.66666666666666</v>
      </c>
      <c r="K410" s="739">
        <v>0</v>
      </c>
      <c r="L410" s="736">
        <f>IF('2. Invoer parameters'!$C$13="ja",$F373,L391)</f>
        <v>107.33333333333333</v>
      </c>
    </row>
    <row r="411" spans="1:12">
      <c r="A411" s="171">
        <v>2</v>
      </c>
      <c r="B411" s="171">
        <f t="shared" ref="B411:B424" si="79">B374</f>
        <v>2021</v>
      </c>
      <c r="C411" s="735"/>
      <c r="D411" s="736">
        <f>IF('2. Invoer parameters'!$C$13="ja",$D374,D392)</f>
        <v>83.333333333333329</v>
      </c>
      <c r="E411" s="736">
        <f>IF('2. Invoer parameters'!$C$13="ja",$D374,E392)</f>
        <v>30.333333333333332</v>
      </c>
      <c r="F411" s="736">
        <f>IF('2. Invoer parameters'!$C$13="ja",$D374,F392)</f>
        <v>50.333333333333336</v>
      </c>
      <c r="G411" s="736">
        <f>IF('2. Invoer parameters'!$C$13="ja",$E374,G392)</f>
        <v>127.66666666666667</v>
      </c>
      <c r="H411" s="739">
        <v>0</v>
      </c>
      <c r="I411" s="739">
        <v>0</v>
      </c>
      <c r="J411" s="736">
        <f>IF('2. Invoer parameters'!$C$13="ja",$F374,J392)</f>
        <v>136.66666666666666</v>
      </c>
      <c r="K411" s="739">
        <v>0</v>
      </c>
      <c r="L411" s="736">
        <f>IF('2. Invoer parameters'!$C$13="ja",$F374,L392)</f>
        <v>107.33333333333333</v>
      </c>
    </row>
    <row r="412" spans="1:12">
      <c r="A412" s="171">
        <v>3</v>
      </c>
      <c r="B412" s="171">
        <f t="shared" si="79"/>
        <v>2022</v>
      </c>
      <c r="C412" s="735"/>
      <c r="D412" s="736">
        <f>IF('2. Invoer parameters'!$C$13="ja",$D375,D393)</f>
        <v>83.333333333333329</v>
      </c>
      <c r="E412" s="736">
        <f>IF('2. Invoer parameters'!$C$13="ja",$D375,E393)</f>
        <v>30.333333333333332</v>
      </c>
      <c r="F412" s="736">
        <f>IF('2. Invoer parameters'!$C$13="ja",$D375,F393)</f>
        <v>50.333333333333336</v>
      </c>
      <c r="G412" s="736">
        <f>IF('2. Invoer parameters'!$C$13="ja",$E375,G393)</f>
        <v>127.66666666666667</v>
      </c>
      <c r="H412" s="739">
        <v>0</v>
      </c>
      <c r="I412" s="739">
        <v>0</v>
      </c>
      <c r="J412" s="736">
        <f>IF('2. Invoer parameters'!$C$13="ja",$F375,J393)</f>
        <v>136.66666666666666</v>
      </c>
      <c r="K412" s="739">
        <v>0</v>
      </c>
      <c r="L412" s="736">
        <f>IF('2. Invoer parameters'!$C$13="ja",$F375,L393)</f>
        <v>107.33333333333333</v>
      </c>
    </row>
    <row r="413" spans="1:12">
      <c r="A413" s="171">
        <v>4</v>
      </c>
      <c r="B413" s="171">
        <f t="shared" si="79"/>
        <v>2023</v>
      </c>
      <c r="C413" s="735"/>
      <c r="D413" s="736">
        <f>IF('2. Invoer parameters'!$C$13="ja",$D376,D394)</f>
        <v>83.333333333333329</v>
      </c>
      <c r="E413" s="736">
        <f>IF('2. Invoer parameters'!$C$13="ja",$D376,E394)</f>
        <v>30.333333333333332</v>
      </c>
      <c r="F413" s="736">
        <f>IF('2. Invoer parameters'!$C$13="ja",$D376,F394)</f>
        <v>50.333333333333336</v>
      </c>
      <c r="G413" s="736">
        <f>IF('2. Invoer parameters'!$C$13="ja",$E376,G394)</f>
        <v>127.66666666666667</v>
      </c>
      <c r="H413" s="739">
        <v>0</v>
      </c>
      <c r="I413" s="739">
        <v>0</v>
      </c>
      <c r="J413" s="736">
        <f>IF('2. Invoer parameters'!$C$13="ja",$F376,J394)</f>
        <v>136.66666666666666</v>
      </c>
      <c r="K413" s="739">
        <v>0</v>
      </c>
      <c r="L413" s="736">
        <f>IF('2. Invoer parameters'!$C$13="ja",$F376,L394)</f>
        <v>107.33333333333333</v>
      </c>
    </row>
    <row r="414" spans="1:12">
      <c r="A414" s="171">
        <v>5</v>
      </c>
      <c r="B414" s="171">
        <f t="shared" si="79"/>
        <v>2024</v>
      </c>
      <c r="C414" s="735"/>
      <c r="D414" s="736">
        <f>IF('2. Invoer parameters'!$C$13="ja",$D377,D395)</f>
        <v>83.333333333333329</v>
      </c>
      <c r="E414" s="736">
        <f>IF('2. Invoer parameters'!$C$13="ja",$D377,E395)</f>
        <v>30.333333333333332</v>
      </c>
      <c r="F414" s="736">
        <f>IF('2. Invoer parameters'!$C$13="ja",$D377,F395)</f>
        <v>50.333333333333336</v>
      </c>
      <c r="G414" s="736">
        <f>IF('2. Invoer parameters'!$C$13="ja",$E377,G395)</f>
        <v>127.66666666666667</v>
      </c>
      <c r="H414" s="739">
        <v>0</v>
      </c>
      <c r="I414" s="739">
        <v>0</v>
      </c>
      <c r="J414" s="736">
        <f>IF('2. Invoer parameters'!$C$13="ja",$F377,J395)</f>
        <v>136.66666666666666</v>
      </c>
      <c r="K414" s="739">
        <v>0</v>
      </c>
      <c r="L414" s="736">
        <f>IF('2. Invoer parameters'!$C$13="ja",$F377,L395)</f>
        <v>107.33333333333333</v>
      </c>
    </row>
    <row r="415" spans="1:12">
      <c r="A415" s="171">
        <v>6</v>
      </c>
      <c r="B415" s="171">
        <f t="shared" si="79"/>
        <v>2025</v>
      </c>
      <c r="C415" s="735"/>
      <c r="D415" s="736">
        <f>IF('2. Invoer parameters'!$C$13="ja",$D378,D396)</f>
        <v>83.333333333333329</v>
      </c>
      <c r="E415" s="736">
        <f>IF('2. Invoer parameters'!$C$13="ja",$D378,E396)</f>
        <v>30.333333333333332</v>
      </c>
      <c r="F415" s="736">
        <f>IF('2. Invoer parameters'!$C$13="ja",$D378,F396)</f>
        <v>50.333333333333336</v>
      </c>
      <c r="G415" s="736">
        <f>IF('2. Invoer parameters'!$C$13="ja",$E378,G396)</f>
        <v>127.66666666666667</v>
      </c>
      <c r="H415" s="739">
        <v>0</v>
      </c>
      <c r="I415" s="739">
        <v>0</v>
      </c>
      <c r="J415" s="736">
        <f>IF('2. Invoer parameters'!$C$13="ja",$F378,J396)</f>
        <v>136.66666666666666</v>
      </c>
      <c r="K415" s="739">
        <v>0</v>
      </c>
      <c r="L415" s="736">
        <f>IF('2. Invoer parameters'!$C$13="ja",$F378,L396)</f>
        <v>107.33333333333333</v>
      </c>
    </row>
    <row r="416" spans="1:12">
      <c r="A416" s="171">
        <v>7</v>
      </c>
      <c r="B416" s="171">
        <f t="shared" si="79"/>
        <v>2026</v>
      </c>
      <c r="C416" s="735"/>
      <c r="D416" s="736">
        <f>IF('2. Invoer parameters'!$C$13="ja",$D379,D397)</f>
        <v>83.333333333333329</v>
      </c>
      <c r="E416" s="736">
        <f>IF('2. Invoer parameters'!$C$13="ja",$D379,E397)</f>
        <v>30.333333333333332</v>
      </c>
      <c r="F416" s="736">
        <f>IF('2. Invoer parameters'!$C$13="ja",$D379,F397)</f>
        <v>50.333333333333336</v>
      </c>
      <c r="G416" s="736">
        <f>IF('2. Invoer parameters'!$C$13="ja",$E379,G397)</f>
        <v>127.66666666666667</v>
      </c>
      <c r="H416" s="739">
        <v>0</v>
      </c>
      <c r="I416" s="739">
        <v>0</v>
      </c>
      <c r="J416" s="736">
        <f>IF('2. Invoer parameters'!$C$13="ja",$F379,J397)</f>
        <v>136.66666666666666</v>
      </c>
      <c r="K416" s="739">
        <v>0</v>
      </c>
      <c r="L416" s="736">
        <f>IF('2. Invoer parameters'!$C$13="ja",$F379,L397)</f>
        <v>107.33333333333333</v>
      </c>
    </row>
    <row r="417" spans="1:12">
      <c r="A417" s="171">
        <v>8</v>
      </c>
      <c r="B417" s="171">
        <f t="shared" si="79"/>
        <v>2027</v>
      </c>
      <c r="C417" s="735"/>
      <c r="D417" s="736">
        <f>IF('2. Invoer parameters'!$C$13="ja",$D380,D398)</f>
        <v>83.333333333333329</v>
      </c>
      <c r="E417" s="736">
        <f>IF('2. Invoer parameters'!$C$13="ja",$D380,E398)</f>
        <v>30.333333333333332</v>
      </c>
      <c r="F417" s="736">
        <f>IF('2. Invoer parameters'!$C$13="ja",$D380,F398)</f>
        <v>50.333333333333336</v>
      </c>
      <c r="G417" s="736">
        <f>IF('2. Invoer parameters'!$C$13="ja",$E380,G398)</f>
        <v>127.66666666666667</v>
      </c>
      <c r="H417" s="739">
        <v>0</v>
      </c>
      <c r="I417" s="739">
        <v>0</v>
      </c>
      <c r="J417" s="736">
        <f>IF('2. Invoer parameters'!$C$13="ja",$F380,J398)</f>
        <v>136.66666666666666</v>
      </c>
      <c r="K417" s="739">
        <v>0</v>
      </c>
      <c r="L417" s="736">
        <f>IF('2. Invoer parameters'!$C$13="ja",$F380,L398)</f>
        <v>107.33333333333333</v>
      </c>
    </row>
    <row r="418" spans="1:12">
      <c r="A418" s="171">
        <v>9</v>
      </c>
      <c r="B418" s="171">
        <f t="shared" si="79"/>
        <v>2028</v>
      </c>
      <c r="C418" s="735"/>
      <c r="D418" s="736">
        <f>IF('2. Invoer parameters'!$C$13="ja",$D381,D399)</f>
        <v>83.333333333333329</v>
      </c>
      <c r="E418" s="736">
        <f>IF('2. Invoer parameters'!$C$13="ja",$D381,E399)</f>
        <v>30.333333333333332</v>
      </c>
      <c r="F418" s="736">
        <f>IF('2. Invoer parameters'!$C$13="ja",$D381,F399)</f>
        <v>50.333333333333336</v>
      </c>
      <c r="G418" s="736">
        <f>IF('2. Invoer parameters'!$C$13="ja",$E381,G399)</f>
        <v>127.66666666666667</v>
      </c>
      <c r="H418" s="739">
        <v>0</v>
      </c>
      <c r="I418" s="739">
        <v>0</v>
      </c>
      <c r="J418" s="736">
        <f>IF('2. Invoer parameters'!$C$13="ja",$F381,J399)</f>
        <v>136.66666666666666</v>
      </c>
      <c r="K418" s="739">
        <v>0</v>
      </c>
      <c r="L418" s="736">
        <f>IF('2. Invoer parameters'!$C$13="ja",$F381,L399)</f>
        <v>107.33333333333333</v>
      </c>
    </row>
    <row r="419" spans="1:12">
      <c r="A419" s="171">
        <v>10</v>
      </c>
      <c r="B419" s="171">
        <f t="shared" si="79"/>
        <v>2029</v>
      </c>
      <c r="C419" s="735"/>
      <c r="D419" s="736">
        <f>IF('2. Invoer parameters'!$C$13="ja",$D382,D400)</f>
        <v>83.333333333333329</v>
      </c>
      <c r="E419" s="736">
        <f>IF('2. Invoer parameters'!$C$13="ja",$D382,E400)</f>
        <v>30.333333333333332</v>
      </c>
      <c r="F419" s="736">
        <f>IF('2. Invoer parameters'!$C$13="ja",$D382,F400)</f>
        <v>50.333333333333336</v>
      </c>
      <c r="G419" s="736">
        <f>IF('2. Invoer parameters'!$C$13="ja",$E382,G400)</f>
        <v>127.66666666666667</v>
      </c>
      <c r="H419" s="739">
        <v>0</v>
      </c>
      <c r="I419" s="739">
        <v>0</v>
      </c>
      <c r="J419" s="736">
        <f>IF('2. Invoer parameters'!$C$13="ja",$F382,J400)</f>
        <v>136.66666666666666</v>
      </c>
      <c r="K419" s="739">
        <v>0</v>
      </c>
      <c r="L419" s="736">
        <f>IF('2. Invoer parameters'!$C$13="ja",$F382,L400)</f>
        <v>107.33333333333333</v>
      </c>
    </row>
    <row r="420" spans="1:12">
      <c r="A420" s="171">
        <v>11</v>
      </c>
      <c r="B420" s="171">
        <f t="shared" si="79"/>
        <v>2030</v>
      </c>
      <c r="C420" s="735"/>
      <c r="D420" s="736">
        <f>IF('2. Invoer parameters'!$C$13="ja",$D383,D401)</f>
        <v>83.333333333333329</v>
      </c>
      <c r="E420" s="736">
        <f>IF('2. Invoer parameters'!$C$13="ja",$D383,E401)</f>
        <v>30.333333333333332</v>
      </c>
      <c r="F420" s="736">
        <f>IF('2. Invoer parameters'!$C$13="ja",$D383,F401)</f>
        <v>50.333333333333336</v>
      </c>
      <c r="G420" s="736">
        <f>IF('2. Invoer parameters'!$C$13="ja",$E383,G401)</f>
        <v>127.66666666666667</v>
      </c>
      <c r="H420" s="739">
        <v>0</v>
      </c>
      <c r="I420" s="739">
        <v>0</v>
      </c>
      <c r="J420" s="736">
        <f>IF('2. Invoer parameters'!$C$13="ja",$F383,J401)</f>
        <v>136.66666666666666</v>
      </c>
      <c r="K420" s="739">
        <v>0</v>
      </c>
      <c r="L420" s="736">
        <f>IF('2. Invoer parameters'!$C$13="ja",$F383,L401)</f>
        <v>107.33333333333333</v>
      </c>
    </row>
    <row r="421" spans="1:12">
      <c r="A421" s="171">
        <v>12</v>
      </c>
      <c r="B421" s="171">
        <f t="shared" si="79"/>
        <v>2031</v>
      </c>
      <c r="C421" s="735"/>
      <c r="D421" s="736">
        <f>IF('2. Invoer parameters'!$C$13="ja",$D384,D402)</f>
        <v>83.333333333333329</v>
      </c>
      <c r="E421" s="736">
        <f>IF('2. Invoer parameters'!$C$13="ja",$D384,E402)</f>
        <v>30.333333333333332</v>
      </c>
      <c r="F421" s="736">
        <f>IF('2. Invoer parameters'!$C$13="ja",$D384,F402)</f>
        <v>50.333333333333336</v>
      </c>
      <c r="G421" s="736">
        <f>IF('2. Invoer parameters'!$C$13="ja",$E384,G402)</f>
        <v>127.66666666666667</v>
      </c>
      <c r="H421" s="739">
        <v>0</v>
      </c>
      <c r="I421" s="739">
        <v>0</v>
      </c>
      <c r="J421" s="736">
        <f>IF('2. Invoer parameters'!$C$13="ja",$F384,J402)</f>
        <v>136.66666666666666</v>
      </c>
      <c r="K421" s="739">
        <v>0</v>
      </c>
      <c r="L421" s="736">
        <f>IF('2. Invoer parameters'!$C$13="ja",$F384,L402)</f>
        <v>107.33333333333333</v>
      </c>
    </row>
    <row r="422" spans="1:12">
      <c r="A422" s="171">
        <v>13</v>
      </c>
      <c r="B422" s="171">
        <f t="shared" si="79"/>
        <v>2032</v>
      </c>
      <c r="C422" s="735"/>
      <c r="D422" s="736">
        <f>IF('2. Invoer parameters'!$C$13="ja",$D385,D403)</f>
        <v>83.333333333333329</v>
      </c>
      <c r="E422" s="736">
        <f>IF('2. Invoer parameters'!$C$13="ja",$D385,E403)</f>
        <v>30.333333333333332</v>
      </c>
      <c r="F422" s="736">
        <f>IF('2. Invoer parameters'!$C$13="ja",$D385,F403)</f>
        <v>50.333333333333336</v>
      </c>
      <c r="G422" s="736">
        <f>IF('2. Invoer parameters'!$C$13="ja",$E385,G403)</f>
        <v>127.66666666666667</v>
      </c>
      <c r="H422" s="739">
        <v>0</v>
      </c>
      <c r="I422" s="739">
        <v>0</v>
      </c>
      <c r="J422" s="736">
        <f>IF('2. Invoer parameters'!$C$13="ja",$F385,J403)</f>
        <v>136.66666666666666</v>
      </c>
      <c r="K422" s="739">
        <v>0</v>
      </c>
      <c r="L422" s="736">
        <f>IF('2. Invoer parameters'!$C$13="ja",$F385,L403)</f>
        <v>107.33333333333333</v>
      </c>
    </row>
    <row r="423" spans="1:12">
      <c r="A423" s="171">
        <v>14</v>
      </c>
      <c r="B423" s="171">
        <f t="shared" si="79"/>
        <v>2033</v>
      </c>
      <c r="C423" s="735"/>
      <c r="D423" s="736">
        <f>IF('2. Invoer parameters'!$C$13="ja",$D386,D404)</f>
        <v>83.333333333333329</v>
      </c>
      <c r="E423" s="736">
        <f>IF('2. Invoer parameters'!$C$13="ja",$D386,E404)</f>
        <v>30.333333333333332</v>
      </c>
      <c r="F423" s="736">
        <f>IF('2. Invoer parameters'!$C$13="ja",$D386,F404)</f>
        <v>50.333333333333336</v>
      </c>
      <c r="G423" s="736">
        <f>IF('2. Invoer parameters'!$C$13="ja",$E386,G404)</f>
        <v>127.66666666666667</v>
      </c>
      <c r="H423" s="739">
        <v>0</v>
      </c>
      <c r="I423" s="739">
        <v>0</v>
      </c>
      <c r="J423" s="736">
        <f>IF('2. Invoer parameters'!$C$13="ja",$F386,J404)</f>
        <v>136.66666666666666</v>
      </c>
      <c r="K423" s="739">
        <v>0</v>
      </c>
      <c r="L423" s="736">
        <f>IF('2. Invoer parameters'!$C$13="ja",$F386,L404)</f>
        <v>107.33333333333333</v>
      </c>
    </row>
    <row r="424" spans="1:12">
      <c r="A424" s="171">
        <v>15</v>
      </c>
      <c r="B424" s="171">
        <f t="shared" si="79"/>
        <v>2034</v>
      </c>
      <c r="C424" s="735"/>
      <c r="D424" s="736">
        <f>IF('2. Invoer parameters'!$C$13="ja",$D387,D405)</f>
        <v>83.333333333333329</v>
      </c>
      <c r="E424" s="736">
        <f>IF('2. Invoer parameters'!$C$13="ja",$D387,E405)</f>
        <v>30.333333333333332</v>
      </c>
      <c r="F424" s="736">
        <f>IF('2. Invoer parameters'!$C$13="ja",$D387,F405)</f>
        <v>50.333333333333336</v>
      </c>
      <c r="G424" s="736">
        <f>IF('2. Invoer parameters'!$C$13="ja",$E387,G405)</f>
        <v>127.66666666666667</v>
      </c>
      <c r="H424" s="739">
        <v>0</v>
      </c>
      <c r="I424" s="739">
        <v>0</v>
      </c>
      <c r="J424" s="736">
        <f>IF('2. Invoer parameters'!$C$13="ja",$F387,J405)</f>
        <v>136.66666666666666</v>
      </c>
      <c r="K424" s="739">
        <v>0</v>
      </c>
      <c r="L424" s="736">
        <f>IF('2. Invoer parameters'!$C$13="ja",$F387,L405)</f>
        <v>107.33333333333333</v>
      </c>
    </row>
    <row r="425" spans="1:12">
      <c r="C425" s="735"/>
      <c r="D425" s="736"/>
      <c r="E425" s="736"/>
      <c r="F425" s="736"/>
      <c r="G425" s="736"/>
      <c r="H425" s="736"/>
      <c r="I425" s="736"/>
      <c r="J425" s="736"/>
      <c r="K425" s="736"/>
      <c r="L425" s="736"/>
    </row>
    <row r="426" spans="1:12">
      <c r="A426" s="716" t="s">
        <v>1560</v>
      </c>
      <c r="B426" s="716" t="s">
        <v>1420</v>
      </c>
      <c r="C426" s="740">
        <v>12</v>
      </c>
      <c r="D426" s="741" t="str">
        <f>D409</f>
        <v>_klein_D</v>
      </c>
      <c r="E426" s="741" t="str">
        <f t="shared" ref="E426:L426" si="80">E409</f>
        <v>_klein_B</v>
      </c>
      <c r="F426" s="741" t="str">
        <f t="shared" si="80"/>
        <v>_klein_CNG</v>
      </c>
      <c r="G426" s="741" t="str">
        <f t="shared" si="80"/>
        <v>_middel_D</v>
      </c>
      <c r="H426" s="741" t="str">
        <f t="shared" si="80"/>
        <v>_middel_B</v>
      </c>
      <c r="I426" s="741" t="str">
        <f t="shared" si="80"/>
        <v>_middel_CNG</v>
      </c>
      <c r="J426" s="741" t="str">
        <f t="shared" si="80"/>
        <v>_groot_D</v>
      </c>
      <c r="K426" s="741" t="str">
        <f t="shared" si="80"/>
        <v>_groot_B</v>
      </c>
      <c r="L426" s="741" t="str">
        <f t="shared" si="80"/>
        <v>_groot_CNG</v>
      </c>
    </row>
    <row r="427" spans="1:12">
      <c r="A427" s="171">
        <v>1</v>
      </c>
      <c r="B427" s="171">
        <f>B410</f>
        <v>2020</v>
      </c>
      <c r="C427" s="735"/>
      <c r="D427" s="736">
        <f>D410*$C$426</f>
        <v>1000</v>
      </c>
      <c r="E427" s="736">
        <f t="shared" ref="E427:L427" si="81">E410*$C$426</f>
        <v>364</v>
      </c>
      <c r="F427" s="736">
        <f t="shared" si="81"/>
        <v>604</v>
      </c>
      <c r="G427" s="736">
        <f t="shared" si="81"/>
        <v>1532</v>
      </c>
      <c r="H427" s="739">
        <f t="shared" si="81"/>
        <v>0</v>
      </c>
      <c r="I427" s="739">
        <f t="shared" si="81"/>
        <v>0</v>
      </c>
      <c r="J427" s="736">
        <f t="shared" si="81"/>
        <v>1640</v>
      </c>
      <c r="K427" s="739">
        <f t="shared" si="81"/>
        <v>0</v>
      </c>
      <c r="L427" s="736">
        <f t="shared" si="81"/>
        <v>1288</v>
      </c>
    </row>
    <row r="428" spans="1:12">
      <c r="A428" s="171">
        <v>2</v>
      </c>
      <c r="B428" s="171">
        <f t="shared" ref="B428:B441" si="82">B411</f>
        <v>2021</v>
      </c>
      <c r="C428" s="735"/>
      <c r="D428" s="736">
        <f t="shared" ref="D428:L441" si="83">D411*$C$426</f>
        <v>1000</v>
      </c>
      <c r="E428" s="736">
        <f t="shared" si="83"/>
        <v>364</v>
      </c>
      <c r="F428" s="736">
        <f t="shared" si="83"/>
        <v>604</v>
      </c>
      <c r="G428" s="736">
        <f t="shared" si="83"/>
        <v>1532</v>
      </c>
      <c r="H428" s="739">
        <f t="shared" si="83"/>
        <v>0</v>
      </c>
      <c r="I428" s="739">
        <f t="shared" si="83"/>
        <v>0</v>
      </c>
      <c r="J428" s="736">
        <f t="shared" si="83"/>
        <v>1640</v>
      </c>
      <c r="K428" s="739">
        <f t="shared" si="83"/>
        <v>0</v>
      </c>
      <c r="L428" s="736">
        <f t="shared" si="83"/>
        <v>1288</v>
      </c>
    </row>
    <row r="429" spans="1:12">
      <c r="A429" s="171">
        <v>3</v>
      </c>
      <c r="B429" s="171">
        <f t="shared" si="82"/>
        <v>2022</v>
      </c>
      <c r="C429" s="735"/>
      <c r="D429" s="736">
        <f t="shared" si="83"/>
        <v>1000</v>
      </c>
      <c r="E429" s="736">
        <f t="shared" si="83"/>
        <v>364</v>
      </c>
      <c r="F429" s="736">
        <f t="shared" si="83"/>
        <v>604</v>
      </c>
      <c r="G429" s="736">
        <f t="shared" si="83"/>
        <v>1532</v>
      </c>
      <c r="H429" s="739">
        <f t="shared" si="83"/>
        <v>0</v>
      </c>
      <c r="I429" s="739">
        <f t="shared" si="83"/>
        <v>0</v>
      </c>
      <c r="J429" s="736">
        <f t="shared" si="83"/>
        <v>1640</v>
      </c>
      <c r="K429" s="739">
        <f t="shared" si="83"/>
        <v>0</v>
      </c>
      <c r="L429" s="736">
        <f t="shared" si="83"/>
        <v>1288</v>
      </c>
    </row>
    <row r="430" spans="1:12">
      <c r="A430" s="171">
        <v>4</v>
      </c>
      <c r="B430" s="171">
        <f t="shared" si="82"/>
        <v>2023</v>
      </c>
      <c r="C430" s="735"/>
      <c r="D430" s="736">
        <f t="shared" si="83"/>
        <v>1000</v>
      </c>
      <c r="E430" s="736">
        <f t="shared" si="83"/>
        <v>364</v>
      </c>
      <c r="F430" s="736">
        <f t="shared" si="83"/>
        <v>604</v>
      </c>
      <c r="G430" s="736">
        <f t="shared" si="83"/>
        <v>1532</v>
      </c>
      <c r="H430" s="739">
        <f t="shared" si="83"/>
        <v>0</v>
      </c>
      <c r="I430" s="739">
        <f t="shared" si="83"/>
        <v>0</v>
      </c>
      <c r="J430" s="736">
        <f t="shared" si="83"/>
        <v>1640</v>
      </c>
      <c r="K430" s="739">
        <f t="shared" si="83"/>
        <v>0</v>
      </c>
      <c r="L430" s="736">
        <f t="shared" si="83"/>
        <v>1288</v>
      </c>
    </row>
    <row r="431" spans="1:12">
      <c r="A431" s="171">
        <v>5</v>
      </c>
      <c r="B431" s="171">
        <f t="shared" si="82"/>
        <v>2024</v>
      </c>
      <c r="C431" s="735"/>
      <c r="D431" s="736">
        <f t="shared" si="83"/>
        <v>1000</v>
      </c>
      <c r="E431" s="736">
        <f t="shared" si="83"/>
        <v>364</v>
      </c>
      <c r="F431" s="736">
        <f t="shared" si="83"/>
        <v>604</v>
      </c>
      <c r="G431" s="736">
        <f t="shared" si="83"/>
        <v>1532</v>
      </c>
      <c r="H431" s="739">
        <f t="shared" si="83"/>
        <v>0</v>
      </c>
      <c r="I431" s="739">
        <f t="shared" si="83"/>
        <v>0</v>
      </c>
      <c r="J431" s="736">
        <f t="shared" si="83"/>
        <v>1640</v>
      </c>
      <c r="K431" s="739">
        <f t="shared" si="83"/>
        <v>0</v>
      </c>
      <c r="L431" s="736">
        <f t="shared" si="83"/>
        <v>1288</v>
      </c>
    </row>
    <row r="432" spans="1:12">
      <c r="A432" s="171">
        <v>6</v>
      </c>
      <c r="B432" s="171">
        <f t="shared" si="82"/>
        <v>2025</v>
      </c>
      <c r="C432" s="735"/>
      <c r="D432" s="736">
        <f t="shared" si="83"/>
        <v>1000</v>
      </c>
      <c r="E432" s="736">
        <f t="shared" si="83"/>
        <v>364</v>
      </c>
      <c r="F432" s="736">
        <f t="shared" si="83"/>
        <v>604</v>
      </c>
      <c r="G432" s="736">
        <f t="shared" si="83"/>
        <v>1532</v>
      </c>
      <c r="H432" s="739">
        <f t="shared" si="83"/>
        <v>0</v>
      </c>
      <c r="I432" s="739">
        <f t="shared" si="83"/>
        <v>0</v>
      </c>
      <c r="J432" s="736">
        <f t="shared" si="83"/>
        <v>1640</v>
      </c>
      <c r="K432" s="739">
        <f t="shared" si="83"/>
        <v>0</v>
      </c>
      <c r="L432" s="736">
        <f t="shared" si="83"/>
        <v>1288</v>
      </c>
    </row>
    <row r="433" spans="1:12">
      <c r="A433" s="171">
        <v>7</v>
      </c>
      <c r="B433" s="171">
        <f t="shared" si="82"/>
        <v>2026</v>
      </c>
      <c r="C433" s="735"/>
      <c r="D433" s="736">
        <f t="shared" si="83"/>
        <v>1000</v>
      </c>
      <c r="E433" s="736">
        <f t="shared" si="83"/>
        <v>364</v>
      </c>
      <c r="F433" s="736">
        <f t="shared" si="83"/>
        <v>604</v>
      </c>
      <c r="G433" s="736">
        <f t="shared" si="83"/>
        <v>1532</v>
      </c>
      <c r="H433" s="739">
        <f t="shared" si="83"/>
        <v>0</v>
      </c>
      <c r="I433" s="739">
        <f t="shared" si="83"/>
        <v>0</v>
      </c>
      <c r="J433" s="736">
        <f t="shared" si="83"/>
        <v>1640</v>
      </c>
      <c r="K433" s="739">
        <f t="shared" si="83"/>
        <v>0</v>
      </c>
      <c r="L433" s="736">
        <f t="shared" si="83"/>
        <v>1288</v>
      </c>
    </row>
    <row r="434" spans="1:12">
      <c r="A434" s="171">
        <v>8</v>
      </c>
      <c r="B434" s="171">
        <f t="shared" si="82"/>
        <v>2027</v>
      </c>
      <c r="C434" s="735"/>
      <c r="D434" s="736">
        <f t="shared" si="83"/>
        <v>1000</v>
      </c>
      <c r="E434" s="736">
        <f t="shared" si="83"/>
        <v>364</v>
      </c>
      <c r="F434" s="736">
        <f t="shared" si="83"/>
        <v>604</v>
      </c>
      <c r="G434" s="736">
        <f t="shared" si="83"/>
        <v>1532</v>
      </c>
      <c r="H434" s="739">
        <f t="shared" si="83"/>
        <v>0</v>
      </c>
      <c r="I434" s="739">
        <f t="shared" si="83"/>
        <v>0</v>
      </c>
      <c r="J434" s="736">
        <f t="shared" si="83"/>
        <v>1640</v>
      </c>
      <c r="K434" s="739">
        <f t="shared" si="83"/>
        <v>0</v>
      </c>
      <c r="L434" s="736">
        <f t="shared" si="83"/>
        <v>1288</v>
      </c>
    </row>
    <row r="435" spans="1:12">
      <c r="A435" s="171">
        <v>9</v>
      </c>
      <c r="B435" s="171">
        <f t="shared" si="82"/>
        <v>2028</v>
      </c>
      <c r="C435" s="735"/>
      <c r="D435" s="736">
        <f t="shared" si="83"/>
        <v>1000</v>
      </c>
      <c r="E435" s="736">
        <f t="shared" si="83"/>
        <v>364</v>
      </c>
      <c r="F435" s="736">
        <f t="shared" si="83"/>
        <v>604</v>
      </c>
      <c r="G435" s="736">
        <f t="shared" si="83"/>
        <v>1532</v>
      </c>
      <c r="H435" s="739">
        <f t="shared" si="83"/>
        <v>0</v>
      </c>
      <c r="I435" s="739">
        <f t="shared" si="83"/>
        <v>0</v>
      </c>
      <c r="J435" s="736">
        <f t="shared" si="83"/>
        <v>1640</v>
      </c>
      <c r="K435" s="739">
        <f t="shared" si="83"/>
        <v>0</v>
      </c>
      <c r="L435" s="736">
        <f t="shared" si="83"/>
        <v>1288</v>
      </c>
    </row>
    <row r="436" spans="1:12">
      <c r="A436" s="171">
        <v>10</v>
      </c>
      <c r="B436" s="171">
        <f t="shared" si="82"/>
        <v>2029</v>
      </c>
      <c r="C436" s="735"/>
      <c r="D436" s="736">
        <f t="shared" si="83"/>
        <v>1000</v>
      </c>
      <c r="E436" s="736">
        <f t="shared" si="83"/>
        <v>364</v>
      </c>
      <c r="F436" s="736">
        <f t="shared" si="83"/>
        <v>604</v>
      </c>
      <c r="G436" s="736">
        <f t="shared" si="83"/>
        <v>1532</v>
      </c>
      <c r="H436" s="739">
        <f t="shared" si="83"/>
        <v>0</v>
      </c>
      <c r="I436" s="739">
        <f t="shared" si="83"/>
        <v>0</v>
      </c>
      <c r="J436" s="736">
        <f t="shared" si="83"/>
        <v>1640</v>
      </c>
      <c r="K436" s="739">
        <f t="shared" si="83"/>
        <v>0</v>
      </c>
      <c r="L436" s="736">
        <f t="shared" si="83"/>
        <v>1288</v>
      </c>
    </row>
    <row r="437" spans="1:12">
      <c r="A437" s="171">
        <v>11</v>
      </c>
      <c r="B437" s="171">
        <f t="shared" si="82"/>
        <v>2030</v>
      </c>
      <c r="C437" s="735"/>
      <c r="D437" s="736">
        <f t="shared" si="83"/>
        <v>1000</v>
      </c>
      <c r="E437" s="736">
        <f t="shared" si="83"/>
        <v>364</v>
      </c>
      <c r="F437" s="736">
        <f t="shared" si="83"/>
        <v>604</v>
      </c>
      <c r="G437" s="736">
        <f t="shared" si="83"/>
        <v>1532</v>
      </c>
      <c r="H437" s="739">
        <f t="shared" si="83"/>
        <v>0</v>
      </c>
      <c r="I437" s="739">
        <f t="shared" si="83"/>
        <v>0</v>
      </c>
      <c r="J437" s="736">
        <f t="shared" si="83"/>
        <v>1640</v>
      </c>
      <c r="K437" s="739">
        <f t="shared" si="83"/>
        <v>0</v>
      </c>
      <c r="L437" s="736">
        <f t="shared" si="83"/>
        <v>1288</v>
      </c>
    </row>
    <row r="438" spans="1:12">
      <c r="A438" s="171">
        <v>12</v>
      </c>
      <c r="B438" s="171">
        <f t="shared" si="82"/>
        <v>2031</v>
      </c>
      <c r="C438" s="735"/>
      <c r="D438" s="736">
        <f t="shared" si="83"/>
        <v>1000</v>
      </c>
      <c r="E438" s="736">
        <f t="shared" si="83"/>
        <v>364</v>
      </c>
      <c r="F438" s="736">
        <f t="shared" si="83"/>
        <v>604</v>
      </c>
      <c r="G438" s="736">
        <f t="shared" si="83"/>
        <v>1532</v>
      </c>
      <c r="H438" s="739">
        <f t="shared" si="83"/>
        <v>0</v>
      </c>
      <c r="I438" s="739">
        <f t="shared" si="83"/>
        <v>0</v>
      </c>
      <c r="J438" s="736">
        <f t="shared" si="83"/>
        <v>1640</v>
      </c>
      <c r="K438" s="739">
        <f t="shared" si="83"/>
        <v>0</v>
      </c>
      <c r="L438" s="736">
        <f t="shared" si="83"/>
        <v>1288</v>
      </c>
    </row>
    <row r="439" spans="1:12">
      <c r="A439" s="171">
        <v>13</v>
      </c>
      <c r="B439" s="171">
        <f t="shared" si="82"/>
        <v>2032</v>
      </c>
      <c r="C439" s="735"/>
      <c r="D439" s="736">
        <f t="shared" si="83"/>
        <v>1000</v>
      </c>
      <c r="E439" s="736">
        <f t="shared" si="83"/>
        <v>364</v>
      </c>
      <c r="F439" s="736">
        <f t="shared" si="83"/>
        <v>604</v>
      </c>
      <c r="G439" s="736">
        <f t="shared" si="83"/>
        <v>1532</v>
      </c>
      <c r="H439" s="739">
        <f t="shared" si="83"/>
        <v>0</v>
      </c>
      <c r="I439" s="739">
        <f t="shared" si="83"/>
        <v>0</v>
      </c>
      <c r="J439" s="736">
        <f t="shared" si="83"/>
        <v>1640</v>
      </c>
      <c r="K439" s="739">
        <f t="shared" si="83"/>
        <v>0</v>
      </c>
      <c r="L439" s="736">
        <f t="shared" si="83"/>
        <v>1288</v>
      </c>
    </row>
    <row r="440" spans="1:12">
      <c r="A440" s="171">
        <v>14</v>
      </c>
      <c r="B440" s="171">
        <f t="shared" si="82"/>
        <v>2033</v>
      </c>
      <c r="C440" s="735"/>
      <c r="D440" s="736">
        <f t="shared" si="83"/>
        <v>1000</v>
      </c>
      <c r="E440" s="736">
        <f t="shared" si="83"/>
        <v>364</v>
      </c>
      <c r="F440" s="736">
        <f t="shared" si="83"/>
        <v>604</v>
      </c>
      <c r="G440" s="736">
        <f t="shared" si="83"/>
        <v>1532</v>
      </c>
      <c r="H440" s="739">
        <f t="shared" si="83"/>
        <v>0</v>
      </c>
      <c r="I440" s="739">
        <f t="shared" si="83"/>
        <v>0</v>
      </c>
      <c r="J440" s="736">
        <f t="shared" si="83"/>
        <v>1640</v>
      </c>
      <c r="K440" s="739">
        <f t="shared" si="83"/>
        <v>0</v>
      </c>
      <c r="L440" s="736">
        <f t="shared" si="83"/>
        <v>1288</v>
      </c>
    </row>
    <row r="441" spans="1:12">
      <c r="A441" s="171">
        <v>15</v>
      </c>
      <c r="B441" s="171">
        <f t="shared" si="82"/>
        <v>2034</v>
      </c>
      <c r="C441" s="735"/>
      <c r="D441" s="736">
        <f t="shared" si="83"/>
        <v>1000</v>
      </c>
      <c r="E441" s="736">
        <f t="shared" si="83"/>
        <v>364</v>
      </c>
      <c r="F441" s="736">
        <f t="shared" si="83"/>
        <v>604</v>
      </c>
      <c r="G441" s="736">
        <f t="shared" si="83"/>
        <v>1532</v>
      </c>
      <c r="H441" s="739">
        <f t="shared" si="83"/>
        <v>0</v>
      </c>
      <c r="I441" s="739">
        <f t="shared" si="83"/>
        <v>0</v>
      </c>
      <c r="J441" s="736">
        <f t="shared" si="83"/>
        <v>1640</v>
      </c>
      <c r="K441" s="739">
        <f t="shared" si="83"/>
        <v>0</v>
      </c>
      <c r="L441" s="736">
        <f t="shared" si="83"/>
        <v>1288</v>
      </c>
    </row>
    <row r="442" spans="1:12">
      <c r="C442" s="735"/>
      <c r="D442" s="736"/>
      <c r="E442" s="736"/>
      <c r="F442" s="736"/>
      <c r="G442" s="736"/>
      <c r="H442" s="736"/>
      <c r="I442" s="736"/>
      <c r="J442" s="736"/>
      <c r="K442" s="736"/>
      <c r="L442" s="736"/>
    </row>
    <row r="443" spans="1:12">
      <c r="A443" s="716" t="s">
        <v>1543</v>
      </c>
      <c r="B443" s="171">
        <f>startjaar</f>
        <v>2020</v>
      </c>
    </row>
    <row r="444" spans="1:12">
      <c r="A444" s="716"/>
    </row>
    <row r="445" spans="1:12">
      <c r="A445" s="716" t="s">
        <v>1557</v>
      </c>
      <c r="B445" s="716"/>
    </row>
    <row r="446" spans="1:12">
      <c r="A446" s="716" t="s">
        <v>1558</v>
      </c>
      <c r="D446" s="741" t="str">
        <f>D426</f>
        <v>_klein_D</v>
      </c>
      <c r="E446" s="741" t="str">
        <f t="shared" ref="E446:L446" si="84">E426</f>
        <v>_klein_B</v>
      </c>
      <c r="F446" s="741" t="str">
        <f t="shared" si="84"/>
        <v>_klein_CNG</v>
      </c>
      <c r="G446" s="741" t="str">
        <f t="shared" si="84"/>
        <v>_middel_D</v>
      </c>
      <c r="H446" s="741" t="str">
        <f t="shared" si="84"/>
        <v>_middel_B</v>
      </c>
      <c r="I446" s="741" t="str">
        <f t="shared" si="84"/>
        <v>_middel_CNG</v>
      </c>
      <c r="J446" s="741" t="str">
        <f t="shared" si="84"/>
        <v>_groot_D</v>
      </c>
      <c r="K446" s="741" t="str">
        <f t="shared" si="84"/>
        <v>_groot_B</v>
      </c>
      <c r="L446" s="741" t="str">
        <f t="shared" si="84"/>
        <v>_groot_CNG</v>
      </c>
    </row>
    <row r="447" spans="1:12">
      <c r="A447" s="171">
        <v>1</v>
      </c>
      <c r="B447" s="171">
        <f>B443</f>
        <v>2020</v>
      </c>
      <c r="D447" s="742">
        <f>IF($B447=" ",0,INDEX(D427:D441,(MATCH($B447,$B$427:$B$441,0))))</f>
        <v>1000</v>
      </c>
      <c r="E447" s="742">
        <f>IF($B447=" ",0,INDEX(E427:E441,(MATCH($B447,$B$427:$B$441,0))))</f>
        <v>364</v>
      </c>
      <c r="F447" s="742">
        <f t="shared" ref="F447:L447" si="85">IF($B447=" ",0,INDEX(F427:F441,(MATCH($B447,$B$427:$B$441,0))))</f>
        <v>604</v>
      </c>
      <c r="G447" s="742">
        <f t="shared" si="85"/>
        <v>1532</v>
      </c>
      <c r="H447" s="739">
        <f t="shared" ref="H447:I447" si="86">H430*$C$426</f>
        <v>0</v>
      </c>
      <c r="I447" s="739">
        <f t="shared" si="86"/>
        <v>0</v>
      </c>
      <c r="J447" s="742">
        <f t="shared" si="85"/>
        <v>1640</v>
      </c>
      <c r="K447" s="739">
        <f t="shared" ref="K447" si="87">K430*$C$426</f>
        <v>0</v>
      </c>
      <c r="L447" s="742">
        <f t="shared" si="85"/>
        <v>1288</v>
      </c>
    </row>
    <row r="448" spans="1:12">
      <c r="A448" s="171">
        <v>2</v>
      </c>
      <c r="B448" s="171">
        <f t="shared" ref="B448:B456" si="88">IF(looptijd&gt;A448-1,B447+1," ")</f>
        <v>2021</v>
      </c>
      <c r="D448" s="742">
        <f t="shared" ref="D448:E448" si="89">IF($B448=" ",0,INDEX(D428:D442,(MATCH($B448,$B$427:$B$441,0))))</f>
        <v>1000</v>
      </c>
      <c r="E448" s="742">
        <f t="shared" si="89"/>
        <v>364</v>
      </c>
      <c r="F448" s="742">
        <f t="shared" ref="F448:L448" si="90">IF($B448=" ",0,INDEX(F428:F442,(MATCH($B448,$B$427:$B$441,0))))</f>
        <v>604</v>
      </c>
      <c r="G448" s="742">
        <f t="shared" si="90"/>
        <v>1532</v>
      </c>
      <c r="H448" s="739">
        <f t="shared" ref="H448:I448" si="91">H431*$C$426</f>
        <v>0</v>
      </c>
      <c r="I448" s="739">
        <f t="shared" si="91"/>
        <v>0</v>
      </c>
      <c r="J448" s="742">
        <f t="shared" si="90"/>
        <v>1640</v>
      </c>
      <c r="K448" s="739">
        <f t="shared" ref="K448" si="92">K431*$C$426</f>
        <v>0</v>
      </c>
      <c r="L448" s="742">
        <f t="shared" si="90"/>
        <v>1288</v>
      </c>
    </row>
    <row r="449" spans="1:20">
      <c r="A449" s="171">
        <v>3</v>
      </c>
      <c r="B449" s="171">
        <f t="shared" si="88"/>
        <v>2022</v>
      </c>
      <c r="D449" s="742">
        <f t="shared" ref="D449:E449" si="93">IF($B449=" ",0,INDEX(D429:D443,(MATCH($B449,$B$427:$B$441,0))))</f>
        <v>1000</v>
      </c>
      <c r="E449" s="742">
        <f t="shared" si="93"/>
        <v>364</v>
      </c>
      <c r="F449" s="742">
        <f t="shared" ref="F449:L449" si="94">IF($B449=" ",0,INDEX(F429:F443,(MATCH($B449,$B$427:$B$441,0))))</f>
        <v>604</v>
      </c>
      <c r="G449" s="742">
        <f t="shared" si="94"/>
        <v>1532</v>
      </c>
      <c r="H449" s="739">
        <f t="shared" ref="H449:I449" si="95">H432*$C$426</f>
        <v>0</v>
      </c>
      <c r="I449" s="739">
        <f t="shared" si="95"/>
        <v>0</v>
      </c>
      <c r="J449" s="742">
        <f t="shared" si="94"/>
        <v>1640</v>
      </c>
      <c r="K449" s="739">
        <f t="shared" ref="K449" si="96">K432*$C$426</f>
        <v>0</v>
      </c>
      <c r="L449" s="742">
        <f t="shared" si="94"/>
        <v>1288</v>
      </c>
    </row>
    <row r="450" spans="1:20">
      <c r="A450" s="171">
        <v>4</v>
      </c>
      <c r="B450" s="171">
        <f t="shared" si="88"/>
        <v>2023</v>
      </c>
      <c r="D450" s="742">
        <f t="shared" ref="D450:E450" si="97">IF($B450=" ",0,INDEX(D430:D444,(MATCH($B450,$B$427:$B$441,0))))</f>
        <v>1000</v>
      </c>
      <c r="E450" s="742">
        <f t="shared" si="97"/>
        <v>364</v>
      </c>
      <c r="F450" s="742">
        <f t="shared" ref="F450:L450" si="98">IF($B450=" ",0,INDEX(F430:F444,(MATCH($B450,$B$427:$B$441,0))))</f>
        <v>604</v>
      </c>
      <c r="G450" s="742">
        <f t="shared" si="98"/>
        <v>1532</v>
      </c>
      <c r="H450" s="739">
        <f t="shared" ref="H450:I450" si="99">H433*$C$426</f>
        <v>0</v>
      </c>
      <c r="I450" s="739">
        <f t="shared" si="99"/>
        <v>0</v>
      </c>
      <c r="J450" s="742">
        <f t="shared" si="98"/>
        <v>1640</v>
      </c>
      <c r="K450" s="739">
        <f t="shared" ref="K450" si="100">K433*$C$426</f>
        <v>0</v>
      </c>
      <c r="L450" s="742">
        <f t="shared" si="98"/>
        <v>1288</v>
      </c>
    </row>
    <row r="451" spans="1:20">
      <c r="A451" s="171">
        <v>5</v>
      </c>
      <c r="B451" s="171">
        <f t="shared" si="88"/>
        <v>2024</v>
      </c>
      <c r="D451" s="742">
        <f t="shared" ref="D451:E451" si="101">IF($B451=" ",0,INDEX(D431:D445,(MATCH($B451,$B$427:$B$441,0))))</f>
        <v>1000</v>
      </c>
      <c r="E451" s="742">
        <f t="shared" si="101"/>
        <v>364</v>
      </c>
      <c r="F451" s="742">
        <f t="shared" ref="F451:L451" si="102">IF($B451=" ",0,INDEX(F431:F445,(MATCH($B451,$B$427:$B$441,0))))</f>
        <v>604</v>
      </c>
      <c r="G451" s="742">
        <f t="shared" si="102"/>
        <v>1532</v>
      </c>
      <c r="H451" s="739">
        <f t="shared" ref="H451:I451" si="103">H434*$C$426</f>
        <v>0</v>
      </c>
      <c r="I451" s="739">
        <f t="shared" si="103"/>
        <v>0</v>
      </c>
      <c r="J451" s="742">
        <f t="shared" si="102"/>
        <v>1640</v>
      </c>
      <c r="K451" s="739">
        <f t="shared" ref="K451" si="104">K434*$C$426</f>
        <v>0</v>
      </c>
      <c r="L451" s="742">
        <f t="shared" si="102"/>
        <v>1288</v>
      </c>
    </row>
    <row r="452" spans="1:20">
      <c r="A452" s="171">
        <v>6</v>
      </c>
      <c r="B452" s="171" t="str">
        <f t="shared" si="88"/>
        <v xml:space="preserve"> </v>
      </c>
      <c r="D452" s="742">
        <f t="shared" ref="D452:E452" si="105">IF($B452=" ",0,INDEX(D432:D446,(MATCH($B452,$B$427:$B$441,0))))</f>
        <v>0</v>
      </c>
      <c r="E452" s="742">
        <f t="shared" si="105"/>
        <v>0</v>
      </c>
      <c r="F452" s="742">
        <f t="shared" ref="F452:L452" si="106">IF($B452=" ",0,INDEX(F432:F446,(MATCH($B452,$B$427:$B$441,0))))</f>
        <v>0</v>
      </c>
      <c r="G452" s="742">
        <f t="shared" si="106"/>
        <v>0</v>
      </c>
      <c r="H452" s="739">
        <f t="shared" ref="H452:I452" si="107">H435*$C$426</f>
        <v>0</v>
      </c>
      <c r="I452" s="739">
        <f t="shared" si="107"/>
        <v>0</v>
      </c>
      <c r="J452" s="742">
        <f t="shared" si="106"/>
        <v>0</v>
      </c>
      <c r="K452" s="739">
        <f t="shared" ref="K452" si="108">K435*$C$426</f>
        <v>0</v>
      </c>
      <c r="L452" s="742">
        <f t="shared" si="106"/>
        <v>0</v>
      </c>
    </row>
    <row r="453" spans="1:20">
      <c r="A453" s="171">
        <v>7</v>
      </c>
      <c r="B453" s="171" t="str">
        <f t="shared" si="88"/>
        <v xml:space="preserve"> </v>
      </c>
      <c r="D453" s="742">
        <f t="shared" ref="D453:E453" si="109">IF($B453=" ",0,INDEX(D433:D447,(MATCH($B453,$B$427:$B$441,0))))</f>
        <v>0</v>
      </c>
      <c r="E453" s="742">
        <f t="shared" si="109"/>
        <v>0</v>
      </c>
      <c r="F453" s="742">
        <f t="shared" ref="F453:L453" si="110">IF($B453=" ",0,INDEX(F433:F447,(MATCH($B453,$B$427:$B$441,0))))</f>
        <v>0</v>
      </c>
      <c r="G453" s="742">
        <f t="shared" si="110"/>
        <v>0</v>
      </c>
      <c r="H453" s="739">
        <f t="shared" ref="H453:I453" si="111">H436*$C$426</f>
        <v>0</v>
      </c>
      <c r="I453" s="739">
        <f t="shared" si="111"/>
        <v>0</v>
      </c>
      <c r="J453" s="742">
        <f t="shared" si="110"/>
        <v>0</v>
      </c>
      <c r="K453" s="739">
        <f t="shared" ref="K453" si="112">K436*$C$426</f>
        <v>0</v>
      </c>
      <c r="L453" s="742">
        <f t="shared" si="110"/>
        <v>0</v>
      </c>
    </row>
    <row r="454" spans="1:20">
      <c r="A454" s="171">
        <v>8</v>
      </c>
      <c r="B454" s="171" t="str">
        <f t="shared" si="88"/>
        <v xml:space="preserve"> </v>
      </c>
      <c r="D454" s="742">
        <f t="shared" ref="D454:E454" si="113">IF($B454=" ",0,INDEX(D434:D448,(MATCH($B454,$B$427:$B$441,0))))</f>
        <v>0</v>
      </c>
      <c r="E454" s="742">
        <f t="shared" si="113"/>
        <v>0</v>
      </c>
      <c r="F454" s="742">
        <f t="shared" ref="F454:L454" si="114">IF($B454=" ",0,INDEX(F434:F448,(MATCH($B454,$B$427:$B$441,0))))</f>
        <v>0</v>
      </c>
      <c r="G454" s="742">
        <f t="shared" si="114"/>
        <v>0</v>
      </c>
      <c r="H454" s="739">
        <f t="shared" ref="H454:I454" si="115">H437*$C$426</f>
        <v>0</v>
      </c>
      <c r="I454" s="739">
        <f t="shared" si="115"/>
        <v>0</v>
      </c>
      <c r="J454" s="742">
        <f t="shared" si="114"/>
        <v>0</v>
      </c>
      <c r="K454" s="739">
        <f t="shared" ref="K454" si="116">K437*$C$426</f>
        <v>0</v>
      </c>
      <c r="L454" s="742">
        <f t="shared" si="114"/>
        <v>0</v>
      </c>
    </row>
    <row r="455" spans="1:20">
      <c r="A455" s="171">
        <v>9</v>
      </c>
      <c r="B455" s="171" t="str">
        <f t="shared" si="88"/>
        <v xml:space="preserve"> </v>
      </c>
      <c r="D455" s="742">
        <f t="shared" ref="D455:E455" si="117">IF($B455=" ",0,INDEX(D435:D449,(MATCH($B455,$B$427:$B$441,0))))</f>
        <v>0</v>
      </c>
      <c r="E455" s="742">
        <f t="shared" si="117"/>
        <v>0</v>
      </c>
      <c r="F455" s="742">
        <f t="shared" ref="F455:L455" si="118">IF($B455=" ",0,INDEX(F435:F449,(MATCH($B455,$B$427:$B$441,0))))</f>
        <v>0</v>
      </c>
      <c r="G455" s="742">
        <f t="shared" si="118"/>
        <v>0</v>
      </c>
      <c r="H455" s="739">
        <f t="shared" ref="H455:I455" si="119">H438*$C$426</f>
        <v>0</v>
      </c>
      <c r="I455" s="739">
        <f t="shared" si="119"/>
        <v>0</v>
      </c>
      <c r="J455" s="742">
        <f t="shared" si="118"/>
        <v>0</v>
      </c>
      <c r="K455" s="739">
        <f t="shared" ref="K455" si="120">K438*$C$426</f>
        <v>0</v>
      </c>
      <c r="L455" s="742">
        <f t="shared" si="118"/>
        <v>0</v>
      </c>
    </row>
    <row r="456" spans="1:20">
      <c r="A456" s="171">
        <v>10</v>
      </c>
      <c r="B456" s="171" t="str">
        <f t="shared" si="88"/>
        <v xml:space="preserve"> </v>
      </c>
      <c r="D456" s="742">
        <f t="shared" ref="D456:E456" si="121">IF($B456=" ",0,INDEX(D436:D450,(MATCH($B456,$B$427:$B$441,0))))</f>
        <v>0</v>
      </c>
      <c r="E456" s="742">
        <f t="shared" si="121"/>
        <v>0</v>
      </c>
      <c r="F456" s="742">
        <f t="shared" ref="F456:L456" si="122">IF($B456=" ",0,INDEX(F436:F450,(MATCH($B456,$B$427:$B$441,0))))</f>
        <v>0</v>
      </c>
      <c r="G456" s="742">
        <f t="shared" si="122"/>
        <v>0</v>
      </c>
      <c r="H456" s="739">
        <f t="shared" ref="H456:I456" si="123">H439*$C$426</f>
        <v>0</v>
      </c>
      <c r="I456" s="739">
        <f t="shared" si="123"/>
        <v>0</v>
      </c>
      <c r="J456" s="742">
        <f t="shared" si="122"/>
        <v>0</v>
      </c>
      <c r="K456" s="739">
        <f t="shared" ref="K456" si="124">K439*$C$426</f>
        <v>0</v>
      </c>
      <c r="L456" s="742">
        <f t="shared" si="122"/>
        <v>0</v>
      </c>
    </row>
    <row r="457" spans="1:20" ht="17" thickBot="1"/>
    <row r="458" spans="1:20" ht="17" thickBot="1">
      <c r="A458" s="722" t="s">
        <v>1561</v>
      </c>
      <c r="B458" s="725"/>
      <c r="C458" s="743"/>
      <c r="D458" s="744">
        <f>SUM(D447:D456)</f>
        <v>5000</v>
      </c>
      <c r="E458" s="744">
        <f>SUM(E447:E456)</f>
        <v>1820</v>
      </c>
      <c r="F458" s="744">
        <f t="shared" ref="F458:L458" si="125">SUM(F447:F456)</f>
        <v>3020</v>
      </c>
      <c r="G458" s="744">
        <f t="shared" si="125"/>
        <v>7660</v>
      </c>
      <c r="H458" s="744">
        <f t="shared" si="125"/>
        <v>0</v>
      </c>
      <c r="I458" s="744">
        <f t="shared" si="125"/>
        <v>0</v>
      </c>
      <c r="J458" s="744">
        <f t="shared" si="125"/>
        <v>8200</v>
      </c>
      <c r="K458" s="744">
        <f t="shared" si="125"/>
        <v>0</v>
      </c>
      <c r="L458" s="745">
        <f t="shared" si="125"/>
        <v>6440</v>
      </c>
      <c r="M458" s="736"/>
      <c r="N458" s="736"/>
      <c r="O458" s="736"/>
      <c r="P458" s="736"/>
      <c r="Q458" s="736"/>
      <c r="R458" s="736"/>
      <c r="S458" s="736"/>
      <c r="T458" s="736"/>
    </row>
    <row r="459" spans="1:20">
      <c r="C459" s="735"/>
      <c r="D459" s="736"/>
      <c r="E459" s="736"/>
      <c r="F459" s="736"/>
      <c r="G459" s="736"/>
      <c r="H459" s="736"/>
      <c r="I459" s="736"/>
      <c r="J459" s="736"/>
      <c r="K459" s="736"/>
      <c r="L459" s="736"/>
      <c r="M459" s="736"/>
      <c r="N459" s="736"/>
      <c r="O459" s="736"/>
      <c r="P459" s="736"/>
      <c r="Q459" s="736"/>
      <c r="R459" s="736"/>
      <c r="S459" s="736"/>
      <c r="T459" s="736"/>
    </row>
    <row r="460" spans="1:20">
      <c r="A460" s="652" t="s">
        <v>1422</v>
      </c>
    </row>
    <row r="461" spans="1:20">
      <c r="A461" s="171" t="s">
        <v>1412</v>
      </c>
    </row>
    <row r="463" spans="1:20">
      <c r="A463" s="652" t="s">
        <v>1423</v>
      </c>
      <c r="B463" s="719" t="s">
        <v>1239</v>
      </c>
      <c r="C463" s="719"/>
      <c r="D463" s="171">
        <v>2025</v>
      </c>
    </row>
    <row r="464" spans="1:20">
      <c r="B464" s="705">
        <v>0</v>
      </c>
      <c r="C464" s="705"/>
      <c r="D464" s="705">
        <v>0.25</v>
      </c>
      <c r="E464" s="171" t="s">
        <v>1410</v>
      </c>
    </row>
    <row r="469" spans="1:11">
      <c r="A469" s="652" t="s">
        <v>45</v>
      </c>
    </row>
    <row r="470" spans="1:11">
      <c r="A470" s="171" t="s">
        <v>86</v>
      </c>
      <c r="D470" s="703" t="s">
        <v>98</v>
      </c>
    </row>
    <row r="471" spans="1:11">
      <c r="A471" s="746" t="s">
        <v>1413</v>
      </c>
      <c r="D471" s="703"/>
    </row>
    <row r="473" spans="1:11">
      <c r="A473" s="747" t="s">
        <v>707</v>
      </c>
      <c r="K473" s="652"/>
    </row>
    <row r="475" spans="1:11">
      <c r="A475" s="652" t="s">
        <v>740</v>
      </c>
      <c r="B475" s="720"/>
      <c r="C475" s="720"/>
      <c r="H475" s="652" t="s">
        <v>4238</v>
      </c>
      <c r="K475" s="652"/>
    </row>
    <row r="476" spans="1:11">
      <c r="B476" s="652" t="s">
        <v>232</v>
      </c>
      <c r="C476" s="652" t="s">
        <v>233</v>
      </c>
      <c r="D476" s="652" t="s">
        <v>234</v>
      </c>
      <c r="E476" s="652" t="s">
        <v>235</v>
      </c>
      <c r="F476" s="171" t="s">
        <v>236</v>
      </c>
      <c r="H476" s="616">
        <v>1.24</v>
      </c>
      <c r="K476" s="652"/>
    </row>
    <row r="477" spans="1:11">
      <c r="A477" s="171" t="s">
        <v>237</v>
      </c>
      <c r="B477" s="748">
        <v>2.1999999999999999E-2</v>
      </c>
      <c r="C477" s="748">
        <v>3.1E-2</v>
      </c>
      <c r="D477" s="748">
        <v>3.9E-2</v>
      </c>
      <c r="E477" s="748">
        <v>4.8000000000000001E-2</v>
      </c>
      <c r="F477" s="171" t="s">
        <v>238</v>
      </c>
    </row>
    <row r="478" spans="1:11">
      <c r="A478" s="171" t="s">
        <v>239</v>
      </c>
      <c r="B478" s="748">
        <v>1.6E-2</v>
      </c>
      <c r="C478" s="748">
        <v>1.7999999999999999E-2</v>
      </c>
      <c r="D478" s="748">
        <v>2.1999999999999999E-2</v>
      </c>
      <c r="E478" s="749">
        <f>E477*0.55</f>
        <v>2.6400000000000003E-2</v>
      </c>
      <c r="F478" s="171" t="s">
        <v>238</v>
      </c>
    </row>
    <row r="480" spans="1:11">
      <c r="B480" s="652" t="s">
        <v>241</v>
      </c>
      <c r="C480" s="652" t="s">
        <v>242</v>
      </c>
      <c r="D480" s="652" t="s">
        <v>243</v>
      </c>
      <c r="E480" s="652" t="s">
        <v>244</v>
      </c>
      <c r="F480" s="652" t="s">
        <v>245</v>
      </c>
      <c r="G480" s="652"/>
      <c r="H480" s="171" t="s">
        <v>236</v>
      </c>
      <c r="K480" s="652" t="s">
        <v>116</v>
      </c>
    </row>
    <row r="481" spans="1:13">
      <c r="A481" s="171" t="s">
        <v>237</v>
      </c>
      <c r="B481" s="748">
        <v>0.05</v>
      </c>
      <c r="C481" s="748">
        <f>0.0066*6+0.0168</f>
        <v>5.6399999999999992E-2</v>
      </c>
      <c r="D481" s="748">
        <v>3.7999999999999999E-2</v>
      </c>
      <c r="E481" s="748">
        <v>0.04</v>
      </c>
      <c r="F481" s="748">
        <v>6.2E-2</v>
      </c>
      <c r="G481" s="748"/>
      <c r="H481" s="171" t="s">
        <v>238</v>
      </c>
      <c r="K481" s="171">
        <v>20000</v>
      </c>
    </row>
    <row r="482" spans="1:13">
      <c r="A482" s="171" t="s">
        <v>239</v>
      </c>
      <c r="B482" s="748">
        <v>0.05</v>
      </c>
      <c r="C482" s="748">
        <v>0.05</v>
      </c>
      <c r="D482" s="749">
        <f>D481*0.55</f>
        <v>2.0900000000000002E-2</v>
      </c>
      <c r="E482" s="748">
        <v>2.9000000000000001E-2</v>
      </c>
      <c r="F482" s="748">
        <v>4.7E-2</v>
      </c>
      <c r="G482" s="748"/>
      <c r="H482" s="171" t="s">
        <v>238</v>
      </c>
      <c r="K482" s="171" t="s">
        <v>246</v>
      </c>
    </row>
    <row r="483" spans="1:13">
      <c r="B483" s="748"/>
      <c r="C483" s="748"/>
      <c r="D483" s="749"/>
      <c r="E483" s="748"/>
      <c r="F483" s="748"/>
      <c r="G483" s="748"/>
    </row>
    <row r="484" spans="1:13">
      <c r="B484" s="750" t="s">
        <v>247</v>
      </c>
      <c r="C484" s="750" t="s">
        <v>248</v>
      </c>
      <c r="D484" s="750" t="s">
        <v>249</v>
      </c>
      <c r="E484" s="750" t="s">
        <v>728</v>
      </c>
      <c r="F484" s="750" t="s">
        <v>850</v>
      </c>
      <c r="G484" s="750"/>
      <c r="H484" s="750" t="s">
        <v>729</v>
      </c>
      <c r="I484" s="750" t="s">
        <v>714</v>
      </c>
      <c r="K484" s="171" t="s">
        <v>236</v>
      </c>
      <c r="M484" s="652" t="s">
        <v>116</v>
      </c>
    </row>
    <row r="485" spans="1:13">
      <c r="A485" s="171" t="s">
        <v>237</v>
      </c>
      <c r="B485" s="751">
        <f>0.027+0.004</f>
        <v>3.1E-2</v>
      </c>
      <c r="C485" s="751">
        <f>0.045</f>
        <v>4.4999999999999998E-2</v>
      </c>
      <c r="D485" s="751">
        <f>0.06</f>
        <v>0.06</v>
      </c>
      <c r="E485" s="751">
        <f>B485</f>
        <v>3.1E-2</v>
      </c>
      <c r="F485" s="751">
        <f t="shared" ref="F485" si="126">C485</f>
        <v>4.4999999999999998E-2</v>
      </c>
      <c r="G485" s="751"/>
      <c r="H485" s="751">
        <f>D485</f>
        <v>0.06</v>
      </c>
      <c r="I485" s="751">
        <f>D485</f>
        <v>0.06</v>
      </c>
      <c r="K485" s="171" t="s">
        <v>238</v>
      </c>
      <c r="M485" s="171" t="s">
        <v>1427</v>
      </c>
    </row>
    <row r="486" spans="1:13">
      <c r="A486" s="171" t="s">
        <v>239</v>
      </c>
      <c r="B486" s="751">
        <f>0.015+0.007</f>
        <v>2.1999999999999999E-2</v>
      </c>
      <c r="C486" s="749">
        <f>C485*(B486/B485)</f>
        <v>3.1935483870967736E-2</v>
      </c>
      <c r="D486" s="751">
        <f>D485*(B486/B485)</f>
        <v>4.2580645161290315E-2</v>
      </c>
      <c r="E486" s="751">
        <f>B486</f>
        <v>2.1999999999999999E-2</v>
      </c>
      <c r="F486" s="751">
        <f t="shared" ref="F486" si="127">C486</f>
        <v>3.1935483870967736E-2</v>
      </c>
      <c r="G486" s="751"/>
      <c r="H486" s="751">
        <f t="shared" ref="H486" si="128">D486</f>
        <v>4.2580645161290315E-2</v>
      </c>
      <c r="I486" s="751">
        <f>D486</f>
        <v>4.2580645161290315E-2</v>
      </c>
      <c r="K486" s="171" t="s">
        <v>238</v>
      </c>
      <c r="M486" s="171" t="s">
        <v>1428</v>
      </c>
    </row>
    <row r="487" spans="1:13">
      <c r="B487" s="751"/>
      <c r="C487" s="749"/>
      <c r="D487" s="751"/>
      <c r="E487" s="751"/>
      <c r="F487" s="751"/>
      <c r="G487" s="751"/>
      <c r="H487" s="751"/>
      <c r="I487" s="751"/>
    </row>
    <row r="488" spans="1:13">
      <c r="B488" s="652" t="s">
        <v>1505</v>
      </c>
      <c r="C488" s="652" t="s">
        <v>1506</v>
      </c>
      <c r="D488" s="750" t="s">
        <v>247</v>
      </c>
      <c r="E488" s="750" t="s">
        <v>1504</v>
      </c>
      <c r="F488" s="750" t="s">
        <v>2044</v>
      </c>
      <c r="G488" s="750" t="s">
        <v>1637</v>
      </c>
      <c r="H488" s="750" t="s">
        <v>2046</v>
      </c>
      <c r="I488" s="751"/>
      <c r="K488" s="652" t="s">
        <v>116</v>
      </c>
    </row>
    <row r="489" spans="1:13">
      <c r="A489" s="171" t="s">
        <v>1503</v>
      </c>
      <c r="B489" s="751">
        <f>AVERAGE(E478,B482)+B491</f>
        <v>4.3200000000000002E-2</v>
      </c>
      <c r="C489" s="749">
        <f>AVERAGE(E482:F482)+B491</f>
        <v>4.2999999999999997E-2</v>
      </c>
      <c r="D489" s="751">
        <f>B486+B491</f>
        <v>2.7E-2</v>
      </c>
      <c r="E489" s="751">
        <f>D486+B491</f>
        <v>4.7580645161290312E-2</v>
      </c>
      <c r="F489" s="751">
        <v>0</v>
      </c>
      <c r="G489" s="751">
        <v>0</v>
      </c>
      <c r="H489" s="751">
        <v>0</v>
      </c>
      <c r="I489" s="751"/>
      <c r="K489" s="171" t="s">
        <v>1507</v>
      </c>
    </row>
    <row r="490" spans="1:13">
      <c r="B490" s="751"/>
      <c r="C490" s="751"/>
      <c r="D490" s="749"/>
      <c r="E490" s="751"/>
      <c r="I490" s="751"/>
      <c r="K490" s="171" t="s">
        <v>1510</v>
      </c>
    </row>
    <row r="491" spans="1:13">
      <c r="A491" s="719" t="s">
        <v>1508</v>
      </c>
      <c r="B491" s="721">
        <v>5.0000000000000001E-3</v>
      </c>
      <c r="C491" s="751"/>
      <c r="D491" s="752" t="s">
        <v>1509</v>
      </c>
      <c r="E491" s="751"/>
      <c r="I491" s="751"/>
      <c r="K491" s="171" t="s">
        <v>4350</v>
      </c>
    </row>
    <row r="492" spans="1:13">
      <c r="B492" s="751"/>
      <c r="C492" s="751"/>
      <c r="D492" s="749"/>
      <c r="E492" s="751"/>
      <c r="I492" s="751"/>
    </row>
    <row r="493" spans="1:13">
      <c r="B493" s="751"/>
      <c r="C493" s="751"/>
      <c r="D493" s="749"/>
      <c r="E493" s="751"/>
      <c r="I493" s="751"/>
    </row>
    <row r="494" spans="1:13">
      <c r="A494" s="652" t="s">
        <v>4216</v>
      </c>
      <c r="B494" s="751"/>
      <c r="C494" s="751"/>
      <c r="D494" s="749"/>
      <c r="E494" s="751"/>
      <c r="I494" s="751"/>
      <c r="K494" s="171" t="s">
        <v>1512</v>
      </c>
    </row>
    <row r="495" spans="1:13" ht="19">
      <c r="A495" s="1537" t="s">
        <v>4248</v>
      </c>
      <c r="B495" s="1539" t="s">
        <v>4237</v>
      </c>
      <c r="C495" s="1540"/>
      <c r="D495" s="1541"/>
      <c r="E495" s="1539"/>
      <c r="F495" s="1540"/>
      <c r="G495" s="1541"/>
    </row>
    <row r="496" spans="1:13" ht="20" thickBot="1">
      <c r="A496" s="1538"/>
      <c r="B496" s="753" t="s">
        <v>134</v>
      </c>
      <c r="C496" s="753" t="s">
        <v>4214</v>
      </c>
      <c r="D496" s="754" t="s">
        <v>4215</v>
      </c>
      <c r="E496" s="755"/>
      <c r="F496" s="753"/>
      <c r="G496" s="756"/>
    </row>
    <row r="497" spans="1:11">
      <c r="A497" s="757"/>
      <c r="B497" s="758"/>
      <c r="C497" s="759"/>
      <c r="D497" s="760"/>
      <c r="E497" s="761"/>
      <c r="F497" s="759"/>
      <c r="G497" s="760"/>
    </row>
    <row r="498" spans="1:11" s="652" customFormat="1">
      <c r="A498" s="762" t="s">
        <v>4207</v>
      </c>
      <c r="B498" s="763">
        <f>5496/(15000*6)</f>
        <v>6.1066666666666665E-2</v>
      </c>
      <c r="C498" s="764">
        <f>B498*70%</f>
        <v>4.2746666666666662E-2</v>
      </c>
      <c r="D498" s="765">
        <f>C498+B491</f>
        <v>4.7746666666666659E-2</v>
      </c>
      <c r="E498" s="766" t="s">
        <v>4208</v>
      </c>
      <c r="F498" s="767"/>
      <c r="G498" s="768"/>
      <c r="H498" s="171"/>
      <c r="I498" s="171"/>
      <c r="J498" s="171"/>
    </row>
    <row r="499" spans="1:11" s="652" customFormat="1">
      <c r="A499" s="762" t="s">
        <v>4207</v>
      </c>
      <c r="B499" s="769">
        <f>B498*$C$19</f>
        <v>12.054834799999998</v>
      </c>
      <c r="C499" s="770">
        <f>C498*$C$19</f>
        <v>8.4383843599999988</v>
      </c>
      <c r="D499" s="771">
        <f>D498*$C$19</f>
        <v>9.4254068599999972</v>
      </c>
      <c r="E499" s="766" t="s">
        <v>4209</v>
      </c>
      <c r="F499" s="767"/>
      <c r="G499" s="768"/>
      <c r="H499" s="171"/>
      <c r="I499" s="171"/>
      <c r="J499" s="171"/>
    </row>
    <row r="500" spans="1:11">
      <c r="A500" s="762" t="s">
        <v>4207</v>
      </c>
      <c r="B500" s="772">
        <f>B499*old_looptijd_kippers</f>
        <v>3141.4899488799992</v>
      </c>
      <c r="C500" s="773">
        <f>C499*old_looptijd_kippers</f>
        <v>2199.0429642159993</v>
      </c>
      <c r="D500" s="774">
        <f>D499*old_looptijd_kippers</f>
        <v>2456.2610277159988</v>
      </c>
      <c r="E500" s="766" t="s">
        <v>4210</v>
      </c>
      <c r="F500" s="775"/>
      <c r="G500" s="776"/>
    </row>
    <row r="501" spans="1:11">
      <c r="A501" s="652"/>
      <c r="B501" s="750"/>
      <c r="C501" s="750"/>
      <c r="D501" s="777"/>
      <c r="E501" s="750"/>
      <c r="F501" s="652"/>
      <c r="G501" s="652"/>
    </row>
    <row r="502" spans="1:11" s="652" customFormat="1">
      <c r="A502" s="652" t="s">
        <v>4217</v>
      </c>
      <c r="B502" s="750"/>
      <c r="C502" s="750"/>
      <c r="D502" s="777"/>
      <c r="E502" s="750"/>
      <c r="I502" s="750"/>
    </row>
    <row r="503" spans="1:11" s="652" customFormat="1" ht="19">
      <c r="A503" s="1542" t="s">
        <v>4248</v>
      </c>
      <c r="B503" s="1539"/>
      <c r="C503" s="1540"/>
      <c r="D503" s="1548"/>
      <c r="E503" s="778"/>
      <c r="F503" s="1540"/>
      <c r="G503" s="1540"/>
      <c r="H503" s="1549"/>
      <c r="I503" s="751"/>
    </row>
    <row r="504" spans="1:11" ht="17" thickBot="1">
      <c r="A504" s="1543"/>
      <c r="B504" s="779" t="s">
        <v>134</v>
      </c>
      <c r="C504" s="780" t="s">
        <v>134</v>
      </c>
      <c r="D504" s="780" t="s">
        <v>4211</v>
      </c>
      <c r="E504" s="780" t="s">
        <v>4212</v>
      </c>
      <c r="F504" s="780" t="s">
        <v>4213</v>
      </c>
      <c r="G504" s="780" t="s">
        <v>4214</v>
      </c>
      <c r="H504" s="781" t="s">
        <v>4215</v>
      </c>
      <c r="I504" s="751"/>
    </row>
    <row r="505" spans="1:11" ht="17" customHeight="1">
      <c r="A505" s="757"/>
      <c r="B505" s="782"/>
      <c r="C505" s="783"/>
      <c r="D505" s="784"/>
      <c r="E505" s="784"/>
      <c r="F505" s="785"/>
      <c r="G505" s="785"/>
      <c r="H505" s="786"/>
      <c r="I505" s="751"/>
    </row>
    <row r="506" spans="1:11">
      <c r="A506" s="762" t="s">
        <v>99</v>
      </c>
      <c r="B506" s="787">
        <v>0.73290789473684215</v>
      </c>
      <c r="C506" s="788"/>
      <c r="D506" s="789">
        <v>0.65961710526315787</v>
      </c>
      <c r="E506" s="789">
        <v>0.65961710526315787</v>
      </c>
      <c r="F506" s="789">
        <f>E506+B491</f>
        <v>0.66461710526315787</v>
      </c>
      <c r="G506" s="789">
        <v>0.65961710526315787</v>
      </c>
      <c r="H506" s="790">
        <f>G506+B491</f>
        <v>0.66461710526315787</v>
      </c>
      <c r="I506" s="791" t="s">
        <v>4208</v>
      </c>
    </row>
    <row r="507" spans="1:11" ht="16" customHeight="1">
      <c r="A507" s="792" t="s">
        <v>99</v>
      </c>
      <c r="B507" s="793">
        <v>13925.25</v>
      </c>
      <c r="C507" s="794"/>
      <c r="D507" s="795">
        <v>12532.725</v>
      </c>
      <c r="E507" s="795">
        <v>12532.725</v>
      </c>
      <c r="F507" s="795">
        <f>F506/E506*E507</f>
        <v>12627.725</v>
      </c>
      <c r="G507" s="795">
        <v>12532.725</v>
      </c>
      <c r="H507" s="796">
        <f>H506/G506*G507</f>
        <v>12627.725</v>
      </c>
      <c r="I507" s="791" t="s">
        <v>4209</v>
      </c>
    </row>
    <row r="508" spans="1:11" ht="16" customHeight="1">
      <c r="A508" s="652"/>
      <c r="B508" s="750"/>
      <c r="C508" s="750"/>
      <c r="D508" s="777"/>
      <c r="E508" s="750"/>
      <c r="F508" s="652"/>
      <c r="G508" s="652"/>
      <c r="H508" s="797">
        <f>H506/G506</f>
        <v>1.0075801551538073</v>
      </c>
      <c r="I508" s="750"/>
    </row>
    <row r="509" spans="1:11" ht="16" customHeight="1">
      <c r="A509" s="652" t="s">
        <v>4222</v>
      </c>
      <c r="B509" s="750"/>
      <c r="C509" s="750"/>
      <c r="D509" s="777"/>
      <c r="E509" s="750"/>
      <c r="F509" s="652"/>
      <c r="G509" s="652"/>
      <c r="H509" s="652"/>
      <c r="I509" s="750"/>
    </row>
    <row r="510" spans="1:11" ht="20" thickBot="1">
      <c r="A510" s="1542" t="s">
        <v>4249</v>
      </c>
      <c r="B510" s="1544" t="s">
        <v>4218</v>
      </c>
      <c r="C510" s="1545"/>
      <c r="D510" s="1546" t="s">
        <v>4219</v>
      </c>
      <c r="E510" s="1547"/>
      <c r="F510" s="1547"/>
      <c r="G510" s="1547"/>
      <c r="H510" s="1545"/>
      <c r="I510" s="798"/>
    </row>
    <row r="511" spans="1:11" ht="17" thickBot="1">
      <c r="A511" s="1543"/>
      <c r="B511" s="799" t="s">
        <v>134</v>
      </c>
      <c r="C511" s="800" t="s">
        <v>4214</v>
      </c>
      <c r="D511" s="801" t="s">
        <v>134</v>
      </c>
      <c r="E511" s="802" t="s">
        <v>4220</v>
      </c>
      <c r="F511" s="802" t="s">
        <v>4214</v>
      </c>
      <c r="G511" s="802" t="s">
        <v>4213</v>
      </c>
      <c r="H511" s="803" t="s">
        <v>4215</v>
      </c>
      <c r="I511" s="798"/>
    </row>
    <row r="512" spans="1:11">
      <c r="A512" s="757"/>
      <c r="B512" s="804"/>
      <c r="C512" s="805"/>
      <c r="D512" s="758"/>
      <c r="E512" s="759"/>
      <c r="F512" s="759"/>
      <c r="G512" s="805"/>
      <c r="H512" s="760"/>
      <c r="I512" s="798"/>
      <c r="K512" s="652"/>
    </row>
    <row r="513" spans="1:13">
      <c r="A513" s="762" t="s">
        <v>99</v>
      </c>
      <c r="B513" s="806">
        <v>11.501379310344827</v>
      </c>
      <c r="C513" s="807">
        <v>7.475896551724138</v>
      </c>
      <c r="D513" s="808">
        <v>12.274597701149426</v>
      </c>
      <c r="E513" s="764">
        <v>7.9784885057471273</v>
      </c>
      <c r="F513" s="764">
        <v>7.9784885057471273</v>
      </c>
      <c r="G513" s="764">
        <f>F513*H508</f>
        <v>8.0389666865135592</v>
      </c>
      <c r="H513" s="764">
        <f>G513</f>
        <v>8.0389666865135592</v>
      </c>
      <c r="I513" s="809" t="s">
        <v>4221</v>
      </c>
    </row>
    <row r="514" spans="1:13">
      <c r="A514" s="792" t="s">
        <v>99</v>
      </c>
      <c r="B514" s="810">
        <v>16677</v>
      </c>
      <c r="C514" s="811">
        <v>10840.05</v>
      </c>
      <c r="D514" s="769">
        <v>17798.166666666668</v>
      </c>
      <c r="E514" s="770">
        <v>11568.808333333334</v>
      </c>
      <c r="F514" s="770">
        <v>11568.808333333334</v>
      </c>
      <c r="G514" s="770">
        <f>F514*H508</f>
        <v>11656.50169544466</v>
      </c>
      <c r="H514" s="812">
        <f>G514</f>
        <v>11656.50169544466</v>
      </c>
      <c r="I514" s="809" t="s">
        <v>4209</v>
      </c>
    </row>
    <row r="515" spans="1:13">
      <c r="A515" s="792" t="s">
        <v>99</v>
      </c>
      <c r="B515" s="810">
        <v>100062</v>
      </c>
      <c r="C515" s="811">
        <v>65040.299999999996</v>
      </c>
      <c r="D515" s="769">
        <v>106789</v>
      </c>
      <c r="E515" s="770">
        <v>69412.850000000006</v>
      </c>
      <c r="F515" s="770">
        <v>69412.850000000006</v>
      </c>
      <c r="G515" s="811">
        <f>F515*H508</f>
        <v>69939.010172667957</v>
      </c>
      <c r="H515" s="771">
        <f>G515</f>
        <v>69939.010172667957</v>
      </c>
      <c r="I515" s="809" t="s">
        <v>4210</v>
      </c>
    </row>
    <row r="516" spans="1:13">
      <c r="B516" s="751"/>
      <c r="C516" s="751"/>
      <c r="D516" s="749"/>
      <c r="E516" s="751"/>
    </row>
    <row r="517" spans="1:13">
      <c r="A517" s="652" t="s">
        <v>1429</v>
      </c>
      <c r="B517" s="751"/>
      <c r="C517" s="751"/>
      <c r="D517" s="749"/>
      <c r="E517" s="751"/>
    </row>
    <row r="518" spans="1:13">
      <c r="A518" s="171" t="s">
        <v>252</v>
      </c>
      <c r="B518" s="751"/>
      <c r="C518" s="751"/>
      <c r="D518" s="749"/>
      <c r="E518" s="751"/>
      <c r="I518" s="751"/>
      <c r="M518" s="813"/>
    </row>
    <row r="519" spans="1:13">
      <c r="A519" s="171" t="s">
        <v>253</v>
      </c>
      <c r="I519" s="751"/>
    </row>
    <row r="520" spans="1:13">
      <c r="A520" s="171" t="s">
        <v>809</v>
      </c>
      <c r="I520" s="751"/>
    </row>
    <row r="521" spans="1:13">
      <c r="A521" s="171" t="s">
        <v>1431</v>
      </c>
      <c r="I521" s="751"/>
    </row>
    <row r="522" spans="1:13">
      <c r="I522" s="751"/>
    </row>
    <row r="523" spans="1:13">
      <c r="A523" s="171" t="s">
        <v>724</v>
      </c>
      <c r="B523" s="751"/>
      <c r="C523" s="751"/>
      <c r="D523" s="749"/>
      <c r="E523" s="751"/>
    </row>
    <row r="524" spans="1:13">
      <c r="A524" s="171" t="s">
        <v>1430</v>
      </c>
      <c r="B524" s="751"/>
      <c r="C524" s="751"/>
      <c r="D524" s="749"/>
      <c r="E524" s="751"/>
    </row>
    <row r="525" spans="1:13">
      <c r="A525" s="171" t="s">
        <v>1426</v>
      </c>
      <c r="B525" s="751"/>
      <c r="C525" s="751"/>
      <c r="D525" s="749"/>
      <c r="E525" s="751"/>
    </row>
    <row r="526" spans="1:13">
      <c r="B526" s="751"/>
      <c r="C526" s="751"/>
      <c r="D526" s="749"/>
      <c r="E526" s="751"/>
    </row>
    <row r="527" spans="1:13">
      <c r="A527" s="652" t="s">
        <v>251</v>
      </c>
      <c r="B527" s="751"/>
      <c r="C527" s="751"/>
      <c r="D527" s="749"/>
      <c r="E527" s="751"/>
    </row>
    <row r="528" spans="1:13">
      <c r="B528" s="652" t="s">
        <v>232</v>
      </c>
      <c r="C528" s="652" t="s">
        <v>233</v>
      </c>
      <c r="D528" s="652" t="s">
        <v>234</v>
      </c>
      <c r="E528" s="652" t="s">
        <v>235</v>
      </c>
      <c r="F528" s="652" t="s">
        <v>236</v>
      </c>
      <c r="G528" s="652"/>
      <c r="H528" s="751"/>
    </row>
    <row r="529" spans="1:8">
      <c r="B529" s="748">
        <v>3.9E-2</v>
      </c>
      <c r="C529" s="748">
        <v>4.7E-2</v>
      </c>
      <c r="D529" s="748">
        <v>5.8000000000000003E-2</v>
      </c>
      <c r="E529" s="748">
        <v>6.8000000000000005E-2</v>
      </c>
      <c r="F529" s="171" t="s">
        <v>238</v>
      </c>
      <c r="H529" s="751"/>
    </row>
    <row r="530" spans="1:8">
      <c r="A530" s="171" t="s">
        <v>237</v>
      </c>
      <c r="B530" s="748">
        <v>2.7E-2</v>
      </c>
      <c r="C530" s="748">
        <v>3.1E-2</v>
      </c>
      <c r="D530" s="748">
        <v>3.3000000000000002E-2</v>
      </c>
      <c r="E530" s="749">
        <f>E529*0.55</f>
        <v>3.7400000000000003E-2</v>
      </c>
      <c r="F530" s="171" t="s">
        <v>238</v>
      </c>
      <c r="H530" s="751"/>
    </row>
    <row r="531" spans="1:8">
      <c r="A531" s="171" t="s">
        <v>239</v>
      </c>
      <c r="B531" s="751"/>
      <c r="C531" s="749"/>
      <c r="D531" s="751"/>
      <c r="H531" s="751"/>
    </row>
    <row r="532" spans="1:8">
      <c r="B532" s="652" t="s">
        <v>241</v>
      </c>
      <c r="C532" s="652" t="s">
        <v>242</v>
      </c>
      <c r="D532" s="652" t="s">
        <v>243</v>
      </c>
      <c r="E532" s="652" t="s">
        <v>244</v>
      </c>
      <c r="F532" s="652" t="s">
        <v>245</v>
      </c>
      <c r="G532" s="652"/>
      <c r="H532" s="652" t="s">
        <v>236</v>
      </c>
    </row>
    <row r="533" spans="1:8">
      <c r="B533" s="748">
        <v>7.4999999999999997E-2</v>
      </c>
      <c r="C533" s="748">
        <f>0.0098*6+0.0285</f>
        <v>8.7300000000000003E-2</v>
      </c>
      <c r="D533" s="748">
        <v>5.8999999999999997E-2</v>
      </c>
      <c r="E533" s="748">
        <v>0.06</v>
      </c>
      <c r="F533" s="748">
        <v>0.10100000000000001</v>
      </c>
      <c r="G533" s="748"/>
      <c r="H533" s="171" t="s">
        <v>238</v>
      </c>
    </row>
    <row r="534" spans="1:8" ht="34">
      <c r="A534" s="171" t="s">
        <v>237</v>
      </c>
      <c r="B534" s="748">
        <v>7.8E-2</v>
      </c>
      <c r="C534" s="748">
        <v>7.8E-2</v>
      </c>
      <c r="D534" s="749" t="s">
        <v>240</v>
      </c>
      <c r="E534" s="748">
        <v>0.04</v>
      </c>
      <c r="F534" s="748">
        <v>7.2999999999999995E-2</v>
      </c>
      <c r="G534" s="748"/>
      <c r="H534" s="171" t="s">
        <v>238</v>
      </c>
    </row>
    <row r="535" spans="1:8">
      <c r="A535" s="171" t="s">
        <v>239</v>
      </c>
      <c r="B535" s="748"/>
      <c r="C535" s="748"/>
      <c r="D535" s="748"/>
      <c r="E535" s="749"/>
      <c r="F535" s="748"/>
      <c r="G535" s="748"/>
      <c r="H535" s="748"/>
    </row>
    <row r="536" spans="1:8">
      <c r="B536" s="710"/>
      <c r="C536" s="710"/>
    </row>
    <row r="537" spans="1:8">
      <c r="A537" s="652" t="s">
        <v>250</v>
      </c>
    </row>
    <row r="538" spans="1:8">
      <c r="A538" s="171" t="s">
        <v>254</v>
      </c>
    </row>
    <row r="539" spans="1:8">
      <c r="A539" s="171" t="s">
        <v>255</v>
      </c>
      <c r="F539" s="705">
        <v>0.35</v>
      </c>
      <c r="G539" s="705"/>
    </row>
    <row r="540" spans="1:8">
      <c r="F540" s="705"/>
      <c r="G540" s="705"/>
    </row>
    <row r="541" spans="1:8">
      <c r="A541" s="652" t="s">
        <v>1511</v>
      </c>
      <c r="B541" s="748"/>
      <c r="C541" s="748"/>
      <c r="D541" s="748"/>
      <c r="E541" s="749"/>
      <c r="F541" s="748"/>
      <c r="G541" s="748"/>
      <c r="H541" s="748"/>
    </row>
    <row r="542" spans="1:8">
      <c r="A542" s="652"/>
      <c r="B542" s="748"/>
      <c r="C542" s="748"/>
      <c r="D542" s="748"/>
      <c r="E542" s="749"/>
      <c r="F542" s="748"/>
      <c r="G542" s="748"/>
      <c r="H542" s="748"/>
    </row>
    <row r="543" spans="1:8">
      <c r="B543" s="652" t="s">
        <v>232</v>
      </c>
      <c r="C543" s="652" t="s">
        <v>233</v>
      </c>
      <c r="D543" s="652" t="s">
        <v>234</v>
      </c>
      <c r="E543" s="652" t="s">
        <v>235</v>
      </c>
      <c r="F543" s="652" t="s">
        <v>236</v>
      </c>
      <c r="G543" s="652"/>
    </row>
    <row r="544" spans="1:8">
      <c r="A544" s="171" t="s">
        <v>721</v>
      </c>
      <c r="B544" s="748">
        <v>2.5000000000000001E-2</v>
      </c>
      <c r="C544" s="748">
        <v>3.4000000000000002E-2</v>
      </c>
      <c r="D544" s="749">
        <v>3.9E-2</v>
      </c>
      <c r="E544" s="748">
        <v>4.2000000000000003E-2</v>
      </c>
      <c r="F544" s="171" t="s">
        <v>238</v>
      </c>
    </row>
    <row r="545" spans="1:12">
      <c r="A545" s="171" t="s">
        <v>722</v>
      </c>
      <c r="B545" s="748">
        <v>8.9999999999999993E-3</v>
      </c>
      <c r="C545" s="748">
        <v>1.4E-2</v>
      </c>
      <c r="D545" s="749">
        <v>1.7999999999999999E-2</v>
      </c>
      <c r="E545" s="748">
        <v>1.7000000000000001E-2</v>
      </c>
      <c r="F545" s="171" t="s">
        <v>238</v>
      </c>
    </row>
    <row r="546" spans="1:12">
      <c r="A546" s="171" t="s">
        <v>723</v>
      </c>
      <c r="B546" s="748">
        <f>SUM(B544:B545)</f>
        <v>3.4000000000000002E-2</v>
      </c>
      <c r="C546" s="748">
        <f t="shared" ref="C546:E546" si="129">SUM(C544:C545)</f>
        <v>4.8000000000000001E-2</v>
      </c>
      <c r="D546" s="748">
        <f t="shared" si="129"/>
        <v>5.6999999999999995E-2</v>
      </c>
      <c r="E546" s="748">
        <f t="shared" si="129"/>
        <v>5.9000000000000004E-2</v>
      </c>
      <c r="F546" s="171" t="s">
        <v>238</v>
      </c>
    </row>
    <row r="547" spans="1:12">
      <c r="B547" s="748"/>
      <c r="C547" s="748"/>
      <c r="D547" s="748"/>
      <c r="E547" s="748"/>
      <c r="F547" s="748"/>
      <c r="G547" s="748"/>
      <c r="I547" s="751"/>
    </row>
    <row r="548" spans="1:12">
      <c r="A548" s="171" t="s">
        <v>725</v>
      </c>
      <c r="B548" s="751">
        <v>1.4999999999999999E-2</v>
      </c>
      <c r="C548" s="749">
        <v>1.6E-2</v>
      </c>
      <c r="D548" s="751">
        <v>1.6E-2</v>
      </c>
      <c r="E548" s="751">
        <v>1.6E-2</v>
      </c>
      <c r="F548" s="171" t="s">
        <v>238</v>
      </c>
      <c r="H548" s="751"/>
      <c r="I548" s="171" t="s">
        <v>238</v>
      </c>
    </row>
    <row r="549" spans="1:12">
      <c r="A549" s="171" t="s">
        <v>726</v>
      </c>
      <c r="B549" s="751">
        <v>8.9999999999999993E-3</v>
      </c>
      <c r="C549" s="749">
        <v>8.0000000000000002E-3</v>
      </c>
      <c r="D549" s="751">
        <v>1.0999999999999999E-2</v>
      </c>
      <c r="E549" s="751">
        <v>1.0999999999999999E-2</v>
      </c>
      <c r="F549" s="171" t="s">
        <v>238</v>
      </c>
      <c r="H549" s="751"/>
      <c r="I549" s="171" t="s">
        <v>238</v>
      </c>
    </row>
    <row r="550" spans="1:12">
      <c r="A550" s="171" t="s">
        <v>727</v>
      </c>
      <c r="B550" s="748">
        <f>SUM(B548:B549)</f>
        <v>2.4E-2</v>
      </c>
      <c r="C550" s="748">
        <f>SUM(C548:C549)</f>
        <v>2.4E-2</v>
      </c>
      <c r="D550" s="748">
        <f t="shared" ref="D550:E550" si="130">SUM(D548:D549)</f>
        <v>2.7E-2</v>
      </c>
      <c r="E550" s="748">
        <f t="shared" si="130"/>
        <v>2.7E-2</v>
      </c>
      <c r="F550" s="171" t="s">
        <v>238</v>
      </c>
      <c r="H550" s="751"/>
      <c r="I550" s="171" t="s">
        <v>238</v>
      </c>
      <c r="K550" s="652" t="s">
        <v>116</v>
      </c>
    </row>
    <row r="551" spans="1:12">
      <c r="B551" s="751"/>
      <c r="C551" s="751"/>
      <c r="D551" s="751"/>
      <c r="E551" s="751"/>
      <c r="H551" s="751"/>
      <c r="K551" s="171" t="s">
        <v>1507</v>
      </c>
    </row>
    <row r="552" spans="1:12">
      <c r="B552" s="652" t="s">
        <v>241</v>
      </c>
      <c r="C552" s="652" t="s">
        <v>242</v>
      </c>
      <c r="D552" s="652" t="s">
        <v>243</v>
      </c>
      <c r="E552" s="652" t="s">
        <v>1067</v>
      </c>
      <c r="F552" s="652" t="s">
        <v>244</v>
      </c>
      <c r="G552" s="652"/>
      <c r="H552" s="652" t="s">
        <v>245</v>
      </c>
      <c r="I552" s="171" t="s">
        <v>238</v>
      </c>
      <c r="K552" s="171" t="s">
        <v>1510</v>
      </c>
    </row>
    <row r="553" spans="1:12">
      <c r="A553" s="171" t="s">
        <v>721</v>
      </c>
      <c r="B553" s="751">
        <v>4.8000000000000001E-2</v>
      </c>
      <c r="C553" s="751">
        <f>B553/$B$555*C555</f>
        <v>5.2380000000000003E-2</v>
      </c>
      <c r="D553" s="751">
        <v>3.5999999999999997E-2</v>
      </c>
      <c r="F553" s="751">
        <v>3.9E-2</v>
      </c>
      <c r="G553" s="751"/>
      <c r="H553" s="751">
        <v>5.5E-2</v>
      </c>
      <c r="I553" s="171" t="s">
        <v>238</v>
      </c>
      <c r="K553" s="171" t="s">
        <v>4350</v>
      </c>
    </row>
    <row r="554" spans="1:12">
      <c r="A554" s="171" t="s">
        <v>722</v>
      </c>
      <c r="B554" s="751">
        <v>3.2000000000000001E-2</v>
      </c>
      <c r="C554" s="751">
        <f>B554/$B$555*$C$555</f>
        <v>3.492E-2</v>
      </c>
      <c r="D554" s="751">
        <v>1.6E-2</v>
      </c>
      <c r="F554" s="751">
        <v>1.7000000000000001E-2</v>
      </c>
      <c r="G554" s="751"/>
      <c r="H554" s="751">
        <v>2.5999999999999999E-2</v>
      </c>
      <c r="I554" s="171" t="s">
        <v>238</v>
      </c>
    </row>
    <row r="555" spans="1:12">
      <c r="A555" s="171" t="s">
        <v>723</v>
      </c>
      <c r="B555" s="748">
        <f>SUM(B553:B554)</f>
        <v>0.08</v>
      </c>
      <c r="C555" s="748">
        <f>C533</f>
        <v>8.7300000000000003E-2</v>
      </c>
      <c r="D555" s="751">
        <f t="shared" ref="D555" si="131">SUM(D553:D554)</f>
        <v>5.1999999999999998E-2</v>
      </c>
      <c r="F555" s="751">
        <f t="shared" ref="F555:H555" si="132">SUM(F553:F554)</f>
        <v>5.6000000000000001E-2</v>
      </c>
      <c r="G555" s="751"/>
      <c r="H555" s="751">
        <f t="shared" si="132"/>
        <v>8.1000000000000003E-2</v>
      </c>
    </row>
    <row r="556" spans="1:12">
      <c r="B556" s="748"/>
      <c r="C556" s="748"/>
      <c r="D556" s="751"/>
      <c r="F556" s="751"/>
      <c r="G556" s="751"/>
      <c r="H556" s="751"/>
      <c r="I556" s="750" t="s">
        <v>714</v>
      </c>
    </row>
    <row r="557" spans="1:12">
      <c r="A557" s="171" t="s">
        <v>725</v>
      </c>
      <c r="B557" s="748">
        <v>0.03</v>
      </c>
      <c r="C557" s="748">
        <v>0.03</v>
      </c>
      <c r="D557" s="751">
        <f>D553/C553*C557</f>
        <v>2.0618556701030924E-2</v>
      </c>
      <c r="F557" s="751">
        <v>1.7000000000000001E-2</v>
      </c>
      <c r="G557" s="751"/>
      <c r="H557" s="751">
        <v>2.9000000000000001E-2</v>
      </c>
      <c r="I557" s="751">
        <v>7.4999999999999997E-2</v>
      </c>
    </row>
    <row r="558" spans="1:12">
      <c r="A558" s="171" t="s">
        <v>726</v>
      </c>
      <c r="B558" s="748">
        <v>3.6999999999999998E-2</v>
      </c>
      <c r="C558" s="748">
        <v>3.6999999999999998E-2</v>
      </c>
      <c r="D558" s="751">
        <f t="shared" ref="D558:D559" si="133">D554/C554*C558</f>
        <v>1.6953035509736543E-2</v>
      </c>
      <c r="F558" s="751">
        <v>1.7000000000000001E-2</v>
      </c>
      <c r="G558" s="751"/>
      <c r="H558" s="751">
        <v>3.5000000000000003E-2</v>
      </c>
      <c r="I558" s="751">
        <v>6.0000000000000001E-3</v>
      </c>
    </row>
    <row r="559" spans="1:12" ht="17" customHeight="1">
      <c r="A559" s="171" t="s">
        <v>727</v>
      </c>
      <c r="B559" s="748">
        <f>SUM(B557:B558)</f>
        <v>6.7000000000000004E-2</v>
      </c>
      <c r="C559" s="748">
        <f>SUM(C557:C558)</f>
        <v>6.7000000000000004E-2</v>
      </c>
      <c r="D559" s="751">
        <f t="shared" si="133"/>
        <v>3.9908361970217646E-2</v>
      </c>
      <c r="F559" s="748">
        <f>SUM(F557:F558)</f>
        <v>3.4000000000000002E-2</v>
      </c>
      <c r="G559" s="748"/>
      <c r="H559" s="748">
        <f t="shared" ref="H559" si="134">SUM(H557:H558)</f>
        <v>6.4000000000000001E-2</v>
      </c>
      <c r="I559" s="748">
        <f>SUM(I557:I558)</f>
        <v>8.1000000000000003E-2</v>
      </c>
      <c r="L559" s="616"/>
    </row>
    <row r="560" spans="1:12">
      <c r="B560" s="748"/>
      <c r="C560" s="748"/>
      <c r="D560" s="749"/>
      <c r="E560" s="748"/>
      <c r="F560" s="748"/>
      <c r="G560" s="748"/>
      <c r="I560" s="750"/>
      <c r="L560" s="710"/>
    </row>
    <row r="561" spans="1:14" ht="17" customHeight="1">
      <c r="A561" s="171" t="s">
        <v>4351</v>
      </c>
      <c r="B561" s="814" t="s">
        <v>890</v>
      </c>
      <c r="C561" s="652" t="s">
        <v>892</v>
      </c>
      <c r="D561" s="814" t="s">
        <v>1434</v>
      </c>
      <c r="E561" s="814" t="s">
        <v>728</v>
      </c>
      <c r="F561" s="652" t="s">
        <v>850</v>
      </c>
      <c r="G561" s="652"/>
      <c r="H561" s="814" t="s">
        <v>729</v>
      </c>
      <c r="I561" s="751">
        <v>0.05</v>
      </c>
      <c r="L561" s="710"/>
    </row>
    <row r="562" spans="1:14">
      <c r="A562" s="171" t="s">
        <v>730</v>
      </c>
      <c r="B562" s="748">
        <v>0.05</v>
      </c>
      <c r="C562" s="171">
        <v>6.2E-2</v>
      </c>
      <c r="D562" s="748">
        <v>7.4999999999999997E-2</v>
      </c>
      <c r="E562" s="748">
        <v>0.05</v>
      </c>
      <c r="F562" s="171">
        <v>6.2E-2</v>
      </c>
      <c r="H562" s="748">
        <v>7.4999999999999997E-2</v>
      </c>
      <c r="I562" s="751">
        <v>0.01</v>
      </c>
      <c r="L562" s="710"/>
    </row>
    <row r="563" spans="1:14">
      <c r="A563" s="171" t="s">
        <v>731</v>
      </c>
      <c r="B563" s="748">
        <v>4.0000000000000001E-3</v>
      </c>
      <c r="C563" s="171">
        <v>5.0000000000000001E-3</v>
      </c>
      <c r="D563" s="748">
        <v>6.0000000000000001E-3</v>
      </c>
      <c r="E563" s="748">
        <v>4.0000000000000001E-3</v>
      </c>
      <c r="F563" s="171">
        <v>5.0000000000000001E-3</v>
      </c>
      <c r="H563" s="748">
        <v>6.0000000000000001E-3</v>
      </c>
      <c r="I563" s="748">
        <f t="shared" ref="I563" si="135">SUM(I561:I562)</f>
        <v>6.0000000000000005E-2</v>
      </c>
      <c r="L563" s="710"/>
      <c r="M563" s="710"/>
      <c r="N563" s="710"/>
    </row>
    <row r="564" spans="1:14">
      <c r="A564" s="171" t="s">
        <v>732</v>
      </c>
      <c r="B564" s="748">
        <f>SUM(B562:B563)</f>
        <v>5.4000000000000006E-2</v>
      </c>
      <c r="C564" s="171">
        <v>6.7000000000000004E-2</v>
      </c>
      <c r="D564" s="748">
        <v>8.1000000000000003E-2</v>
      </c>
      <c r="E564" s="748">
        <f>SUM(E562:E563)</f>
        <v>5.4000000000000006E-2</v>
      </c>
      <c r="F564" s="171">
        <v>6.7000000000000004E-2</v>
      </c>
      <c r="H564" s="748">
        <v>8.1000000000000003E-2</v>
      </c>
      <c r="L564" s="710"/>
      <c r="M564" s="710"/>
      <c r="N564" s="710"/>
    </row>
    <row r="565" spans="1:14">
      <c r="B565" s="814"/>
      <c r="D565" s="814"/>
      <c r="E565" s="814"/>
      <c r="H565" s="814"/>
      <c r="I565" s="751"/>
      <c r="L565" s="710"/>
      <c r="M565" s="710"/>
      <c r="N565" s="710"/>
    </row>
    <row r="566" spans="1:14">
      <c r="A566" s="171" t="s">
        <v>733</v>
      </c>
      <c r="B566" s="748">
        <v>0.03</v>
      </c>
      <c r="C566" s="171">
        <v>4.4999999999999998E-2</v>
      </c>
      <c r="D566" s="748">
        <v>0.05</v>
      </c>
      <c r="E566" s="748">
        <v>0.03</v>
      </c>
      <c r="F566" s="171">
        <v>4.4999999999999998E-2</v>
      </c>
      <c r="H566" s="748">
        <v>0.05</v>
      </c>
      <c r="I566" s="751"/>
    </row>
    <row r="567" spans="1:14">
      <c r="A567" s="171" t="s">
        <v>734</v>
      </c>
      <c r="B567" s="748">
        <v>8.0000000000000002E-3</v>
      </c>
      <c r="C567" s="171">
        <v>8.9999999999999993E-3</v>
      </c>
      <c r="D567" s="748">
        <v>0.01</v>
      </c>
      <c r="E567" s="748">
        <v>8.0000000000000002E-3</v>
      </c>
      <c r="F567" s="171">
        <v>8.9999999999999993E-3</v>
      </c>
      <c r="H567" s="748">
        <v>0.01</v>
      </c>
      <c r="I567" s="751"/>
    </row>
    <row r="568" spans="1:14">
      <c r="A568" s="171" t="s">
        <v>735</v>
      </c>
      <c r="B568" s="748">
        <f>SUM(B566:B567)</f>
        <v>3.7999999999999999E-2</v>
      </c>
      <c r="C568" s="171">
        <v>5.3999999999999999E-2</v>
      </c>
      <c r="D568" s="748">
        <v>6.0000000000000005E-2</v>
      </c>
      <c r="E568" s="748">
        <f>SUM(E566:E567)</f>
        <v>3.7999999999999999E-2</v>
      </c>
      <c r="F568" s="171">
        <v>5.3999999999999999E-2</v>
      </c>
      <c r="H568" s="748">
        <v>6.0000000000000005E-2</v>
      </c>
      <c r="I568" s="751"/>
    </row>
    <row r="569" spans="1:14">
      <c r="B569" s="748"/>
      <c r="C569" s="748"/>
      <c r="D569" s="751"/>
      <c r="E569" s="751"/>
      <c r="F569" s="751"/>
      <c r="G569" s="751"/>
      <c r="I569" s="751"/>
    </row>
    <row r="570" spans="1:14">
      <c r="B570" s="652" t="s">
        <v>1505</v>
      </c>
      <c r="C570" s="652" t="s">
        <v>1506</v>
      </c>
      <c r="D570" s="750" t="s">
        <v>247</v>
      </c>
      <c r="E570" s="750" t="s">
        <v>1504</v>
      </c>
      <c r="F570" s="751"/>
      <c r="G570" s="751"/>
      <c r="H570" s="751"/>
    </row>
    <row r="571" spans="1:14">
      <c r="A571" s="171" t="s">
        <v>1503</v>
      </c>
      <c r="B571" s="751">
        <f>AVERAGE(E550,B559)+B573</f>
        <v>5.1999999999999998E-2</v>
      </c>
      <c r="C571" s="749">
        <f>AVERAGE(F559:H559)+B573</f>
        <v>5.3999999999999999E-2</v>
      </c>
      <c r="D571" s="751">
        <f>B568+B573</f>
        <v>4.2999999999999997E-2</v>
      </c>
      <c r="E571" s="751">
        <f>D568+B573</f>
        <v>6.5000000000000002E-2</v>
      </c>
      <c r="F571" s="751"/>
      <c r="G571" s="751"/>
      <c r="H571" s="751"/>
      <c r="I571" s="751"/>
    </row>
    <row r="572" spans="1:14">
      <c r="B572" s="751"/>
      <c r="C572" s="751"/>
      <c r="D572" s="749"/>
      <c r="E572" s="751"/>
      <c r="I572" s="751"/>
    </row>
    <row r="573" spans="1:14">
      <c r="A573" s="719" t="s">
        <v>1508</v>
      </c>
      <c r="B573" s="721">
        <v>5.0000000000000001E-3</v>
      </c>
      <c r="C573" s="751"/>
      <c r="D573" s="752" t="s">
        <v>1509</v>
      </c>
      <c r="E573" s="751"/>
      <c r="I573" s="751"/>
    </row>
    <row r="574" spans="1:14">
      <c r="B574" s="751"/>
      <c r="C574" s="751"/>
      <c r="D574" s="749"/>
      <c r="E574" s="751"/>
    </row>
    <row r="575" spans="1:14">
      <c r="B575" s="748"/>
      <c r="C575" s="748"/>
      <c r="D575" s="751"/>
      <c r="E575" s="751"/>
      <c r="F575" s="751"/>
      <c r="G575" s="751"/>
    </row>
    <row r="576" spans="1:14">
      <c r="A576" s="652" t="s">
        <v>250</v>
      </c>
      <c r="B576" s="751"/>
      <c r="C576" s="751"/>
      <c r="D576" s="749"/>
      <c r="E576" s="751"/>
    </row>
    <row r="577" spans="1:6">
      <c r="A577" s="171" t="s">
        <v>724</v>
      </c>
      <c r="B577" s="751"/>
      <c r="C577" s="751"/>
      <c r="D577" s="749"/>
      <c r="E577" s="751"/>
    </row>
    <row r="578" spans="1:6">
      <c r="A578" s="171" t="s">
        <v>817</v>
      </c>
      <c r="B578" s="751"/>
      <c r="C578" s="751"/>
      <c r="D578" s="749"/>
      <c r="E578" s="751"/>
    </row>
    <row r="579" spans="1:6">
      <c r="A579" s="652"/>
    </row>
    <row r="580" spans="1:6">
      <c r="A580" s="652" t="s">
        <v>103</v>
      </c>
    </row>
    <row r="581" spans="1:6">
      <c r="A581" s="171" t="s">
        <v>256</v>
      </c>
      <c r="B581" s="703" t="s">
        <v>257</v>
      </c>
      <c r="C581" s="703"/>
    </row>
    <row r="582" spans="1:6">
      <c r="A582" s="171" t="s">
        <v>104</v>
      </c>
      <c r="B582" s="703" t="s">
        <v>105</v>
      </c>
      <c r="C582" s="703"/>
    </row>
    <row r="583" spans="1:6">
      <c r="A583" s="171" t="s">
        <v>258</v>
      </c>
      <c r="B583" s="703" t="s">
        <v>259</v>
      </c>
      <c r="C583" s="703"/>
    </row>
    <row r="584" spans="1:6">
      <c r="A584" s="171" t="s">
        <v>736</v>
      </c>
      <c r="B584" s="703"/>
      <c r="C584" s="703"/>
    </row>
    <row r="585" spans="1:6">
      <c r="A585" s="171" t="s">
        <v>1432</v>
      </c>
      <c r="B585" s="815" t="s">
        <v>1433</v>
      </c>
      <c r="C585" s="703"/>
    </row>
    <row r="586" spans="1:6">
      <c r="B586" s="703"/>
      <c r="C586" s="703"/>
    </row>
    <row r="587" spans="1:6">
      <c r="A587" s="747" t="s">
        <v>708</v>
      </c>
    </row>
    <row r="588" spans="1:6">
      <c r="A588" s="747"/>
      <c r="E588" s="171" t="s">
        <v>4332</v>
      </c>
      <c r="F588" s="171" t="s">
        <v>4333</v>
      </c>
    </row>
    <row r="589" spans="1:6">
      <c r="A589" s="171" t="s">
        <v>4334</v>
      </c>
      <c r="D589" s="546"/>
      <c r="E589" s="816">
        <v>200</v>
      </c>
      <c r="F589" s="705">
        <v>0.01</v>
      </c>
    </row>
    <row r="590" spans="1:6">
      <c r="A590" s="171" t="s">
        <v>713</v>
      </c>
      <c r="B590" s="817">
        <v>1.2999999999999999E-2</v>
      </c>
      <c r="C590" s="818"/>
      <c r="D590" s="546" t="s">
        <v>100</v>
      </c>
    </row>
    <row r="591" spans="1:6">
      <c r="A591" s="816" t="s">
        <v>4243</v>
      </c>
      <c r="B591" s="721">
        <v>3.7999999999999999E-2</v>
      </c>
      <c r="D591" s="546" t="s">
        <v>100</v>
      </c>
    </row>
    <row r="592" spans="1:6">
      <c r="A592" s="552" t="s">
        <v>4244</v>
      </c>
      <c r="B592" s="673">
        <f>B591/SUM(B590:B591)</f>
        <v>0.74509803921568629</v>
      </c>
      <c r="C592" s="818"/>
      <c r="D592" s="546"/>
    </row>
    <row r="593" spans="1:5">
      <c r="A593" s="552"/>
      <c r="B593" s="673"/>
      <c r="C593" s="818"/>
      <c r="D593" s="546"/>
    </row>
    <row r="594" spans="1:5">
      <c r="A594" s="552"/>
      <c r="B594" s="1565" t="s">
        <v>134</v>
      </c>
      <c r="C594" s="1565"/>
      <c r="D594" s="1565"/>
    </row>
    <row r="595" spans="1:5">
      <c r="A595" s="171" t="s">
        <v>4240</v>
      </c>
      <c r="B595" s="819" t="s">
        <v>2044</v>
      </c>
      <c r="C595" s="819" t="s">
        <v>4241</v>
      </c>
      <c r="D595" s="820" t="s">
        <v>1640</v>
      </c>
    </row>
    <row r="596" spans="1:5">
      <c r="A596" s="719" t="s">
        <v>4245</v>
      </c>
      <c r="B596" s="705">
        <v>7.0000000000000007E-2</v>
      </c>
      <c r="C596" s="705">
        <v>0.05</v>
      </c>
      <c r="D596" s="821">
        <v>0.02</v>
      </c>
      <c r="E596" s="171" t="s">
        <v>4263</v>
      </c>
    </row>
    <row r="597" spans="1:5">
      <c r="A597" s="719" t="s">
        <v>4264</v>
      </c>
      <c r="B597" s="728">
        <v>13500</v>
      </c>
      <c r="C597" s="822">
        <v>19000</v>
      </c>
      <c r="D597" s="546">
        <v>1450</v>
      </c>
    </row>
    <row r="598" spans="1:5">
      <c r="A598" s="719" t="s">
        <v>4265</v>
      </c>
      <c r="B598" s="715">
        <f>(K27*B596)/B597</f>
        <v>0.14984666666666668</v>
      </c>
      <c r="C598" s="616">
        <f>(C596*Netto_cat_die_vuilniswagen)/C597</f>
        <v>0.31578947368421051</v>
      </c>
      <c r="D598" s="823">
        <f>(Netto_cat_die_veegwagen*D596)/D597</f>
        <v>1.8550344827586207</v>
      </c>
    </row>
    <row r="599" spans="1:5">
      <c r="A599" s="719" t="s">
        <v>4267</v>
      </c>
      <c r="B599" s="715">
        <f>B598*B592</f>
        <v>0.11165045751633988</v>
      </c>
      <c r="C599" s="616">
        <f>C598*B592</f>
        <v>0.23529411764705882</v>
      </c>
      <c r="D599" s="823">
        <f>D598*B592</f>
        <v>1.3821825557809331</v>
      </c>
    </row>
    <row r="600" spans="1:5">
      <c r="A600" s="719" t="s">
        <v>4266</v>
      </c>
      <c r="B600" s="715">
        <f>B598-B599</f>
        <v>3.8196209150326801E-2</v>
      </c>
      <c r="C600" s="616">
        <f>C598-C599</f>
        <v>8.0495356037151689E-2</v>
      </c>
      <c r="D600" s="823">
        <f>D598-D599</f>
        <v>0.47285192697768763</v>
      </c>
    </row>
    <row r="601" spans="1:5">
      <c r="A601" s="719" t="s">
        <v>4242</v>
      </c>
      <c r="B601" s="707">
        <f>B597*B599</f>
        <v>1507.2811764705884</v>
      </c>
      <c r="C601" s="707">
        <f>C599*C597</f>
        <v>4470.588235294118</v>
      </c>
      <c r="D601" s="824">
        <f>D599*D597</f>
        <v>2004.164705882353</v>
      </c>
    </row>
    <row r="602" spans="1:5">
      <c r="A602" s="719"/>
      <c r="B602" s="715"/>
      <c r="D602" s="546"/>
    </row>
    <row r="603" spans="1:5">
      <c r="B603" s="1565" t="s">
        <v>165</v>
      </c>
      <c r="C603" s="1565"/>
      <c r="D603" s="1565"/>
    </row>
    <row r="604" spans="1:5">
      <c r="B604" s="819" t="s">
        <v>2044</v>
      </c>
      <c r="C604" s="819" t="s">
        <v>4241</v>
      </c>
      <c r="D604" s="820" t="s">
        <v>1640</v>
      </c>
    </row>
    <row r="605" spans="1:5">
      <c r="A605" s="719" t="s">
        <v>4242</v>
      </c>
      <c r="B605" s="825">
        <f>B601*B612</f>
        <v>2637.74205882353</v>
      </c>
      <c r="C605" s="825">
        <v>9000</v>
      </c>
      <c r="D605" s="825">
        <v>3000</v>
      </c>
      <c r="E605" s="171" t="s">
        <v>4285</v>
      </c>
    </row>
    <row r="606" spans="1:5">
      <c r="A606" s="719" t="s">
        <v>4266</v>
      </c>
      <c r="B606" s="826">
        <f>_schadekosten_per_km_veegvuilwagen</f>
        <v>3.8196209150326801E-2</v>
      </c>
      <c r="C606" s="826">
        <f>_schadekosten_per_km_huisvuilwagen</f>
        <v>8.0495356037151689E-2</v>
      </c>
      <c r="D606" s="826">
        <f>_schadekosten_per_bedrijfsuur_veegwagen</f>
        <v>0.47285192697768763</v>
      </c>
    </row>
    <row r="607" spans="1:5">
      <c r="B607" s="1565" t="s">
        <v>1436</v>
      </c>
      <c r="C607" s="1565"/>
      <c r="D607" s="1565"/>
    </row>
    <row r="608" spans="1:5">
      <c r="B608" s="819" t="s">
        <v>2044</v>
      </c>
      <c r="C608" s="819" t="s">
        <v>4241</v>
      </c>
      <c r="D608" s="820" t="s">
        <v>1640</v>
      </c>
    </row>
    <row r="609" spans="1:11">
      <c r="A609" s="719" t="s">
        <v>4242</v>
      </c>
      <c r="B609" s="825">
        <f>B601*B612</f>
        <v>2637.74205882353</v>
      </c>
      <c r="C609" s="825">
        <v>11000</v>
      </c>
      <c r="D609" s="825">
        <v>4000</v>
      </c>
      <c r="E609" s="171" t="s">
        <v>4285</v>
      </c>
    </row>
    <row r="610" spans="1:11">
      <c r="A610" s="719" t="s">
        <v>4266</v>
      </c>
      <c r="B610" s="826">
        <f>_schadekosten_per_km_veegvuilwagen</f>
        <v>3.8196209150326801E-2</v>
      </c>
      <c r="C610" s="826">
        <f>_schadekosten_per_km_huisvuilwagen</f>
        <v>8.0495356037151689E-2</v>
      </c>
      <c r="D610" s="826">
        <f>_schadekosten_per_bedrijfsuur_veegwagen</f>
        <v>0.47285192697768763</v>
      </c>
    </row>
    <row r="611" spans="1:11">
      <c r="A611" s="719"/>
      <c r="B611" s="827"/>
      <c r="C611" s="827"/>
      <c r="D611" s="827"/>
    </row>
    <row r="612" spans="1:11">
      <c r="A612" s="719" t="s">
        <v>4284</v>
      </c>
      <c r="B612" s="828">
        <v>1.75</v>
      </c>
      <c r="C612" s="827"/>
      <c r="D612" s="827"/>
      <c r="E612" s="171" t="s">
        <v>4285</v>
      </c>
    </row>
    <row r="613" spans="1:11">
      <c r="A613" s="719"/>
      <c r="B613" s="827"/>
      <c r="C613" s="827"/>
      <c r="D613" s="827"/>
    </row>
    <row r="614" spans="1:11">
      <c r="A614" s="652" t="s">
        <v>45</v>
      </c>
    </row>
    <row r="615" spans="1:11">
      <c r="A615" s="171" t="s">
        <v>107</v>
      </c>
    </row>
    <row r="616" spans="1:11">
      <c r="A616" s="171" t="s">
        <v>712</v>
      </c>
    </row>
    <row r="617" spans="1:11">
      <c r="A617" s="617" t="s">
        <v>4239</v>
      </c>
    </row>
    <row r="618" spans="1:11">
      <c r="A618" s="617"/>
    </row>
    <row r="619" spans="1:11">
      <c r="A619" s="652" t="s">
        <v>709</v>
      </c>
    </row>
    <row r="620" spans="1:11">
      <c r="A620" s="652"/>
    </row>
    <row r="621" spans="1:11">
      <c r="A621" s="652" t="s">
        <v>1497</v>
      </c>
      <c r="E621" s="171" t="s">
        <v>4352</v>
      </c>
    </row>
    <row r="622" spans="1:11">
      <c r="A622" s="652" t="s">
        <v>1501</v>
      </c>
    </row>
    <row r="623" spans="1:11">
      <c r="A623" s="652" t="s">
        <v>1502</v>
      </c>
      <c r="K623" s="652">
        <v>2025</v>
      </c>
    </row>
    <row r="624" spans="1:11">
      <c r="K624" s="705">
        <v>0.17</v>
      </c>
    </row>
    <row r="625" spans="1:11">
      <c r="A625" s="171" t="s">
        <v>260</v>
      </c>
      <c r="K625" s="707">
        <v>40000</v>
      </c>
    </row>
    <row r="626" spans="1:11">
      <c r="A626" s="171" t="s">
        <v>1498</v>
      </c>
    </row>
    <row r="627" spans="1:11">
      <c r="A627" s="171" t="s">
        <v>261</v>
      </c>
      <c r="B627" s="705">
        <v>0.25</v>
      </c>
    </row>
    <row r="628" spans="1:11">
      <c r="B628" s="705"/>
    </row>
    <row r="629" spans="1:11">
      <c r="B629" s="171" t="s">
        <v>4275</v>
      </c>
      <c r="C629" s="171" t="s">
        <v>4274</v>
      </c>
      <c r="D629" s="705"/>
    </row>
    <row r="630" spans="1:11">
      <c r="A630" s="171" t="s">
        <v>4278</v>
      </c>
      <c r="B630" s="707">
        <v>40000</v>
      </c>
      <c r="C630" s="705">
        <v>0.27</v>
      </c>
      <c r="E630" s="829" t="s">
        <v>1231</v>
      </c>
    </row>
    <row r="631" spans="1:11">
      <c r="A631" s="171" t="s">
        <v>4279</v>
      </c>
      <c r="B631" s="707">
        <v>75000</v>
      </c>
      <c r="C631" s="705">
        <v>0.36</v>
      </c>
      <c r="E631" s="829"/>
    </row>
    <row r="632" spans="1:11">
      <c r="A632" s="171" t="s">
        <v>4276</v>
      </c>
      <c r="B632" s="707">
        <v>75000</v>
      </c>
      <c r="C632" s="572">
        <v>0.36</v>
      </c>
      <c r="E632" s="171" t="s">
        <v>1230</v>
      </c>
      <c r="J632" s="652"/>
    </row>
    <row r="633" spans="1:11">
      <c r="A633" s="171" t="s">
        <v>4277</v>
      </c>
      <c r="B633" s="707">
        <v>75000</v>
      </c>
      <c r="C633" s="705">
        <v>0.36</v>
      </c>
      <c r="E633" s="829" t="s">
        <v>1231</v>
      </c>
    </row>
    <row r="634" spans="1:11">
      <c r="A634" s="171" t="s">
        <v>4280</v>
      </c>
      <c r="B634" s="707">
        <v>125000</v>
      </c>
      <c r="C634" s="705">
        <v>0.36</v>
      </c>
    </row>
    <row r="635" spans="1:11">
      <c r="A635" s="171" t="s">
        <v>4282</v>
      </c>
      <c r="B635" s="707" t="s">
        <v>4281</v>
      </c>
      <c r="C635" s="705">
        <v>0.36</v>
      </c>
      <c r="E635" s="171" t="s">
        <v>4353</v>
      </c>
    </row>
    <row r="636" spans="1:11">
      <c r="A636" s="171" t="s">
        <v>4283</v>
      </c>
      <c r="B636" s="707" t="s">
        <v>4281</v>
      </c>
      <c r="C636" s="705">
        <v>0.36</v>
      </c>
    </row>
    <row r="637" spans="1:11">
      <c r="B637" s="707"/>
    </row>
    <row r="638" spans="1:11">
      <c r="A638" s="652" t="s">
        <v>194</v>
      </c>
    </row>
    <row r="639" spans="1:11">
      <c r="A639" s="171" t="s">
        <v>1500</v>
      </c>
    </row>
    <row r="641" spans="1:9">
      <c r="A641" s="652" t="s">
        <v>262</v>
      </c>
      <c r="E641" s="171" t="s">
        <v>1499</v>
      </c>
    </row>
    <row r="642" spans="1:9">
      <c r="A642" s="171" t="s">
        <v>263</v>
      </c>
      <c r="B642" s="727">
        <v>70000</v>
      </c>
      <c r="C642" s="727"/>
    </row>
    <row r="643" spans="1:9">
      <c r="A643" s="171" t="s">
        <v>264</v>
      </c>
      <c r="B643" s="727">
        <f>B642*C630*B627</f>
        <v>4725</v>
      </c>
      <c r="C643" s="727"/>
    </row>
    <row r="644" spans="1:9">
      <c r="I644" s="652">
        <v>2024</v>
      </c>
    </row>
    <row r="645" spans="1:9">
      <c r="A645" s="652" t="s">
        <v>45</v>
      </c>
      <c r="I645" s="705">
        <v>0.16</v>
      </c>
    </row>
    <row r="646" spans="1:9">
      <c r="A646" s="171" t="s">
        <v>110</v>
      </c>
      <c r="B646" s="703" t="s">
        <v>111</v>
      </c>
      <c r="C646" s="703"/>
      <c r="I646" s="707">
        <v>40000</v>
      </c>
    </row>
    <row r="647" spans="1:9">
      <c r="A647" s="171" t="s">
        <v>4273</v>
      </c>
    </row>
    <row r="649" spans="1:9">
      <c r="A649" s="652" t="s">
        <v>710</v>
      </c>
      <c r="B649" s="652">
        <v>2019</v>
      </c>
      <c r="C649" s="652"/>
      <c r="D649" s="652">
        <v>2020</v>
      </c>
      <c r="E649" s="652">
        <v>2021</v>
      </c>
      <c r="F649" s="652">
        <v>2022</v>
      </c>
      <c r="G649" s="652"/>
      <c r="H649" s="652">
        <v>2023</v>
      </c>
    </row>
    <row r="650" spans="1:9">
      <c r="A650" s="171">
        <v>0</v>
      </c>
      <c r="B650" s="705">
        <v>0.04</v>
      </c>
      <c r="C650" s="705"/>
      <c r="D650" s="705">
        <v>0.08</v>
      </c>
      <c r="E650" s="705">
        <v>0.12</v>
      </c>
      <c r="F650" s="705">
        <v>0.16</v>
      </c>
      <c r="G650" s="705"/>
      <c r="H650" s="705">
        <v>0.16</v>
      </c>
    </row>
    <row r="651" spans="1:9">
      <c r="A651" s="719" t="s">
        <v>1232</v>
      </c>
      <c r="B651" s="707">
        <v>50000</v>
      </c>
      <c r="C651" s="707"/>
      <c r="D651" s="707">
        <v>45000</v>
      </c>
      <c r="E651" s="707">
        <v>40000</v>
      </c>
      <c r="F651" s="707">
        <v>40000</v>
      </c>
      <c r="G651" s="707"/>
      <c r="H651" s="707">
        <v>40000</v>
      </c>
    </row>
    <row r="652" spans="1:9">
      <c r="A652" s="719" t="s">
        <v>265</v>
      </c>
      <c r="B652" s="705">
        <v>0.22</v>
      </c>
      <c r="C652" s="705"/>
    </row>
    <row r="654" spans="1:9">
      <c r="A654" s="652" t="s">
        <v>45</v>
      </c>
    </row>
    <row r="655" spans="1:9">
      <c r="A655" s="171" t="s">
        <v>266</v>
      </c>
      <c r="B655" s="703" t="s">
        <v>267</v>
      </c>
      <c r="C655" s="703"/>
    </row>
    <row r="656" spans="1:9">
      <c r="A656" s="171" t="s">
        <v>1233</v>
      </c>
      <c r="B656" s="703" t="s">
        <v>1234</v>
      </c>
      <c r="C656" s="703"/>
    </row>
    <row r="658" spans="1:3">
      <c r="A658" s="652" t="s">
        <v>268</v>
      </c>
    </row>
    <row r="659" spans="1:3">
      <c r="A659" s="171" t="s">
        <v>269</v>
      </c>
    </row>
    <row r="660" spans="1:3">
      <c r="A660" s="171" t="s">
        <v>711</v>
      </c>
    </row>
    <row r="662" spans="1:3">
      <c r="A662" s="652" t="s">
        <v>1592</v>
      </c>
    </row>
    <row r="664" spans="1:3">
      <c r="A664" s="719" t="s">
        <v>858</v>
      </c>
      <c r="B664" s="171">
        <v>25</v>
      </c>
      <c r="C664" s="171" t="s">
        <v>859</v>
      </c>
    </row>
    <row r="666" spans="1:3">
      <c r="A666" s="830" t="s">
        <v>836</v>
      </c>
    </row>
    <row r="667" spans="1:3">
      <c r="A667" s="831" t="s">
        <v>860</v>
      </c>
    </row>
    <row r="668" spans="1:3">
      <c r="A668" s="832"/>
    </row>
    <row r="669" spans="1:3">
      <c r="A669" s="830" t="s">
        <v>45</v>
      </c>
    </row>
    <row r="670" spans="1:3">
      <c r="A670" s="831" t="s">
        <v>861</v>
      </c>
    </row>
    <row r="671" spans="1:3">
      <c r="A671" s="833" t="s">
        <v>862</v>
      </c>
    </row>
    <row r="672" spans="1:3">
      <c r="A672" s="832"/>
    </row>
    <row r="673" spans="1:2">
      <c r="A673" s="831" t="s">
        <v>863</v>
      </c>
    </row>
    <row r="674" spans="1:2">
      <c r="A674" s="833" t="s">
        <v>864</v>
      </c>
    </row>
    <row r="676" spans="1:2">
      <c r="A676" s="652" t="s">
        <v>1593</v>
      </c>
      <c r="B676" s="834" t="s">
        <v>808</v>
      </c>
    </row>
    <row r="678" spans="1:2">
      <c r="A678" s="719" t="s">
        <v>1597</v>
      </c>
      <c r="B678" s="707">
        <v>5000</v>
      </c>
    </row>
    <row r="679" spans="1:2">
      <c r="A679" s="719" t="s">
        <v>1594</v>
      </c>
      <c r="B679" s="707">
        <v>1750</v>
      </c>
    </row>
    <row r="680" spans="1:2">
      <c r="A680" s="719" t="s">
        <v>1595</v>
      </c>
      <c r="B680" s="707">
        <v>6500</v>
      </c>
    </row>
    <row r="682" spans="1:2">
      <c r="A682" s="835" t="s">
        <v>1596</v>
      </c>
    </row>
    <row r="683" spans="1:2">
      <c r="A683" s="719" t="s">
        <v>1598</v>
      </c>
      <c r="B683" s="707">
        <v>1300</v>
      </c>
    </row>
    <row r="685" spans="1:2">
      <c r="A685" s="835" t="s">
        <v>1599</v>
      </c>
      <c r="B685" s="836">
        <f>B678-B683</f>
        <v>3700</v>
      </c>
    </row>
    <row r="686" spans="1:2" ht="17">
      <c r="A686" s="837" t="s">
        <v>1600</v>
      </c>
    </row>
    <row r="687" spans="1:2" ht="17">
      <c r="A687" s="837" t="s">
        <v>1601</v>
      </c>
    </row>
    <row r="688" spans="1:2" ht="17">
      <c r="A688" s="837" t="s">
        <v>1602</v>
      </c>
    </row>
    <row r="689" spans="1:3" ht="17">
      <c r="A689" s="837" t="s">
        <v>1603</v>
      </c>
    </row>
    <row r="690" spans="1:3" ht="17">
      <c r="A690" s="837" t="s">
        <v>1604</v>
      </c>
    </row>
    <row r="691" spans="1:3" ht="17">
      <c r="A691" s="837" t="s">
        <v>1605</v>
      </c>
    </row>
    <row r="692" spans="1:3" ht="17">
      <c r="A692" s="837" t="s">
        <v>1606</v>
      </c>
    </row>
    <row r="694" spans="1:3">
      <c r="A694" s="719" t="s">
        <v>1624</v>
      </c>
      <c r="B694" s="707">
        <v>85</v>
      </c>
      <c r="C694" s="171" t="s">
        <v>1630</v>
      </c>
    </row>
    <row r="696" spans="1:3">
      <c r="A696" s="719" t="s">
        <v>1631</v>
      </c>
      <c r="B696" s="171">
        <v>1</v>
      </c>
      <c r="C696" s="171" t="s">
        <v>1675</v>
      </c>
    </row>
    <row r="698" spans="1:3">
      <c r="A698" s="652" t="s">
        <v>1611</v>
      </c>
    </row>
    <row r="700" spans="1:3">
      <c r="A700" s="830" t="s">
        <v>836</v>
      </c>
      <c r="B700" s="832"/>
      <c r="C700" s="832"/>
    </row>
    <row r="701" spans="1:3">
      <c r="A701" s="831" t="s">
        <v>1610</v>
      </c>
      <c r="B701" s="832"/>
      <c r="C701" s="838">
        <v>17000</v>
      </c>
    </row>
    <row r="702" spans="1:3">
      <c r="A702" s="831" t="s">
        <v>1608</v>
      </c>
      <c r="B702" s="832"/>
      <c r="C702" s="838">
        <v>24000</v>
      </c>
    </row>
    <row r="703" spans="1:3">
      <c r="A703" s="831" t="s">
        <v>1609</v>
      </c>
      <c r="B703" s="832"/>
      <c r="C703" s="838">
        <v>10000</v>
      </c>
    </row>
    <row r="708" spans="1:1">
      <c r="A708" s="171" t="s">
        <v>1608</v>
      </c>
    </row>
  </sheetData>
  <sheetProtection algorithmName="SHA-512" hashValue="bnMTo78Rti+2IrnoetEHFX4v2yAbs6yrOCdeeKBgEGQsbNdG+WeG/RovPHWTgTyZaWFAoxG5spqdrL+eOP0Zqg==" saltValue="YgfXLYS6BTY60PM2luUQTQ==" spinCount="100000" sheet="1" objects="1" scenarios="1"/>
  <mergeCells count="36">
    <mergeCell ref="B594:D594"/>
    <mergeCell ref="B603:D603"/>
    <mergeCell ref="B607:D607"/>
    <mergeCell ref="Z107:AD107"/>
    <mergeCell ref="K108:N108"/>
    <mergeCell ref="R108:X108"/>
    <mergeCell ref="D4:H4"/>
    <mergeCell ref="R4:X4"/>
    <mergeCell ref="D3:X3"/>
    <mergeCell ref="D31:X31"/>
    <mergeCell ref="K4:N4"/>
    <mergeCell ref="Z79:AB79"/>
    <mergeCell ref="D32:H32"/>
    <mergeCell ref="R32:X32"/>
    <mergeCell ref="F295:H295"/>
    <mergeCell ref="D79:X79"/>
    <mergeCell ref="D80:H80"/>
    <mergeCell ref="R80:X80"/>
    <mergeCell ref="K32:N32"/>
    <mergeCell ref="K80:N80"/>
    <mergeCell ref="A223:I223"/>
    <mergeCell ref="D55:X55"/>
    <mergeCell ref="D56:H56"/>
    <mergeCell ref="K56:N56"/>
    <mergeCell ref="R56:X56"/>
    <mergeCell ref="D107:X107"/>
    <mergeCell ref="D108:H108"/>
    <mergeCell ref="A495:A496"/>
    <mergeCell ref="B495:D495"/>
    <mergeCell ref="E495:G495"/>
    <mergeCell ref="A510:A511"/>
    <mergeCell ref="B510:C510"/>
    <mergeCell ref="D510:H510"/>
    <mergeCell ref="A503:A504"/>
    <mergeCell ref="B503:D503"/>
    <mergeCell ref="F503:H503"/>
  </mergeCells>
  <hyperlinks>
    <hyperlink ref="B355" r:id="rId1" xr:uid="{B2091DD5-93A3-2E4F-9CD1-FD7F878BAD2D}"/>
    <hyperlink ref="D242" r:id="rId2" xr:uid="{F8C2815B-942E-0E43-B432-249DF13B542D}"/>
    <hyperlink ref="B212" r:id="rId3" xr:uid="{ADC9BBD1-1975-F04E-8009-2959DC2909C6}"/>
    <hyperlink ref="D470" r:id="rId4" xr:uid="{5CFC9F6C-1F78-F64B-A5BA-B44A4D03FD16}"/>
    <hyperlink ref="B655" r:id="rId5" xr:uid="{7AE67CEB-F1CA-3C46-A033-C04740BC3D24}"/>
    <hyperlink ref="B646" r:id="rId6" display="https://www.rvo.nl/subsidies-regelingen/mia-en-vamil/milieulijst-miavamil/branches-en-themas/duurzaam-transport?utm_campaign=327193004&amp;utm_source=google&amp;utm_medium=cpc&amp;utm_content=262160046159&amp;utm_term=mia%20elektrische%20auto%202018&amp;adgroupid=22648406924&amp;gclid=EAIaIQobChMIha6Sq_vu3AIVBeJ3Ch2GvQj_EAAYASAAEgI-0_D_BwE" xr:uid="{CEE3F959-9B43-9149-9B7E-7E529E613A56}"/>
    <hyperlink ref="B581" r:id="rId7" xr:uid="{1F37506D-C962-6544-90EF-F2976FA544E0}"/>
    <hyperlink ref="B582" r:id="rId8" location="/merkentype" xr:uid="{BA5282C3-AEA4-1B49-89F3-3D71D127BEC8}"/>
    <hyperlink ref="B583" r:id="rId9" xr:uid="{293BC2BD-8E01-2148-BB5A-A50EF20ED30C}"/>
    <hyperlink ref="B187" r:id="rId10" location="/kenteken" xr:uid="{2910B69F-B42D-E248-AA07-4DB6472D8D96}"/>
    <hyperlink ref="B141" r:id="rId11" xr:uid="{BA6AABC5-9375-CD4D-A5C5-4CC359797F4E}"/>
    <hyperlink ref="B213" r:id="rId12" xr:uid="{96641CBA-DD50-BA45-A969-8BD0EA34BE1F}"/>
    <hyperlink ref="D246" r:id="rId13" xr:uid="{CC11CDE9-07EB-914C-AA65-8FAC0E903D00}"/>
    <hyperlink ref="B656" r:id="rId14" xr:uid="{C110AF55-3DE3-7C4E-86D5-B2D4B207C654}"/>
    <hyperlink ref="B356" r:id="rId15" xr:uid="{97365715-D72F-DB43-A71A-63938981E4C2}"/>
    <hyperlink ref="H232" r:id="rId16" xr:uid="{42D81D96-FAC3-AD46-8DC6-505EA45D5A80}"/>
    <hyperlink ref="H237" r:id="rId17" xr:uid="{71CABC04-EC8C-1E43-88E9-AC3CFAB3130A}"/>
    <hyperlink ref="H238" r:id="rId18" xr:uid="{D6F6D729-F7DF-634C-9895-D15AFA1EA8CF}"/>
    <hyperlink ref="A671" r:id="rId19" xr:uid="{036F74E2-3F68-DC42-AF44-2133B062BD50}"/>
    <hyperlink ref="A674" r:id="rId20" xr:uid="{C828141A-5269-924F-865A-FFD78E89296E}"/>
  </hyperlinks>
  <pageMargins left="0.7" right="0.7" top="0.75" bottom="0.75" header="0.3" footer="0.3"/>
  <pageSetup paperSize="9" orientation="portrait" horizontalDpi="0" verticalDpi="0"/>
  <drawing r:id="rId21"/>
  <legacyDrawing r:id="rId2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8</vt:i4>
      </vt:variant>
      <vt:variant>
        <vt:lpstr>Benoemde bereiken</vt:lpstr>
      </vt:variant>
      <vt:variant>
        <vt:i4>1082</vt:i4>
      </vt:variant>
    </vt:vector>
  </HeadingPairs>
  <TitlesOfParts>
    <vt:vector size="1090" baseType="lpstr">
      <vt:lpstr>0. Introductie DV</vt:lpstr>
      <vt:lpstr>1a. Invoer - BESTAAND</vt:lpstr>
      <vt:lpstr>1b. Invoer - NIEUW</vt:lpstr>
      <vt:lpstr>2. Invoer parameters</vt:lpstr>
      <vt:lpstr>3. Dashboard</vt:lpstr>
      <vt:lpstr>4. Analyse</vt:lpstr>
      <vt:lpstr>5. Vervolg</vt:lpstr>
      <vt:lpstr>_FCEV_pers</vt:lpstr>
      <vt:lpstr>_aantal_km_jaarlijks_vuilniswagens</vt:lpstr>
      <vt:lpstr>_aantal_voertuig_per_laadpunt_berek</vt:lpstr>
      <vt:lpstr>_actieve_dagen_per_jaar</vt:lpstr>
      <vt:lpstr>_CAPEX_laadpunt_22kW</vt:lpstr>
      <vt:lpstr>_CAPEX_laadpunt_22kW_turn_key</vt:lpstr>
      <vt:lpstr>_CAPEX_laadpunt_22kW_turn_key_max</vt:lpstr>
      <vt:lpstr>_CAPEX_laadpunt_22kW_turn_key_min</vt:lpstr>
      <vt:lpstr>_capex_net</vt:lpstr>
      <vt:lpstr>_CAPEX_overig_22kW</vt:lpstr>
      <vt:lpstr>_extra_capex_CNG_tov_benzine</vt:lpstr>
      <vt:lpstr>_gem_snelheid_veegmachines</vt:lpstr>
      <vt:lpstr>_input_aantal_voertuig_per_laadpunt</vt:lpstr>
      <vt:lpstr>_laadtijd_buiten_pauze</vt:lpstr>
      <vt:lpstr>_looptijd_kippers</vt:lpstr>
      <vt:lpstr>_looptijd_veegmachines</vt:lpstr>
      <vt:lpstr>_looptijd_vuilniswagens</vt:lpstr>
      <vt:lpstr>_MIA_max_bestel</vt:lpstr>
      <vt:lpstr>_MIA_max_bestel_H2</vt:lpstr>
      <vt:lpstr>_MIA_max_pers</vt:lpstr>
      <vt:lpstr>_MIA_max_pers_9_elek</vt:lpstr>
      <vt:lpstr>_MIA_max_personen_H2</vt:lpstr>
      <vt:lpstr>_MIA_perc</vt:lpstr>
      <vt:lpstr>_MIA_perc_bestel_elek</vt:lpstr>
      <vt:lpstr>_MIA_perc_bestel_taxi_H2</vt:lpstr>
      <vt:lpstr>_MIA_perc_pers_9_elek</vt:lpstr>
      <vt:lpstr>_MIA_perc_pers_H2</vt:lpstr>
      <vt:lpstr>_MIA_perc_veegmachine</vt:lpstr>
      <vt:lpstr>_MIA_perc_vrachtwagen</vt:lpstr>
      <vt:lpstr>_Ombouwkosten_bestel_personen</vt:lpstr>
      <vt:lpstr>_Ombouwkosten_rolstoel_groot</vt:lpstr>
      <vt:lpstr>_Ombouwkosten_rolstoel_groot_ZE</vt:lpstr>
      <vt:lpstr>_OPEX_laadpunt_22kW_jaar</vt:lpstr>
      <vt:lpstr>_periodiek_net</vt:lpstr>
      <vt:lpstr>_restwaarde_perc_laadpunten</vt:lpstr>
      <vt:lpstr>_schadekosten_per_bedrijfsuur_veegwagen</vt:lpstr>
      <vt:lpstr>_schadekosten_per_km</vt:lpstr>
      <vt:lpstr>_schadekosten_per_km_huisvuilwagen</vt:lpstr>
      <vt:lpstr>_schadekosten_per_km_veegvuilwagen</vt:lpstr>
      <vt:lpstr>_uurloon_chauffeur</vt:lpstr>
      <vt:lpstr>_venootbelasting_perc</vt:lpstr>
      <vt:lpstr>_verh_H2_accu_A</vt:lpstr>
      <vt:lpstr>_verh_H2_accu_B</vt:lpstr>
      <vt:lpstr>_verh_H2_accu_bestel_groot</vt:lpstr>
      <vt:lpstr>_verh_H2_accu_bestel_klein</vt:lpstr>
      <vt:lpstr>_verh_H2_accu_bestel_middel</vt:lpstr>
      <vt:lpstr>_verh_H2_accu_C</vt:lpstr>
      <vt:lpstr>_verh_H2_accu_D</vt:lpstr>
      <vt:lpstr>_verh_H2_accu_E</vt:lpstr>
      <vt:lpstr>_verh_H2_accu_F</vt:lpstr>
      <vt:lpstr>_verh_H2_accu_J</vt:lpstr>
      <vt:lpstr>_verh_H2_accu_K</vt:lpstr>
      <vt:lpstr>_verh_H2_accu_L</vt:lpstr>
      <vt:lpstr>_verh_H2_accu_M</vt:lpstr>
      <vt:lpstr>_verh_H2_accu_taxi_groot</vt:lpstr>
      <vt:lpstr>_verh_H2_accu_taxi_klein</vt:lpstr>
      <vt:lpstr>_verh_H2_accu_taxi_middel</vt:lpstr>
      <vt:lpstr>_verh_H2_accu_taxi_rolstoelbus</vt:lpstr>
      <vt:lpstr>_verh_H2_accu_veegvuilwagen</vt:lpstr>
      <vt:lpstr>_verh_H2_accu_veegwagen</vt:lpstr>
      <vt:lpstr>_verh_H2_accu_vuilniswagen</vt:lpstr>
      <vt:lpstr>_verzekering_variabel</vt:lpstr>
      <vt:lpstr>_verzekering_vast</vt:lpstr>
      <vt:lpstr>aantal_km_jaarlijks_vuilniswagens_old</vt:lpstr>
      <vt:lpstr>BPM_belasting</vt:lpstr>
      <vt:lpstr>BPM_benz_A</vt:lpstr>
      <vt:lpstr>BPM_benz_B</vt:lpstr>
      <vt:lpstr>BPM_benz_bestel_groot</vt:lpstr>
      <vt:lpstr>BPM_benz_bestel_klein</vt:lpstr>
      <vt:lpstr>BPM_benz_bestel_middel</vt:lpstr>
      <vt:lpstr>BPM_benz_C</vt:lpstr>
      <vt:lpstr>BPM_benz_D</vt:lpstr>
      <vt:lpstr>BPM_benz_E</vt:lpstr>
      <vt:lpstr>BPM_benz_F</vt:lpstr>
      <vt:lpstr>BPM_benz_J</vt:lpstr>
      <vt:lpstr>BPM_benz_K</vt:lpstr>
      <vt:lpstr>BPM_benz_L</vt:lpstr>
      <vt:lpstr>BPM_benz_M</vt:lpstr>
      <vt:lpstr>BPM_benz_rolstoelbus</vt:lpstr>
      <vt:lpstr>BPM_benz_taxibus_groot</vt:lpstr>
      <vt:lpstr>BPM_benz_taxibus_klein</vt:lpstr>
      <vt:lpstr>BPM_benz_taxibus_middel</vt:lpstr>
      <vt:lpstr>BPM_BEV</vt:lpstr>
      <vt:lpstr>BPM_BEV_A</vt:lpstr>
      <vt:lpstr>BPM_BEV_B</vt:lpstr>
      <vt:lpstr>BPM_BEV_bestel_groot</vt:lpstr>
      <vt:lpstr>BPM_BEV_bestel_klein</vt:lpstr>
      <vt:lpstr>BPM_BEV_bestel_middel</vt:lpstr>
      <vt:lpstr>BPM_BEV_C</vt:lpstr>
      <vt:lpstr>BPM_BEV_D</vt:lpstr>
      <vt:lpstr>BPM_BEV_E</vt:lpstr>
      <vt:lpstr>BPM_BEV_F</vt:lpstr>
      <vt:lpstr>BPM_BEV_J</vt:lpstr>
      <vt:lpstr>BPM_BEV_K</vt:lpstr>
      <vt:lpstr>BPM_BEV_L</vt:lpstr>
      <vt:lpstr>BPM_BEV_M</vt:lpstr>
      <vt:lpstr>BPM_BEV_taxibus_Groot</vt:lpstr>
      <vt:lpstr>BPM_BEV_taxibus_klein</vt:lpstr>
      <vt:lpstr>BPM_BEV_taxibus_middel</vt:lpstr>
      <vt:lpstr>BPM_BEV_taxibus_Rolstoelbus</vt:lpstr>
      <vt:lpstr>BPM_BEV_veegvuilwagen</vt:lpstr>
      <vt:lpstr>BPM_BEV_veegwagen</vt:lpstr>
      <vt:lpstr>BPM_BEV_vuilniswagen</vt:lpstr>
      <vt:lpstr>BPM_CNG_A</vt:lpstr>
      <vt:lpstr>BPM_CNG_B</vt:lpstr>
      <vt:lpstr>BPM_CNG_bestel_groot</vt:lpstr>
      <vt:lpstr>BPM_CNG_bestel_klein</vt:lpstr>
      <vt:lpstr>BPM_CNG_bestel_middel</vt:lpstr>
      <vt:lpstr>BPM_CNG_C</vt:lpstr>
      <vt:lpstr>BPM_CNG_D</vt:lpstr>
      <vt:lpstr>BPM_CNG_E</vt:lpstr>
      <vt:lpstr>BPM_CNG_F</vt:lpstr>
      <vt:lpstr>BPM_CNG_J</vt:lpstr>
      <vt:lpstr>BPM_CNG_K</vt:lpstr>
      <vt:lpstr>BPM_CNG_L</vt:lpstr>
      <vt:lpstr>BPM_CNG_M</vt:lpstr>
      <vt:lpstr>BPM_CNG_rolstoelbus</vt:lpstr>
      <vt:lpstr>BPM_CNG_taxibus_groot</vt:lpstr>
      <vt:lpstr>BPM_CNG_taxibus_klein</vt:lpstr>
      <vt:lpstr>BPM_CNG_taxibus_middel</vt:lpstr>
      <vt:lpstr>BPM_die_A</vt:lpstr>
      <vt:lpstr>BPM_die_B</vt:lpstr>
      <vt:lpstr>BPM_die_bestel_groot</vt:lpstr>
      <vt:lpstr>BPM_die_bestel_klein</vt:lpstr>
      <vt:lpstr>BPM_die_bestel_middel</vt:lpstr>
      <vt:lpstr>BPM_die_C</vt:lpstr>
      <vt:lpstr>BPM_die_D</vt:lpstr>
      <vt:lpstr>BPM_die_E</vt:lpstr>
      <vt:lpstr>BPM_die_F</vt:lpstr>
      <vt:lpstr>BPM_die_J</vt:lpstr>
      <vt:lpstr>BPM_die_K</vt:lpstr>
      <vt:lpstr>BPM_die_L</vt:lpstr>
      <vt:lpstr>BPM_die_M</vt:lpstr>
      <vt:lpstr>BPM_die_rolstoelbus</vt:lpstr>
      <vt:lpstr>BPM_die_taxibus_groot</vt:lpstr>
      <vt:lpstr>BPM_die_taxibus_klein</vt:lpstr>
      <vt:lpstr>BPM_die_taxibus_middel</vt:lpstr>
      <vt:lpstr>BPM_die_veegvuilwagen</vt:lpstr>
      <vt:lpstr>BPM_die_veegwagen</vt:lpstr>
      <vt:lpstr>BPM_die_vuilniswagen</vt:lpstr>
      <vt:lpstr>BPM_FCEV</vt:lpstr>
      <vt:lpstr>BPM_FCEV_A</vt:lpstr>
      <vt:lpstr>BPM_FCEV_B</vt:lpstr>
      <vt:lpstr>BPM_FCEV_bestel_groot</vt:lpstr>
      <vt:lpstr>BPM_FCEV_bestel_klein</vt:lpstr>
      <vt:lpstr>BPM_FCEV_bestel_middel</vt:lpstr>
      <vt:lpstr>BPM_FCEV_C</vt:lpstr>
      <vt:lpstr>BPM_FCEV_D</vt:lpstr>
      <vt:lpstr>BPM_FCEV_E</vt:lpstr>
      <vt:lpstr>BPM_FCEV_F</vt:lpstr>
      <vt:lpstr>BPM_FCEV_J</vt:lpstr>
      <vt:lpstr>BPM_FCEV_K</vt:lpstr>
      <vt:lpstr>BPM_FCEV_L</vt:lpstr>
      <vt:lpstr>BPM_FCEV_M</vt:lpstr>
      <vt:lpstr>BPM_FCEV_rolstoel</vt:lpstr>
      <vt:lpstr>BPM_FCEV_taxi_groot</vt:lpstr>
      <vt:lpstr>BPM_FCEV_taxi_klein</vt:lpstr>
      <vt:lpstr>BPM_FCEV_taxi_middel</vt:lpstr>
      <vt:lpstr>BPM_FCEV_veegvuilwagen</vt:lpstr>
      <vt:lpstr>BPM_FCEV_veegwagen</vt:lpstr>
      <vt:lpstr>BPM_FCEV_vuilniswagen</vt:lpstr>
      <vt:lpstr>Bruto_cat_BEV_A</vt:lpstr>
      <vt:lpstr>Bruto_cat_BEV_B</vt:lpstr>
      <vt:lpstr>Bruto_cat_BEV_bestel_groot</vt:lpstr>
      <vt:lpstr>Bruto_cat_BEV_bestel_klein</vt:lpstr>
      <vt:lpstr>Bruto_cat_BEV_bestel_middel</vt:lpstr>
      <vt:lpstr>Bruto_cat_BEV_C</vt:lpstr>
      <vt:lpstr>Bruto_cat_BEV_D</vt:lpstr>
      <vt:lpstr>Bruto_cat_BEV_E</vt:lpstr>
      <vt:lpstr>Bruto_cat_BEV_F</vt:lpstr>
      <vt:lpstr>Bruto_cat_BEV_J</vt:lpstr>
      <vt:lpstr>Bruto_cat_BEV_L</vt:lpstr>
      <vt:lpstr>Bruto_cat_BEV_M</vt:lpstr>
      <vt:lpstr>Bruto_cat_BEV_veegvuilwagen</vt:lpstr>
      <vt:lpstr>Bruto_cat_BEV_veegwagen</vt:lpstr>
      <vt:lpstr>Bruto_cat_BEV_vuilniswagen</vt:lpstr>
      <vt:lpstr>BTW</vt:lpstr>
      <vt:lpstr>BTW_verrekening</vt:lpstr>
      <vt:lpstr>cat_prijs_net_benz_A</vt:lpstr>
      <vt:lpstr>cat_prijs_net_benz_B</vt:lpstr>
      <vt:lpstr>cat_prijs_net_benz_bestel_klein</vt:lpstr>
      <vt:lpstr>cat_prijs_net_benz_C</vt:lpstr>
      <vt:lpstr>cat_prijs_net_benz_D</vt:lpstr>
      <vt:lpstr>cat_prijs_net_benz_E</vt:lpstr>
      <vt:lpstr>cat_prijs_net_benz_F</vt:lpstr>
      <vt:lpstr>cat_prijs_net_benz_groot_taxibus</vt:lpstr>
      <vt:lpstr>cat_prijs_net_benz_J</vt:lpstr>
      <vt:lpstr>cat_prijs_net_benz_kleine_taxibus</vt:lpstr>
      <vt:lpstr>cat_prijs_net_benz_L</vt:lpstr>
      <vt:lpstr>cat_prijs_net_benz_M</vt:lpstr>
      <vt:lpstr>cat_prijs_net_benz_middel_taxibus</vt:lpstr>
      <vt:lpstr>cat_prijs_net_benz_rolstoelbus</vt:lpstr>
      <vt:lpstr>cat_prijs_net_BEV_rolstoelbus</vt:lpstr>
      <vt:lpstr>cat_prijs_net_CNG_bestel_groot</vt:lpstr>
      <vt:lpstr>cat_prijs_net_CNG_groot_taxibus</vt:lpstr>
      <vt:lpstr>cat_prijs_net_die_bestel_groot</vt:lpstr>
      <vt:lpstr>cat_prijs_net_die_bestel_klein</vt:lpstr>
      <vt:lpstr>cat_prijs_net_die_bestel_middel</vt:lpstr>
      <vt:lpstr>cat_prijs_net_die_groot_taxibus</vt:lpstr>
      <vt:lpstr>cat_prijs_net_die_middel_taxibus</vt:lpstr>
      <vt:lpstr>cat_prijs_net_die_veegwagen</vt:lpstr>
      <vt:lpstr>cat_prijs_net_die_vuilniswagen</vt:lpstr>
      <vt:lpstr>cat_prijs_net_dies_A</vt:lpstr>
      <vt:lpstr>cat_prijs_net_dies_B</vt:lpstr>
      <vt:lpstr>cat_prijs_net_dies_C</vt:lpstr>
      <vt:lpstr>cat_prijs_net_dies_D</vt:lpstr>
      <vt:lpstr>cat_prijs_net_dies_E</vt:lpstr>
      <vt:lpstr>cat_prijs_net_dies_F</vt:lpstr>
      <vt:lpstr>cat_prijs_net_dies_J</vt:lpstr>
      <vt:lpstr>cat_prijs_net_dies_kleine_taxibus</vt:lpstr>
      <vt:lpstr>cat_prijs_net_dies_L</vt:lpstr>
      <vt:lpstr>cat_prijs_net_dies_M</vt:lpstr>
      <vt:lpstr>cat_prijs_net_dies_rolstoelbus</vt:lpstr>
      <vt:lpstr>cat_prijs_net_dies_veegvuilwagen</vt:lpstr>
      <vt:lpstr>cat_prijs_net_dies_veegwagen</vt:lpstr>
      <vt:lpstr>cat_prijs_net_dies_vuilniswagen</vt:lpstr>
      <vt:lpstr>Efac_benz_TTW</vt:lpstr>
      <vt:lpstr>Efac_benz_WTT</vt:lpstr>
      <vt:lpstr>Efac_benz_WTW</vt:lpstr>
      <vt:lpstr>Efac_bio_CNG_TTW</vt:lpstr>
      <vt:lpstr>Efac_bio_CNG_WTT</vt:lpstr>
      <vt:lpstr>Efac_bio_CNG_WTW</vt:lpstr>
      <vt:lpstr>Efac_CNG_berekening_TTW</vt:lpstr>
      <vt:lpstr>Efac_CNG_berekening_WTT</vt:lpstr>
      <vt:lpstr>Efac_CNG_berekening_WTW</vt:lpstr>
      <vt:lpstr>Efac_CNG_TTW</vt:lpstr>
      <vt:lpstr>Efac_CNG_WTT</vt:lpstr>
      <vt:lpstr>Efac_CNG_WTW</vt:lpstr>
      <vt:lpstr>Efac_die_TTW</vt:lpstr>
      <vt:lpstr>Efac_die_WTT</vt:lpstr>
      <vt:lpstr>Efac_die_WTW</vt:lpstr>
      <vt:lpstr>Efac_elek_berekening_TTW</vt:lpstr>
      <vt:lpstr>Efac_elek_berekening_WTW</vt:lpstr>
      <vt:lpstr>Efac_elek_grijs_TTW</vt:lpstr>
      <vt:lpstr>Efac_elek_grijs_WTT</vt:lpstr>
      <vt:lpstr>Efac_elek_grijs_WTW</vt:lpstr>
      <vt:lpstr>Efac_elek_groen_TTW</vt:lpstr>
      <vt:lpstr>Efac_elek_groen_WTT</vt:lpstr>
      <vt:lpstr>Efac_elek_groen_WTW</vt:lpstr>
      <vt:lpstr>Efac_elek_mix_TTW</vt:lpstr>
      <vt:lpstr>Efac_elek_mix_WTT</vt:lpstr>
      <vt:lpstr>Efac_elek_mix_WTW</vt:lpstr>
      <vt:lpstr>Efac_H2_berekening_TTW</vt:lpstr>
      <vt:lpstr>Efac_H2_berekening_WTW</vt:lpstr>
      <vt:lpstr>Efac_H2_TTW_grijs</vt:lpstr>
      <vt:lpstr>Efac_H2_TTW_groen</vt:lpstr>
      <vt:lpstr>Efac_H2_WTW_grijs</vt:lpstr>
      <vt:lpstr>Efac_H2_WTW_groen</vt:lpstr>
      <vt:lpstr>Euro_ton_CO2</vt:lpstr>
      <vt:lpstr>Factor_verbruik_benzine_diesel</vt:lpstr>
      <vt:lpstr>Factor_verbruik_CNG_diesel</vt:lpstr>
      <vt:lpstr>Factor_WLTP_NEDC</vt:lpstr>
      <vt:lpstr>gCO2_km_benz_A</vt:lpstr>
      <vt:lpstr>gCO2_km_benz_B</vt:lpstr>
      <vt:lpstr>gCO2_km_benz_C</vt:lpstr>
      <vt:lpstr>gCO2_km_benz_D</vt:lpstr>
      <vt:lpstr>gCO2_km_benz_E</vt:lpstr>
      <vt:lpstr>gCO2_km_benz_F</vt:lpstr>
      <vt:lpstr>gCO2_km_benz_groot_taxibus</vt:lpstr>
      <vt:lpstr>gCO2_km_benz_J</vt:lpstr>
      <vt:lpstr>gCO2_km_benz_kleine_taxibus</vt:lpstr>
      <vt:lpstr>gCO2_km_benz_L</vt:lpstr>
      <vt:lpstr>gCO2_km_benz_M</vt:lpstr>
      <vt:lpstr>gCO2_km_benz_middel_taxibus</vt:lpstr>
      <vt:lpstr>gCO2_km_benz_rolstoelbus</vt:lpstr>
      <vt:lpstr>gCO2_km_bestel_benz_klein</vt:lpstr>
      <vt:lpstr>gCO2_km_bestel_CNG_groot</vt:lpstr>
      <vt:lpstr>gCO2_km_bestel_CNG_klein</vt:lpstr>
      <vt:lpstr>gCO2_km_bestel_dies_groot</vt:lpstr>
      <vt:lpstr>gCO2_km_bestel_dies_klein</vt:lpstr>
      <vt:lpstr>gCO2_km_bestel_dies_middel</vt:lpstr>
      <vt:lpstr>gCO2_km_die_A</vt:lpstr>
      <vt:lpstr>gCO2_km_die_B</vt:lpstr>
      <vt:lpstr>gCO2_km_die_C</vt:lpstr>
      <vt:lpstr>gCO2_km_die_D</vt:lpstr>
      <vt:lpstr>gCO2_km_die_E</vt:lpstr>
      <vt:lpstr>gCO2_km_die_F</vt:lpstr>
      <vt:lpstr>gCO2_km_die_groot_taxibus</vt:lpstr>
      <vt:lpstr>gCO2_km_die_J</vt:lpstr>
      <vt:lpstr>gCO2_km_die_kleine_taxibus</vt:lpstr>
      <vt:lpstr>gCO2_km_die_L</vt:lpstr>
      <vt:lpstr>gCO2_km_die_M</vt:lpstr>
      <vt:lpstr>gCO2_km_die_middel_taxibus</vt:lpstr>
      <vt:lpstr>gCO2_km_die_rolstoelbus</vt:lpstr>
      <vt:lpstr>gCO2_km_die_veegvuilwagen</vt:lpstr>
      <vt:lpstr>gCO2_km_die_veegwagen</vt:lpstr>
      <vt:lpstr>gCO2_km_die_vuilniswagen</vt:lpstr>
      <vt:lpstr>gem_verbr_benz_A</vt:lpstr>
      <vt:lpstr>gem_verbr_benz_B</vt:lpstr>
      <vt:lpstr>gem_verbr_benz_bestel_groot</vt:lpstr>
      <vt:lpstr>gem_verbr_benz_bestel_klein</vt:lpstr>
      <vt:lpstr>gem_verbr_benz_bestel_middel</vt:lpstr>
      <vt:lpstr>gem_verbr_benz_C</vt:lpstr>
      <vt:lpstr>gem_verbr_benz_D</vt:lpstr>
      <vt:lpstr>gem_verbr_benz_E</vt:lpstr>
      <vt:lpstr>gem_verbr_benz_F</vt:lpstr>
      <vt:lpstr>gem_verbr_benz_J</vt:lpstr>
      <vt:lpstr>gem_verbr_benz_K</vt:lpstr>
      <vt:lpstr>gem_verbr_benz_L</vt:lpstr>
      <vt:lpstr>gem_verbr_benz_M</vt:lpstr>
      <vt:lpstr>gem_verbr_benz_taxi_groot</vt:lpstr>
      <vt:lpstr>gem_verbr_benz_taxi_klein</vt:lpstr>
      <vt:lpstr>gem_verbr_benz_taxi_middel</vt:lpstr>
      <vt:lpstr>gem_verbr_benz_taxi_rolstoel</vt:lpstr>
      <vt:lpstr>gem_verbr_BEV_A</vt:lpstr>
      <vt:lpstr>gem_verbr_BEV_B</vt:lpstr>
      <vt:lpstr>gem_verbr_BEV_bestel_groot</vt:lpstr>
      <vt:lpstr>gem_verbr_BEV_bestel_klein</vt:lpstr>
      <vt:lpstr>gem_verbr_BEV_bestel_middel</vt:lpstr>
      <vt:lpstr>gem_verbr_BEV_C</vt:lpstr>
      <vt:lpstr>gem_verbr_BEV_D</vt:lpstr>
      <vt:lpstr>gem_verbr_BEV_E</vt:lpstr>
      <vt:lpstr>gem_verbr_BEV_F</vt:lpstr>
      <vt:lpstr>gem_verbr_BEV_J</vt:lpstr>
      <vt:lpstr>gem_verbr_BEV_K</vt:lpstr>
      <vt:lpstr>gem_verbr_BEV_L</vt:lpstr>
      <vt:lpstr>gem_verbr_BEV_M</vt:lpstr>
      <vt:lpstr>gem_verbr_BEV_rolstoel</vt:lpstr>
      <vt:lpstr>gem_verbr_BEV_taxi_groot</vt:lpstr>
      <vt:lpstr>gem_verbr_BEV_taxi_klein</vt:lpstr>
      <vt:lpstr>gem_verbr_BEV_taxi_middel</vt:lpstr>
      <vt:lpstr>gem_verbr_BEV_veegvuilwagen</vt:lpstr>
      <vt:lpstr>gem_verbr_BEV_veegwagen</vt:lpstr>
      <vt:lpstr>gem_verbr_BEV_vuilniswagen</vt:lpstr>
      <vt:lpstr>gem_verbr_CNG_A</vt:lpstr>
      <vt:lpstr>gem_verbr_CNG_B</vt:lpstr>
      <vt:lpstr>gem_verbr_CNG_bestel_groot</vt:lpstr>
      <vt:lpstr>gem_verbr_CNG_bestel_klein</vt:lpstr>
      <vt:lpstr>gem_verbr_CNG_bestel_middel</vt:lpstr>
      <vt:lpstr>gem_verbr_CNG_C</vt:lpstr>
      <vt:lpstr>gem_verbr_CNG_D</vt:lpstr>
      <vt:lpstr>gem_verbr_CNG_E</vt:lpstr>
      <vt:lpstr>gem_verbr_CNG_F</vt:lpstr>
      <vt:lpstr>gem_verbr_CNG_J</vt:lpstr>
      <vt:lpstr>gem_verbr_CNG_K</vt:lpstr>
      <vt:lpstr>gem_verbr_CNG_L</vt:lpstr>
      <vt:lpstr>gem_verbr_CNG_M</vt:lpstr>
      <vt:lpstr>gem_verbr_CNG_taxi_groot</vt:lpstr>
      <vt:lpstr>gem_verbr_CNG_taxi_klein</vt:lpstr>
      <vt:lpstr>gem_verbr_CNG_taxi_middel</vt:lpstr>
      <vt:lpstr>gem_verbr_CNG_taxi_rolstoel</vt:lpstr>
      <vt:lpstr>gem_verbr_die_A</vt:lpstr>
      <vt:lpstr>gem_verbr_die_B</vt:lpstr>
      <vt:lpstr>gem_verbr_die_bestel_groot</vt:lpstr>
      <vt:lpstr>gem_verbr_die_bestel_klein</vt:lpstr>
      <vt:lpstr>gem_verbr_die_bestel_middel</vt:lpstr>
      <vt:lpstr>gem_verbr_die_C</vt:lpstr>
      <vt:lpstr>gem_verbr_die_D</vt:lpstr>
      <vt:lpstr>gem_verbr_die_E</vt:lpstr>
      <vt:lpstr>gem_verbr_die_F</vt:lpstr>
      <vt:lpstr>gem_verbr_die_J</vt:lpstr>
      <vt:lpstr>gem_verbr_die_K</vt:lpstr>
      <vt:lpstr>gem_verbr_die_L</vt:lpstr>
      <vt:lpstr>gem_verbr_die_M</vt:lpstr>
      <vt:lpstr>gem_verbr_die_taxi_groot</vt:lpstr>
      <vt:lpstr>gem_verbr_die_taxi_klein</vt:lpstr>
      <vt:lpstr>gem_verbr_die_taxi_middel</vt:lpstr>
      <vt:lpstr>gem_verbr_die_taxi_rolstoel</vt:lpstr>
      <vt:lpstr>gem_verbr_die_veegvuilwagen</vt:lpstr>
      <vt:lpstr>gem_verbr_die_veegwagen</vt:lpstr>
      <vt:lpstr>gem_verbr_die_vuilniswagen</vt:lpstr>
      <vt:lpstr>gem_verbr_FCEV_A_Elek</vt:lpstr>
      <vt:lpstr>gem_verbr_FCEV_A_H2</vt:lpstr>
      <vt:lpstr>gem_verbr_FCEV_B_Elek</vt:lpstr>
      <vt:lpstr>gem_verbr_FCEV_B_H2</vt:lpstr>
      <vt:lpstr>gem_verbr_FCEV_bestel_groot_Elek</vt:lpstr>
      <vt:lpstr>gem_verbr_FCEV_bestel_groot_H2</vt:lpstr>
      <vt:lpstr>gem_verbr_FCEV_bestel_klein_Elek</vt:lpstr>
      <vt:lpstr>gem_verbr_FCEV_bestel_klein_H2</vt:lpstr>
      <vt:lpstr>gem_verbr_FCEV_bestel_middel_Elek</vt:lpstr>
      <vt:lpstr>gem_verbr_FCEV_bestel_middel_H2</vt:lpstr>
      <vt:lpstr>gem_verbr_FCEV_C_Elek</vt:lpstr>
      <vt:lpstr>gem_verbr_FCEV_C_H2</vt:lpstr>
      <vt:lpstr>gem_verbr_FCEV_D_Elek</vt:lpstr>
      <vt:lpstr>gem_verbr_FCEV_D_H2</vt:lpstr>
      <vt:lpstr>gem_verbr_FCEV_E_Elek</vt:lpstr>
      <vt:lpstr>gem_verbr_FCEV_E_H2</vt:lpstr>
      <vt:lpstr>gem_verbr_FCEV_F_Elek</vt:lpstr>
      <vt:lpstr>gem_verbr_FCEV_F_H2</vt:lpstr>
      <vt:lpstr>gem_verbr_FCEV_J_Elek</vt:lpstr>
      <vt:lpstr>gem_verbr_FCEV_J_H2</vt:lpstr>
      <vt:lpstr>gem_verbr_FCEV_K_Elek</vt:lpstr>
      <vt:lpstr>gem_verbr_FCEV_K_H2</vt:lpstr>
      <vt:lpstr>gem_verbr_FCEV_L_Elek</vt:lpstr>
      <vt:lpstr>gem_verbr_FCEV_L_H2</vt:lpstr>
      <vt:lpstr>gem_verbr_FCEV_M_Elek</vt:lpstr>
      <vt:lpstr>gem_verbr_FCEV_M_H2</vt:lpstr>
      <vt:lpstr>gem_verbr_FCEV_rolstoel_Elek</vt:lpstr>
      <vt:lpstr>gem_verbr_FCEV_rolstoel_H2</vt:lpstr>
      <vt:lpstr>gem_verbr_FCEV_taxi_groot_Elek</vt:lpstr>
      <vt:lpstr>gem_verbr_FCEV_taxi_groot_H2</vt:lpstr>
      <vt:lpstr>gem_verbr_FCEV_taxi_klein_Elek</vt:lpstr>
      <vt:lpstr>gem_verbr_FCEV_taxi_klein_H2</vt:lpstr>
      <vt:lpstr>gem_verbr_FCEV_taxi_middel_Elek</vt:lpstr>
      <vt:lpstr>gem_verbr_FCEV_taxi_middel_H2</vt:lpstr>
      <vt:lpstr>gem_verbr_FCEV_veegvuilwagen_Elek</vt:lpstr>
      <vt:lpstr>gem_verbr_FCEV_veegvuilwagen_H2</vt:lpstr>
      <vt:lpstr>gem_verbr_FCEV_veegwagen_Elek</vt:lpstr>
      <vt:lpstr>gem_verbr_FCEV_veegwagen_H2</vt:lpstr>
      <vt:lpstr>gem_verbr_FCEV_vuilniswagen_Elek</vt:lpstr>
      <vt:lpstr>gem_verbr_FCEV_vuilniswagen_H2</vt:lpstr>
      <vt:lpstr>gem_verh_accu_H2</vt:lpstr>
      <vt:lpstr>input_MRB_benz_A</vt:lpstr>
      <vt:lpstr>input_MRB_benz_B</vt:lpstr>
      <vt:lpstr>input_MRB_benz_bestel_groot</vt:lpstr>
      <vt:lpstr>input_MRB_benz_bestel_groot_berek</vt:lpstr>
      <vt:lpstr>input_MRB_benz_bestel_klein</vt:lpstr>
      <vt:lpstr>input_MRB_benz_bestel_klein_berek</vt:lpstr>
      <vt:lpstr>input_MRB_benz_bestel_middel</vt:lpstr>
      <vt:lpstr>input_MRB_benz_bestel_middel_berek</vt:lpstr>
      <vt:lpstr>input_MRB_benz_C</vt:lpstr>
      <vt:lpstr>input_MRB_benz_D</vt:lpstr>
      <vt:lpstr>input_MRB_benz_E</vt:lpstr>
      <vt:lpstr>input_MRB_benz_F</vt:lpstr>
      <vt:lpstr>input_MRB_benz_J</vt:lpstr>
      <vt:lpstr>input_MRB_benz_K</vt:lpstr>
      <vt:lpstr>input_MRB_benz_L</vt:lpstr>
      <vt:lpstr>input_MRB_benz_M</vt:lpstr>
      <vt:lpstr>input_MRB_benz_taxibus_groot</vt:lpstr>
      <vt:lpstr>input_MRB_benz_taxibus_klein</vt:lpstr>
      <vt:lpstr>input_MRB_benz_taxibus_middel</vt:lpstr>
      <vt:lpstr>input_MRB_benz_taxibus_rolstoelbus</vt:lpstr>
      <vt:lpstr>input_MRB_BEV_A</vt:lpstr>
      <vt:lpstr>input_MRB_BEV_B</vt:lpstr>
      <vt:lpstr>input_MRB_BEV_bestel_groot</vt:lpstr>
      <vt:lpstr>input_MRB_BEV_bestel_klein</vt:lpstr>
      <vt:lpstr>input_MRB_BEV_bestel_middel</vt:lpstr>
      <vt:lpstr>input_MRB_BEV_C</vt:lpstr>
      <vt:lpstr>input_MRB_BEV_D</vt:lpstr>
      <vt:lpstr>input_MRB_BEV_E</vt:lpstr>
      <vt:lpstr>input_MRB_BEV_F</vt:lpstr>
      <vt:lpstr>input_MRB_BEV_J</vt:lpstr>
      <vt:lpstr>input_MRB_BEV_K</vt:lpstr>
      <vt:lpstr>input_MRB_BEV_L</vt:lpstr>
      <vt:lpstr>input_MRB_BEV_M</vt:lpstr>
      <vt:lpstr>input_MRB_BEV_taxibus_groot</vt:lpstr>
      <vt:lpstr>input_MRB_BEV_taxibus_groot_Ombou</vt:lpstr>
      <vt:lpstr>input_MRB_BEV_taxibus_klein</vt:lpstr>
      <vt:lpstr>input_MRB_BEV_taxibus_middel</vt:lpstr>
      <vt:lpstr>input_MRB_BEV_taxibus_Rolstoel</vt:lpstr>
      <vt:lpstr>input_MRB_BEV_veegvuilwagen</vt:lpstr>
      <vt:lpstr>input_MRB_BEV_veegwagen</vt:lpstr>
      <vt:lpstr>input_MRB_BEV_vuilniswagen</vt:lpstr>
      <vt:lpstr>input_MRB_CNG_A</vt:lpstr>
      <vt:lpstr>input_MRB_CNG_B</vt:lpstr>
      <vt:lpstr>input_MRB_CNG_bestel_groot</vt:lpstr>
      <vt:lpstr>input_MRB_CNG_bestel_groot_berek</vt:lpstr>
      <vt:lpstr>input_MRB_CNG_bestel_klein</vt:lpstr>
      <vt:lpstr>input_MRB_CNG_bestel_klein_berek</vt:lpstr>
      <vt:lpstr>input_MRB_CNG_bestel_middel</vt:lpstr>
      <vt:lpstr>input_MRB_CNG_bestel_middel_berek</vt:lpstr>
      <vt:lpstr>input_MRB_CNG_C</vt:lpstr>
      <vt:lpstr>input_MRB_CNG_D</vt:lpstr>
      <vt:lpstr>input_MRB_CNG_E</vt:lpstr>
      <vt:lpstr>input_MRB_CNG_F</vt:lpstr>
      <vt:lpstr>input_MRB_CNG_J</vt:lpstr>
      <vt:lpstr>input_MRB_CNG_K</vt:lpstr>
      <vt:lpstr>input_MRB_CNG_L</vt:lpstr>
      <vt:lpstr>input_MRB_CNG_M</vt:lpstr>
      <vt:lpstr>input_MRB_CNG_rolstoelbus</vt:lpstr>
      <vt:lpstr>input_MRB_CNG_taxibus_groot</vt:lpstr>
      <vt:lpstr>input_MRB_CNG_taxibus_klein</vt:lpstr>
      <vt:lpstr>input_MRB_CNG_taxibus_middel</vt:lpstr>
      <vt:lpstr>input_MRB_die_A</vt:lpstr>
      <vt:lpstr>input_MRB_die_B</vt:lpstr>
      <vt:lpstr>input_MRB_die_bestel_groot</vt:lpstr>
      <vt:lpstr>input_MRB_die_bestel_groot_berek</vt:lpstr>
      <vt:lpstr>input_MRB_die_bestel_klein</vt:lpstr>
      <vt:lpstr>input_MRB_die_bestel_klein_berek</vt:lpstr>
      <vt:lpstr>input_MRB_die_bestel_middel</vt:lpstr>
      <vt:lpstr>input_MRB_die_bestel_middel_berek</vt:lpstr>
      <vt:lpstr>input_MRB_die_C</vt:lpstr>
      <vt:lpstr>input_MRB_die_D</vt:lpstr>
      <vt:lpstr>input_MRB_die_E</vt:lpstr>
      <vt:lpstr>input_MRB_die_F</vt:lpstr>
      <vt:lpstr>input_MRB_die_J</vt:lpstr>
      <vt:lpstr>input_MRB_die_K</vt:lpstr>
      <vt:lpstr>input_MRB_die_L</vt:lpstr>
      <vt:lpstr>input_MRB_die_M</vt:lpstr>
      <vt:lpstr>input_MRB_die_rolstoelbus</vt:lpstr>
      <vt:lpstr>input_MRB_die_taxibus_groot</vt:lpstr>
      <vt:lpstr>input_MRB_die_taxibus_klein</vt:lpstr>
      <vt:lpstr>input_MRB_die_taxibus_middel</vt:lpstr>
      <vt:lpstr>input_MRB_die_veegvuilwagen</vt:lpstr>
      <vt:lpstr>input_MRB_die_veegwagen</vt:lpstr>
      <vt:lpstr>input_MRB_die_vuilniswagen</vt:lpstr>
      <vt:lpstr>input_MRB_FCEV_A</vt:lpstr>
      <vt:lpstr>input_MRB_FCEV_B</vt:lpstr>
      <vt:lpstr>input_MRB_FCEV_bestel_groot</vt:lpstr>
      <vt:lpstr>input_MRB_FCEV_bestel_klein</vt:lpstr>
      <vt:lpstr>input_MRB_FCEV_bestel_middel</vt:lpstr>
      <vt:lpstr>input_MRB_FCEV_C</vt:lpstr>
      <vt:lpstr>input_MRB_FCEV_D</vt:lpstr>
      <vt:lpstr>input_MRB_FCEV_E</vt:lpstr>
      <vt:lpstr>input_MRB_FCEV_F</vt:lpstr>
      <vt:lpstr>input_MRB_FCEV_J</vt:lpstr>
      <vt:lpstr>input_MRB_FCEV_K</vt:lpstr>
      <vt:lpstr>input_MRB_FCEV_L</vt:lpstr>
      <vt:lpstr>input_MRB_FCEV_M</vt:lpstr>
      <vt:lpstr>input_MRB_FCEV_rolstoel</vt:lpstr>
      <vt:lpstr>input_MRB_FCEV_taxi_groot</vt:lpstr>
      <vt:lpstr>input_MRB_FCEV_taxi_klein</vt:lpstr>
      <vt:lpstr>input_MRB_FCEV_taxi_middel</vt:lpstr>
      <vt:lpstr>input_MRB_FCEV_veegvuilwagen</vt:lpstr>
      <vt:lpstr>input_MRB_FCEV_veegwagen</vt:lpstr>
      <vt:lpstr>input_MRB_FCEV_vuilniswagen</vt:lpstr>
      <vt:lpstr>looptijd</vt:lpstr>
      <vt:lpstr>MIA_BEV_A</vt:lpstr>
      <vt:lpstr>MIA_BEV_B</vt:lpstr>
      <vt:lpstr>MIA_BEV_bestel_groot</vt:lpstr>
      <vt:lpstr>MIA_BEV_bestel_klein</vt:lpstr>
      <vt:lpstr>MIA_BEV_bestel_middel</vt:lpstr>
      <vt:lpstr>MIA_BEV_C</vt:lpstr>
      <vt:lpstr>MIA_BEV_D</vt:lpstr>
      <vt:lpstr>MIA_BEV_E</vt:lpstr>
      <vt:lpstr>MIA_BEV_F</vt:lpstr>
      <vt:lpstr>MIA_BEV_J</vt:lpstr>
      <vt:lpstr>MIA_BEV_K</vt:lpstr>
      <vt:lpstr>MIA_BEV_L</vt:lpstr>
      <vt:lpstr>MIA_BEV_M</vt:lpstr>
      <vt:lpstr>MIA_BEV_rolstoelbus</vt:lpstr>
      <vt:lpstr>MIA_BEV_taxibus_groot</vt:lpstr>
      <vt:lpstr>MIA_BEV_taxibus_klein</vt:lpstr>
      <vt:lpstr>MIA_BEV_taxibus_middel</vt:lpstr>
      <vt:lpstr>MIA_BEV_veegvuilwagen</vt:lpstr>
      <vt:lpstr>MIA_BEV_veegwagen</vt:lpstr>
      <vt:lpstr>MIA_BEV_vuilniswagen</vt:lpstr>
      <vt:lpstr>MIA_FCEV_A</vt:lpstr>
      <vt:lpstr>MIA_FCEV_B</vt:lpstr>
      <vt:lpstr>MIA_FCEV_bestel_groot</vt:lpstr>
      <vt:lpstr>MIA_FCEV_bestel_klein</vt:lpstr>
      <vt:lpstr>MIA_FCEV_bestel_middel</vt:lpstr>
      <vt:lpstr>MIA_FCEV_C</vt:lpstr>
      <vt:lpstr>MIA_FCEV_D</vt:lpstr>
      <vt:lpstr>MIA_FCEV_E</vt:lpstr>
      <vt:lpstr>MIA_FCEV_F</vt:lpstr>
      <vt:lpstr>MIA_FCEV_J</vt:lpstr>
      <vt:lpstr>MIA_FCEV_K</vt:lpstr>
      <vt:lpstr>MIA_FCEV_L</vt:lpstr>
      <vt:lpstr>MIA_FCEV_M</vt:lpstr>
      <vt:lpstr>MIA_FCEV_rolstoel</vt:lpstr>
      <vt:lpstr>MIA_FCEV_taxi_groot</vt:lpstr>
      <vt:lpstr>MIA_FCEV_taxi_klein</vt:lpstr>
      <vt:lpstr>MIA_FCEV_taxi_middel</vt:lpstr>
      <vt:lpstr>MIA_FCEV_veegvuilwagen</vt:lpstr>
      <vt:lpstr>MIA_FCEV_veegwagen</vt:lpstr>
      <vt:lpstr>MIA_FCEV_vuilniswagen</vt:lpstr>
      <vt:lpstr>MRB_belasting</vt:lpstr>
      <vt:lpstr>MRB_benz_A</vt:lpstr>
      <vt:lpstr>MRB_benz_B</vt:lpstr>
      <vt:lpstr>MRB_benz_bestel_klein_part</vt:lpstr>
      <vt:lpstr>MRB_benz_C</vt:lpstr>
      <vt:lpstr>MRB_benz_D</vt:lpstr>
      <vt:lpstr>MRB_benz_E</vt:lpstr>
      <vt:lpstr>MRB_benz_F</vt:lpstr>
      <vt:lpstr>MRB_benz_groot_taxibus</vt:lpstr>
      <vt:lpstr>MRB_benz_J</vt:lpstr>
      <vt:lpstr>MRB_benz_kleine_taxibus</vt:lpstr>
      <vt:lpstr>MRB_benz_L</vt:lpstr>
      <vt:lpstr>MRB_benz_M</vt:lpstr>
      <vt:lpstr>MRB_benz_middel_taxibus</vt:lpstr>
      <vt:lpstr>MRB_benz_rolstoelbus</vt:lpstr>
      <vt:lpstr>MRB_BEV</vt:lpstr>
      <vt:lpstr>MRB_CNG_A</vt:lpstr>
      <vt:lpstr>MRB_CNG_B</vt:lpstr>
      <vt:lpstr>MRB_CNG_bestel_groot_part</vt:lpstr>
      <vt:lpstr>MRB_CNG_bestel_klein_part</vt:lpstr>
      <vt:lpstr>MRB_CNG_C</vt:lpstr>
      <vt:lpstr>MRB_CNG_D</vt:lpstr>
      <vt:lpstr>MRB_CNG_E</vt:lpstr>
      <vt:lpstr>MRB_CNG_F</vt:lpstr>
      <vt:lpstr>MRB_CNG_groot_taxibus</vt:lpstr>
      <vt:lpstr>MRB_CNG_J</vt:lpstr>
      <vt:lpstr>MRB_CNG_kleine_taxibus</vt:lpstr>
      <vt:lpstr>MRB_CNG_L</vt:lpstr>
      <vt:lpstr>MRB_CNG_M</vt:lpstr>
      <vt:lpstr>MRB_CNG_middel_taxibus</vt:lpstr>
      <vt:lpstr>MRB_CNG_rolstoelbus</vt:lpstr>
      <vt:lpstr>MRB_die_B</vt:lpstr>
      <vt:lpstr>MRB_die_bestel_groot</vt:lpstr>
      <vt:lpstr>MRB_die_bestel_groot_part</vt:lpstr>
      <vt:lpstr>MRB_die_bestel_klein</vt:lpstr>
      <vt:lpstr>MRB_die_bestel_klein_part</vt:lpstr>
      <vt:lpstr>MRB_die_bestel_middel</vt:lpstr>
      <vt:lpstr>MRB_die_bestel_middel_part</vt:lpstr>
      <vt:lpstr>MRB_die_C</vt:lpstr>
      <vt:lpstr>MRB_die_D</vt:lpstr>
      <vt:lpstr>MRB_die_E</vt:lpstr>
      <vt:lpstr>MRB_die_F</vt:lpstr>
      <vt:lpstr>MRB_die_groot_taxibus</vt:lpstr>
      <vt:lpstr>MRB_die_J</vt:lpstr>
      <vt:lpstr>MRB_die_kleine_taxibus</vt:lpstr>
      <vt:lpstr>MRB_die_L</vt:lpstr>
      <vt:lpstr>MRB_die_M</vt:lpstr>
      <vt:lpstr>MRB_die_middel_taxibus</vt:lpstr>
      <vt:lpstr>MRB_die_rolstoelbus</vt:lpstr>
      <vt:lpstr>MRB_die_veegvuilwagen</vt:lpstr>
      <vt:lpstr>MRB_die_veegwagen</vt:lpstr>
      <vt:lpstr>MRB_die_vuilniswagen</vt:lpstr>
      <vt:lpstr>Netto_cat_benz_A</vt:lpstr>
      <vt:lpstr>Netto_cat_benz_B</vt:lpstr>
      <vt:lpstr>Netto_cat_benz_bestel_groot</vt:lpstr>
      <vt:lpstr>Netto_cat_benz_bestel_klein</vt:lpstr>
      <vt:lpstr>Netto_cat_benz_bestel_middel</vt:lpstr>
      <vt:lpstr>Netto_cat_benz_C</vt:lpstr>
      <vt:lpstr>Netto_cat_benz_D</vt:lpstr>
      <vt:lpstr>Netto_cat_benz_E</vt:lpstr>
      <vt:lpstr>Netto_cat_benz_F</vt:lpstr>
      <vt:lpstr>Netto_cat_benz_J</vt:lpstr>
      <vt:lpstr>Netto_cat_benz_K</vt:lpstr>
      <vt:lpstr>Netto_cat_benz_L</vt:lpstr>
      <vt:lpstr>Netto_cat_benz_M</vt:lpstr>
      <vt:lpstr>Netto_cat_benz_rolstoelbus</vt:lpstr>
      <vt:lpstr>Netto_cat_benz_taxibus_groot</vt:lpstr>
      <vt:lpstr>Netto_cat_benz_taxibus_klein</vt:lpstr>
      <vt:lpstr>Netto_cat_benz_taxibus_middel</vt:lpstr>
      <vt:lpstr>Netto_cat_bestel_groot</vt:lpstr>
      <vt:lpstr>Netto_cat_bestel_klein</vt:lpstr>
      <vt:lpstr>Netto_cat_bestel_middel</vt:lpstr>
      <vt:lpstr>Netto_cat_BEV_A</vt:lpstr>
      <vt:lpstr>Netto_cat_BEV_B</vt:lpstr>
      <vt:lpstr>Netto_cat_BEV_bestel_groot</vt:lpstr>
      <vt:lpstr>Netto_cat_BEV_bestel_klein</vt:lpstr>
      <vt:lpstr>Netto_cat_BEV_bestel_middel</vt:lpstr>
      <vt:lpstr>Netto_cat_BEV_C</vt:lpstr>
      <vt:lpstr>Netto_cat_BEV_D</vt:lpstr>
      <vt:lpstr>Netto_cat_BEV_E</vt:lpstr>
      <vt:lpstr>Netto_cat_BEV_F</vt:lpstr>
      <vt:lpstr>Netto_cat_BEV_J</vt:lpstr>
      <vt:lpstr>Netto_cat_BEV_K</vt:lpstr>
      <vt:lpstr>Netto_cat_BEV_L</vt:lpstr>
      <vt:lpstr>Netto_cat_BEV_M</vt:lpstr>
      <vt:lpstr>Netto_cat_BEV_rolstoelbus</vt:lpstr>
      <vt:lpstr>Netto_cat_BEV_taxibus_groot</vt:lpstr>
      <vt:lpstr>Netto_cat_BEV_taxibus_klein</vt:lpstr>
      <vt:lpstr>Netto_cat_BEV_taxibus_middel</vt:lpstr>
      <vt:lpstr>Netto_cat_BEV_veegvuilwagen</vt:lpstr>
      <vt:lpstr>Netto_cat_BEV_veegwagen</vt:lpstr>
      <vt:lpstr>Netto_cat_BEV_vuilniswagen</vt:lpstr>
      <vt:lpstr>Netto_cat_CNG_A</vt:lpstr>
      <vt:lpstr>Netto_cat_CNG_B</vt:lpstr>
      <vt:lpstr>Netto_cat_CNG_bestel_groot</vt:lpstr>
      <vt:lpstr>Netto_cat_CNG_bestel_klein</vt:lpstr>
      <vt:lpstr>Netto_cat_CNG_bestel_middel</vt:lpstr>
      <vt:lpstr>Netto_cat_CNG_C</vt:lpstr>
      <vt:lpstr>Netto_cat_CNG_D</vt:lpstr>
      <vt:lpstr>Netto_cat_CNG_E</vt:lpstr>
      <vt:lpstr>Netto_cat_CNG_F</vt:lpstr>
      <vt:lpstr>Netto_cat_CNG_J</vt:lpstr>
      <vt:lpstr>Netto_cat_CNG_K</vt:lpstr>
      <vt:lpstr>Netto_cat_CNG_L</vt:lpstr>
      <vt:lpstr>Netto_cat_CNG_M</vt:lpstr>
      <vt:lpstr>Netto_cat_CNG_rolstoelbus</vt:lpstr>
      <vt:lpstr>Netto_cat_CNG_taxibus_groot</vt:lpstr>
      <vt:lpstr>Netto_cat_CNG_taxibus_klein</vt:lpstr>
      <vt:lpstr>Netto_cat_CNG_taxibus_middel</vt:lpstr>
      <vt:lpstr>Netto_cat_die_A</vt:lpstr>
      <vt:lpstr>Netto_cat_die_B</vt:lpstr>
      <vt:lpstr>Netto_cat_die_bestel_groot</vt:lpstr>
      <vt:lpstr>Netto_cat_die_bestel_klein</vt:lpstr>
      <vt:lpstr>Netto_cat_die_bestel_middel</vt:lpstr>
      <vt:lpstr>Netto_cat_die_C</vt:lpstr>
      <vt:lpstr>Netto_cat_die_D</vt:lpstr>
      <vt:lpstr>Netto_cat_die_E</vt:lpstr>
      <vt:lpstr>Netto_cat_die_F</vt:lpstr>
      <vt:lpstr>Netto_cat_die_J</vt:lpstr>
      <vt:lpstr>Netto_cat_die_K</vt:lpstr>
      <vt:lpstr>Netto_cat_die_L</vt:lpstr>
      <vt:lpstr>Netto_cat_die_M</vt:lpstr>
      <vt:lpstr>Netto_cat_die_rolstoelbus</vt:lpstr>
      <vt:lpstr>Netto_cat_die_taxibus_groot</vt:lpstr>
      <vt:lpstr>Netto_cat_die_taxibus_klein</vt:lpstr>
      <vt:lpstr>Netto_cat_die_taxibus_middel</vt:lpstr>
      <vt:lpstr>Netto_cat_die_veegvuilwagen</vt:lpstr>
      <vt:lpstr>Netto_cat_die_veegvuilwagen1</vt:lpstr>
      <vt:lpstr>Netto_cat_die_veegvuilwagens</vt:lpstr>
      <vt:lpstr>Netto_cat_die_veegwagen</vt:lpstr>
      <vt:lpstr>Netto_cat_die_vuilniswagen</vt:lpstr>
      <vt:lpstr>Netto_cat_FCEV_A</vt:lpstr>
      <vt:lpstr>Netto_cat_FCEV_B</vt:lpstr>
      <vt:lpstr>Netto_cat_FCEV_bestel_groot</vt:lpstr>
      <vt:lpstr>Netto_cat_FCEV_bestel_klein</vt:lpstr>
      <vt:lpstr>Netto_cat_FCEV_bestel_middel</vt:lpstr>
      <vt:lpstr>Netto_cat_FCEV_C</vt:lpstr>
      <vt:lpstr>Netto_cat_FCEV_D</vt:lpstr>
      <vt:lpstr>Netto_cat_FCEV_E</vt:lpstr>
      <vt:lpstr>Netto_cat_FCEV_F</vt:lpstr>
      <vt:lpstr>Netto_cat_FCEV_J</vt:lpstr>
      <vt:lpstr>Netto_cat_FCEV_K</vt:lpstr>
      <vt:lpstr>Netto_cat_FCEV_L</vt:lpstr>
      <vt:lpstr>Netto_cat_FCEV_M</vt:lpstr>
      <vt:lpstr>Netto_cat_FCEV_rolstoel</vt:lpstr>
      <vt:lpstr>Netto_cat_FCEV_taxi_groot</vt:lpstr>
      <vt:lpstr>Netto_cat_FCEV_taxi_klein</vt:lpstr>
      <vt:lpstr>Netto_cat_FCEV_taxi_middel</vt:lpstr>
      <vt:lpstr>Netto_cat_FCEV_veegvuilwagen</vt:lpstr>
      <vt:lpstr>Netto_cat_FCEV_veegwagen</vt:lpstr>
      <vt:lpstr>Netto_cat_FCEV_vuilniswagen</vt:lpstr>
      <vt:lpstr>old_aantal_km</vt:lpstr>
      <vt:lpstr>old_looptijd</vt:lpstr>
      <vt:lpstr>old_looptijd_kippers</vt:lpstr>
      <vt:lpstr>old_looptijd_veegmachines</vt:lpstr>
      <vt:lpstr>Old_looptijd_vm</vt:lpstr>
      <vt:lpstr>old_looptijd_vuilniswagens</vt:lpstr>
      <vt:lpstr>Onderh_benz_A</vt:lpstr>
      <vt:lpstr>Onderh_benz_A_hoog_km</vt:lpstr>
      <vt:lpstr>Onderh_benz_B</vt:lpstr>
      <vt:lpstr>Onderh_benz_B_hoog_km</vt:lpstr>
      <vt:lpstr>Onderh_benz_bestel_groot</vt:lpstr>
      <vt:lpstr>Onderh_benz_bestel_groot_hoog_km</vt:lpstr>
      <vt:lpstr>Onderh_benz_bestel_klein</vt:lpstr>
      <vt:lpstr>Onderh_benz_bestel_klein_hoog_km</vt:lpstr>
      <vt:lpstr>Onderh_benz_bestel_middel</vt:lpstr>
      <vt:lpstr>Onderh_benz_bestel_middel_hoog_km</vt:lpstr>
      <vt:lpstr>Onderh_benz_C</vt:lpstr>
      <vt:lpstr>Onderh_benz_C_hoog_km</vt:lpstr>
      <vt:lpstr>Onderh_benz_D</vt:lpstr>
      <vt:lpstr>Onderh_benz_D_hoog_km</vt:lpstr>
      <vt:lpstr>Onderh_benz_E</vt:lpstr>
      <vt:lpstr>Onderh_benz_E_hoog_km</vt:lpstr>
      <vt:lpstr>Onderh_benz_F</vt:lpstr>
      <vt:lpstr>Onderh_benz_F_hoog_km</vt:lpstr>
      <vt:lpstr>Onderh_benz_J</vt:lpstr>
      <vt:lpstr>Onderh_benz_J_hoog_km</vt:lpstr>
      <vt:lpstr>Onderh_benz_K</vt:lpstr>
      <vt:lpstr>Onderh_benz_K_hoog_km</vt:lpstr>
      <vt:lpstr>Onderh_benz_L</vt:lpstr>
      <vt:lpstr>Onderh_benz_L_hoog_km</vt:lpstr>
      <vt:lpstr>Onderh_benz_M</vt:lpstr>
      <vt:lpstr>Onderh_benz_M_hoog_km</vt:lpstr>
      <vt:lpstr>Onderh_benz_rolstoelbus</vt:lpstr>
      <vt:lpstr>Onderh_benz_rolstoelbus_hoog_km</vt:lpstr>
      <vt:lpstr>Onderh_benz_taxibus_groot</vt:lpstr>
      <vt:lpstr>Onderh_benz_taxibus_groot_hoog_km</vt:lpstr>
      <vt:lpstr>Onderh_benz_taxibus_klein</vt:lpstr>
      <vt:lpstr>Onderh_benz_taxibus_klein_hoog_km</vt:lpstr>
      <vt:lpstr>Onderh_benz_taxibus_middel</vt:lpstr>
      <vt:lpstr>Onderh_benz_taxibus_middel_hoog_km</vt:lpstr>
      <vt:lpstr>Onderh_BEV_A</vt:lpstr>
      <vt:lpstr>Onderh_BEV_A_hoog_km</vt:lpstr>
      <vt:lpstr>Onderh_BEV_B</vt:lpstr>
      <vt:lpstr>Onderh_BEV_B_hoog_km</vt:lpstr>
      <vt:lpstr>Onderh_BEV_bestel_groot</vt:lpstr>
      <vt:lpstr>Onderh_BEV_bestel_groot_hoog_km</vt:lpstr>
      <vt:lpstr>Onderh_BEV_bestel_klein</vt:lpstr>
      <vt:lpstr>Onderh_BEV_bestel_klein_hoog_km</vt:lpstr>
      <vt:lpstr>Onderh_BEV_bestel_middel</vt:lpstr>
      <vt:lpstr>Onderh_BEV_bestel_middel_hoog_km</vt:lpstr>
      <vt:lpstr>Onderh_BEV_C</vt:lpstr>
      <vt:lpstr>Onderh_BEV_C_hoog_km</vt:lpstr>
      <vt:lpstr>Onderh_BEV_D</vt:lpstr>
      <vt:lpstr>Onderh_BEV_D_hoog_km</vt:lpstr>
      <vt:lpstr>Onderh_BEV_E</vt:lpstr>
      <vt:lpstr>Onderh_BEV_E_hoog_km</vt:lpstr>
      <vt:lpstr>Onderh_BEV_F</vt:lpstr>
      <vt:lpstr>Onderh_BEV_F_hoog_km</vt:lpstr>
      <vt:lpstr>Onderh_BEV_J</vt:lpstr>
      <vt:lpstr>Onderh_BEV_J_hoog_km</vt:lpstr>
      <vt:lpstr>Onderh_BEV_K</vt:lpstr>
      <vt:lpstr>Onderh_BEV_K_hoog_km</vt:lpstr>
      <vt:lpstr>Onderh_BEV_L</vt:lpstr>
      <vt:lpstr>Onderh_BEV_L_hoog_km</vt:lpstr>
      <vt:lpstr>Onderh_BEV_M</vt:lpstr>
      <vt:lpstr>Onderh_BEV_M_hoog_km</vt:lpstr>
      <vt:lpstr>Onderh_BEV_rolstoelbus</vt:lpstr>
      <vt:lpstr>Onderh_BEV_rolstoelbus_hoog_km</vt:lpstr>
      <vt:lpstr>Onderh_BEV_taxibus_groot</vt:lpstr>
      <vt:lpstr>Onderh_BEV_taxibus_groot_hoog_km</vt:lpstr>
      <vt:lpstr>Onderh_BEV_taxibus_klein</vt:lpstr>
      <vt:lpstr>Onderh_BEV_taxibus_klein_hoog_km</vt:lpstr>
      <vt:lpstr>Onderh_BEV_taxibus_middel</vt:lpstr>
      <vt:lpstr>Onderh_BEV_taxibus_middel_hoog_km</vt:lpstr>
      <vt:lpstr>Onderh_BEV_veegvuilwagen</vt:lpstr>
      <vt:lpstr>Onderh_BEV_veegvuilwagen_hoog_km</vt:lpstr>
      <vt:lpstr>Onderh_BEV_veegwagen</vt:lpstr>
      <vt:lpstr>Onderh_BEV_veegwagen_hoog_km</vt:lpstr>
      <vt:lpstr>Onderh_BEV_vuilniswagen</vt:lpstr>
      <vt:lpstr>Onderh_BEV_vuilniswagen_hoog_km</vt:lpstr>
      <vt:lpstr>Onderh_CNG_A</vt:lpstr>
      <vt:lpstr>Onderh_CNG_A_hoog_km</vt:lpstr>
      <vt:lpstr>Onderh_CNG_B</vt:lpstr>
      <vt:lpstr>Onderh_CNG_B_hoog_km</vt:lpstr>
      <vt:lpstr>Onderh_CNG_bestel_groot</vt:lpstr>
      <vt:lpstr>Onderh_CNG_bestel_groot_hoog_km</vt:lpstr>
      <vt:lpstr>Onderh_CNG_bestel_klein</vt:lpstr>
      <vt:lpstr>Onderh_CNG_bestel_klein_hoog_km</vt:lpstr>
      <vt:lpstr>Onderh_CNG_bestel_middel</vt:lpstr>
      <vt:lpstr>Onderh_CNG_bestel_middel_hoog_km</vt:lpstr>
      <vt:lpstr>Onderh_CNG_C</vt:lpstr>
      <vt:lpstr>Onderh_CNG_C_hoog_km</vt:lpstr>
      <vt:lpstr>Onderh_CNG_D</vt:lpstr>
      <vt:lpstr>Onderh_CNG_D_hoog_km</vt:lpstr>
      <vt:lpstr>Onderh_CNG_E</vt:lpstr>
      <vt:lpstr>Onderh_CNG_E_hoog_km</vt:lpstr>
      <vt:lpstr>Onderh_CNG_F</vt:lpstr>
      <vt:lpstr>Onderh_CNG_F_hoog_km</vt:lpstr>
      <vt:lpstr>Onderh_CNG_J</vt:lpstr>
      <vt:lpstr>Onderh_CNG_J_hoog_km</vt:lpstr>
      <vt:lpstr>Onderh_CNG_K</vt:lpstr>
      <vt:lpstr>Onderh_CNG_K_hoog_km</vt:lpstr>
      <vt:lpstr>Onderh_CNG_L</vt:lpstr>
      <vt:lpstr>Onderh_CNG_L_hoog_km</vt:lpstr>
      <vt:lpstr>Onderh_CNG_M</vt:lpstr>
      <vt:lpstr>Onderh_CNG_M_hoog_km</vt:lpstr>
      <vt:lpstr>Onderh_CNG_rolstoelbus</vt:lpstr>
      <vt:lpstr>Onderh_CNG_rolstoelbus_hoog_km</vt:lpstr>
      <vt:lpstr>Onderh_CNG_taxibus_groot</vt:lpstr>
      <vt:lpstr>Onderh_CNG_taxibus_groot_hoog_km</vt:lpstr>
      <vt:lpstr>Onderh_CNG_taxibus_klein</vt:lpstr>
      <vt:lpstr>Onderh_CNG_taxibus_klein_hoog_km</vt:lpstr>
      <vt:lpstr>Onderh_CNG_taxibus_middel</vt:lpstr>
      <vt:lpstr>Onderh_CNG_taxibus_middel_hoog_km</vt:lpstr>
      <vt:lpstr>Onderh_die_A_hoog_km</vt:lpstr>
      <vt:lpstr>Onderh_die_B</vt:lpstr>
      <vt:lpstr>Onderh_die_B_hoog_km</vt:lpstr>
      <vt:lpstr>Onderh_die_bestel_groot</vt:lpstr>
      <vt:lpstr>Onderh_die_bestel_groot_hoog_km</vt:lpstr>
      <vt:lpstr>Onderh_die_bestel_klein</vt:lpstr>
      <vt:lpstr>Onderh_die_bestel_klein_hoog_km</vt:lpstr>
      <vt:lpstr>Onderh_die_bestel_middel</vt:lpstr>
      <vt:lpstr>Onderh_die_bestel_middel_hoog_km</vt:lpstr>
      <vt:lpstr>Onderh_die_C</vt:lpstr>
      <vt:lpstr>Onderh_die_C_hoog_km</vt:lpstr>
      <vt:lpstr>Onderh_die_D</vt:lpstr>
      <vt:lpstr>Onderh_die_D_hoog_km</vt:lpstr>
      <vt:lpstr>Onderh_die_E</vt:lpstr>
      <vt:lpstr>Onderh_die_E_hoog_km</vt:lpstr>
      <vt:lpstr>Onderh_die_F</vt:lpstr>
      <vt:lpstr>Onderh_die_F_hoog_km</vt:lpstr>
      <vt:lpstr>Onderh_die_J</vt:lpstr>
      <vt:lpstr>Onderh_die_J_hoog_km</vt:lpstr>
      <vt:lpstr>Onderh_die_K</vt:lpstr>
      <vt:lpstr>Onderh_die_K_hoog_km</vt:lpstr>
      <vt:lpstr>Onderh_die_L</vt:lpstr>
      <vt:lpstr>Onderh_die_L_hoog_km</vt:lpstr>
      <vt:lpstr>Onderh_die_M</vt:lpstr>
      <vt:lpstr>Onderh_die_M_hoog_km</vt:lpstr>
      <vt:lpstr>Onderh_die_rolstoelbus</vt:lpstr>
      <vt:lpstr>Onderh_die_rolstoelbus_hoog_km</vt:lpstr>
      <vt:lpstr>Onderh_die_taxibus_groot</vt:lpstr>
      <vt:lpstr>Onderh_die_taxibus_groot_hoog_km</vt:lpstr>
      <vt:lpstr>Onderh_die_taxibus_klein</vt:lpstr>
      <vt:lpstr>Onderh_die_taxibus_klein_hoog_km</vt:lpstr>
      <vt:lpstr>Onderh_die_taxibus_middel</vt:lpstr>
      <vt:lpstr>Onderh_die_taxibus_middel_hoog_km</vt:lpstr>
      <vt:lpstr>Onderh_die_veegvuilwagen</vt:lpstr>
      <vt:lpstr>Onderh_die_veegvuilwagen_hoog_km</vt:lpstr>
      <vt:lpstr>Onderh_die_veegwagen</vt:lpstr>
      <vt:lpstr>Onderh_die_veegwagen_hoog_km</vt:lpstr>
      <vt:lpstr>Onderh_die_vuilniswagen</vt:lpstr>
      <vt:lpstr>Onderh_die_vuilniswagen_hoog_km</vt:lpstr>
      <vt:lpstr>Onderh_dies_A</vt:lpstr>
      <vt:lpstr>Onderh_FCEV_A</vt:lpstr>
      <vt:lpstr>Onderh_FCEV_A_hoog_km</vt:lpstr>
      <vt:lpstr>Onderh_FCEV_B</vt:lpstr>
      <vt:lpstr>Onderh_FCEV_B_hoog_km</vt:lpstr>
      <vt:lpstr>Onderh_FCEV_bestel_groot</vt:lpstr>
      <vt:lpstr>Onderh_FCEV_bestel_groot_hoog_km</vt:lpstr>
      <vt:lpstr>Onderh_FCEV_bestel_klein</vt:lpstr>
      <vt:lpstr>Onderh_FCEV_bestel_klein_hoog_km</vt:lpstr>
      <vt:lpstr>Onderh_FCEV_bestel_middel</vt:lpstr>
      <vt:lpstr>Onderh_FCEV_bestel_middel_hoog_km</vt:lpstr>
      <vt:lpstr>Onderh_FCEV_C</vt:lpstr>
      <vt:lpstr>Onderh_FCEV_C_hoog_km</vt:lpstr>
      <vt:lpstr>Onderh_FCEV_D</vt:lpstr>
      <vt:lpstr>Onderh_FCEV_D_hoog_km</vt:lpstr>
      <vt:lpstr>Onderh_FCEV_E</vt:lpstr>
      <vt:lpstr>Onderh_FCEV_E_hoog_km</vt:lpstr>
      <vt:lpstr>Onderh_FCEV_F</vt:lpstr>
      <vt:lpstr>Onderh_FCEV_F_hoog_km</vt:lpstr>
      <vt:lpstr>Onderh_FCEV_J</vt:lpstr>
      <vt:lpstr>Onderh_FCEV_J_hoog_km</vt:lpstr>
      <vt:lpstr>Onderh_FCEV_K</vt:lpstr>
      <vt:lpstr>Onderh_FCEV_K_hoog_km</vt:lpstr>
      <vt:lpstr>Onderh_FCEV_L</vt:lpstr>
      <vt:lpstr>Onderh_FCEV_L_hoog_km</vt:lpstr>
      <vt:lpstr>Onderh_FCEV_M</vt:lpstr>
      <vt:lpstr>Onderh_FCEV_M_hoog_km</vt:lpstr>
      <vt:lpstr>Onderh_FCEV_rolstoel</vt:lpstr>
      <vt:lpstr>Onderh_FCEV_taxi_groot</vt:lpstr>
      <vt:lpstr>Onderh_FCEV_taxi_groot_hoog_km</vt:lpstr>
      <vt:lpstr>Onderh_FCEV_taxi_klein</vt:lpstr>
      <vt:lpstr>Onderh_FCEV_taxi_klein_hoog_km</vt:lpstr>
      <vt:lpstr>Onderh_FCEV_taxi_middel</vt:lpstr>
      <vt:lpstr>Onderh_FCEV_taxi_middel_hoog_km</vt:lpstr>
      <vt:lpstr>Onderh_FCEV_taxi_rolstoel_hoog_km</vt:lpstr>
      <vt:lpstr>Onderh_FCEV_veegvuilwagen</vt:lpstr>
      <vt:lpstr>Onderh_FCEV_veegvuilwagen_hoog_km</vt:lpstr>
      <vt:lpstr>Onderh_FCEV_veegwagen</vt:lpstr>
      <vt:lpstr>Onderh_FCEV_veegwagen_hoog_km</vt:lpstr>
      <vt:lpstr>Onderh_FCEV_vuilniswagen</vt:lpstr>
      <vt:lpstr>Onderh_FCEV_vuilniswagen_hoog_km</vt:lpstr>
      <vt:lpstr>prijs_benz</vt:lpstr>
      <vt:lpstr>prijs_CNG</vt:lpstr>
      <vt:lpstr>prijs_die</vt:lpstr>
      <vt:lpstr>prijs_elek_berekening</vt:lpstr>
      <vt:lpstr>prijs_elek_kantoor</vt:lpstr>
      <vt:lpstr>prijs_elek_kantoor_handmatig</vt:lpstr>
      <vt:lpstr>prijs_elek_publiek_langzaam</vt:lpstr>
      <vt:lpstr>prijs_elek_publiek_snellaad</vt:lpstr>
      <vt:lpstr>prijs_elek_thuis</vt:lpstr>
      <vt:lpstr>prijs_H2</vt:lpstr>
      <vt:lpstr>Rente_financiering</vt:lpstr>
      <vt:lpstr>Rest_1</vt:lpstr>
      <vt:lpstr>Rest_1_huisvuil</vt:lpstr>
      <vt:lpstr>Rest_1_veegwagen</vt:lpstr>
      <vt:lpstr>Rest_10</vt:lpstr>
      <vt:lpstr>Rest_10_huisvuil</vt:lpstr>
      <vt:lpstr>Rest_10_veegwagen</vt:lpstr>
      <vt:lpstr>Rest_2</vt:lpstr>
      <vt:lpstr>Rest_2_huisvuil</vt:lpstr>
      <vt:lpstr>Rest_2_veegwagen</vt:lpstr>
      <vt:lpstr>Rest_3</vt:lpstr>
      <vt:lpstr>Rest_3_huisvuil</vt:lpstr>
      <vt:lpstr>Rest_3_veegwagen</vt:lpstr>
      <vt:lpstr>Rest_4</vt:lpstr>
      <vt:lpstr>Rest_4_huisvuil</vt:lpstr>
      <vt:lpstr>Rest_4_veegwagen</vt:lpstr>
      <vt:lpstr>Rest_5</vt:lpstr>
      <vt:lpstr>Rest_5_huisvuil</vt:lpstr>
      <vt:lpstr>Rest_5_veegwagen</vt:lpstr>
      <vt:lpstr>Rest_6</vt:lpstr>
      <vt:lpstr>Rest_6_huisvuil</vt:lpstr>
      <vt:lpstr>Rest_6_veegwagen</vt:lpstr>
      <vt:lpstr>Rest_7</vt:lpstr>
      <vt:lpstr>Rest_7_huisvuil</vt:lpstr>
      <vt:lpstr>Rest_7_veegwagen</vt:lpstr>
      <vt:lpstr>Rest_8</vt:lpstr>
      <vt:lpstr>Rest_8_huisvuil</vt:lpstr>
      <vt:lpstr>Rest_8_veegwagen</vt:lpstr>
      <vt:lpstr>Rest_9</vt:lpstr>
      <vt:lpstr>Rest_9_huisvuil</vt:lpstr>
      <vt:lpstr>Rest_9_veegwagen</vt:lpstr>
      <vt:lpstr>Rest_perc</vt:lpstr>
      <vt:lpstr>Rest_perc_huisvuil</vt:lpstr>
      <vt:lpstr>Rest_perc_veegwagen</vt:lpstr>
      <vt:lpstr>Rest_perc_ZE</vt:lpstr>
      <vt:lpstr>startjaar</vt:lpstr>
      <vt:lpstr>verbr_benz_A</vt:lpstr>
      <vt:lpstr>verbr_benz_B</vt:lpstr>
      <vt:lpstr>verbr_benz_bestel_groot</vt:lpstr>
      <vt:lpstr>verbr_benz_bestel_klein</vt:lpstr>
      <vt:lpstr>verbr_benz_bestel_middel</vt:lpstr>
      <vt:lpstr>verbr_benz_C</vt:lpstr>
      <vt:lpstr>verbr_benz_D</vt:lpstr>
      <vt:lpstr>verbr_benz_E</vt:lpstr>
      <vt:lpstr>verbr_benz_F</vt:lpstr>
      <vt:lpstr>verbr_benz_groot_taxibus</vt:lpstr>
      <vt:lpstr>verbr_benz_J</vt:lpstr>
      <vt:lpstr>verbr_benz_kleine_taxibus</vt:lpstr>
      <vt:lpstr>verbr_benz_L</vt:lpstr>
      <vt:lpstr>verbr_benz_M</vt:lpstr>
      <vt:lpstr>verbr_benz_middel_taxibus</vt:lpstr>
      <vt:lpstr>verbr_benz_rolstoelbus</vt:lpstr>
      <vt:lpstr>verbr_CNG_A</vt:lpstr>
      <vt:lpstr>verbr_CNG_B</vt:lpstr>
      <vt:lpstr>verbr_CNG_bestel_groot</vt:lpstr>
      <vt:lpstr>verbr_CNG_bestel_klein</vt:lpstr>
      <vt:lpstr>verbr_CNG_bestel_middel</vt:lpstr>
      <vt:lpstr>verbr_CNG_C</vt:lpstr>
      <vt:lpstr>verbr_CNG_D</vt:lpstr>
      <vt:lpstr>verbr_CNG_E</vt:lpstr>
      <vt:lpstr>verbr_CNG_F</vt:lpstr>
      <vt:lpstr>verbr_CNG_grote_taxibus</vt:lpstr>
      <vt:lpstr>verbr_CNG_J</vt:lpstr>
      <vt:lpstr>verbr_CNG_kleine_taxibus</vt:lpstr>
      <vt:lpstr>verbr_CNG_L</vt:lpstr>
      <vt:lpstr>verbr_CNG_M</vt:lpstr>
      <vt:lpstr>verbr_CNG_middel_taxibus</vt:lpstr>
      <vt:lpstr>verbr_CNG_rolstoelbus</vt:lpstr>
      <vt:lpstr>verbr_die_A</vt:lpstr>
      <vt:lpstr>verbr_die_B</vt:lpstr>
      <vt:lpstr>verbr_die_bestel_groot</vt:lpstr>
      <vt:lpstr>verbr_die_bestel_klein</vt:lpstr>
      <vt:lpstr>verbr_die_bestel_middel</vt:lpstr>
      <vt:lpstr>verbr_die_C</vt:lpstr>
      <vt:lpstr>verbr_die_D</vt:lpstr>
      <vt:lpstr>verbr_die_E</vt:lpstr>
      <vt:lpstr>verbr_die_F</vt:lpstr>
      <vt:lpstr>verbr_die_groot_taxibus</vt:lpstr>
      <vt:lpstr>verbr_die_J</vt:lpstr>
      <vt:lpstr>verbr_die_kleine_taxibus</vt:lpstr>
      <vt:lpstr>verbr_die_L</vt:lpstr>
      <vt:lpstr>verbr_die_M</vt:lpstr>
      <vt:lpstr>verbr_die_middel_taxibus</vt:lpstr>
      <vt:lpstr>verbr_die_rolstoelbus</vt:lpstr>
      <vt:lpstr>verbr_die_veegvuilwagen</vt:lpstr>
      <vt:lpstr>verbr_die_veegwagen</vt:lpstr>
      <vt:lpstr>verbr_die_vuilniswagen</vt:lpstr>
      <vt:lpstr>verz_benz_A</vt:lpstr>
      <vt:lpstr>verz_benz_B</vt:lpstr>
      <vt:lpstr>verz_benz_bestel_groot</vt:lpstr>
      <vt:lpstr>verz_benz_bestel_klein</vt:lpstr>
      <vt:lpstr>verz_benz_bestel_middel</vt:lpstr>
      <vt:lpstr>verz_benz_C</vt:lpstr>
      <vt:lpstr>verz_benz_D</vt:lpstr>
      <vt:lpstr>verz_benz_E</vt:lpstr>
      <vt:lpstr>verz_benz_F</vt:lpstr>
      <vt:lpstr>verz_benz_J</vt:lpstr>
      <vt:lpstr>verz_benz_K</vt:lpstr>
      <vt:lpstr>verz_benz_L</vt:lpstr>
      <vt:lpstr>verz_benz_M</vt:lpstr>
      <vt:lpstr>verz_benz_rolstoelbus</vt:lpstr>
      <vt:lpstr>verz_benz_taxibus_groot</vt:lpstr>
      <vt:lpstr>verz_benz_taxibus_klein</vt:lpstr>
      <vt:lpstr>verz_benz_taxibus_middel</vt:lpstr>
      <vt:lpstr>verz_BEV_A</vt:lpstr>
      <vt:lpstr>verz_BEV_B</vt:lpstr>
      <vt:lpstr>verz_BEV_bestel_groot</vt:lpstr>
      <vt:lpstr>verz_BEV_bestel_klein</vt:lpstr>
      <vt:lpstr>verz_BEV_bestel_middel</vt:lpstr>
      <vt:lpstr>verz_BEV_C</vt:lpstr>
      <vt:lpstr>verz_BEV_D</vt:lpstr>
      <vt:lpstr>verz_BEV_E</vt:lpstr>
      <vt:lpstr>verz_BEV_F</vt:lpstr>
      <vt:lpstr>verz_BEV_J</vt:lpstr>
      <vt:lpstr>verz_BEV_K</vt:lpstr>
      <vt:lpstr>verz_BEV_L</vt:lpstr>
      <vt:lpstr>verz_BEV_M</vt:lpstr>
      <vt:lpstr>verz_BEV_rolstoelbus</vt:lpstr>
      <vt:lpstr>verz_BEV_taxibus_groot</vt:lpstr>
      <vt:lpstr>verz_BEV_taxibus_klein</vt:lpstr>
      <vt:lpstr>verz_BEV_taxibus_middel</vt:lpstr>
      <vt:lpstr>verz_BEV_veegvuilwagen</vt:lpstr>
      <vt:lpstr>verz_BEV_veegwagen</vt:lpstr>
      <vt:lpstr>verz_BEV_vuilniswagen</vt:lpstr>
      <vt:lpstr>verz_CNG_A</vt:lpstr>
      <vt:lpstr>verz_CNG_B</vt:lpstr>
      <vt:lpstr>verz_CNG_bestel_groot</vt:lpstr>
      <vt:lpstr>verz_CNG_bestel_klein</vt:lpstr>
      <vt:lpstr>verz_CNG_bestel_middel</vt:lpstr>
      <vt:lpstr>verz_CNG_C</vt:lpstr>
      <vt:lpstr>verz_CNG_D</vt:lpstr>
      <vt:lpstr>verz_CNG_E</vt:lpstr>
      <vt:lpstr>verz_CNG_F</vt:lpstr>
      <vt:lpstr>verz_CNG_J</vt:lpstr>
      <vt:lpstr>verz_CNG_K</vt:lpstr>
      <vt:lpstr>verz_CNG_L</vt:lpstr>
      <vt:lpstr>verz_CNG_M</vt:lpstr>
      <vt:lpstr>verz_CNG_rolstoelbus</vt:lpstr>
      <vt:lpstr>verz_CNG_taxibus_groot</vt:lpstr>
      <vt:lpstr>verz_CNG_taxibus_klein</vt:lpstr>
      <vt:lpstr>verz_CNG_taxibus_middel</vt:lpstr>
      <vt:lpstr>verz_die_A</vt:lpstr>
      <vt:lpstr>verz_die_B</vt:lpstr>
      <vt:lpstr>verz_die_bestel_groot</vt:lpstr>
      <vt:lpstr>verz_die_bestel_klein</vt:lpstr>
      <vt:lpstr>verz_die_bestel_middel</vt:lpstr>
      <vt:lpstr>verz_die_C</vt:lpstr>
      <vt:lpstr>verz_die_D</vt:lpstr>
      <vt:lpstr>verz_die_E</vt:lpstr>
      <vt:lpstr>verz_die_F</vt:lpstr>
      <vt:lpstr>verz_die_J</vt:lpstr>
      <vt:lpstr>verz_die_K</vt:lpstr>
      <vt:lpstr>verz_die_L</vt:lpstr>
      <vt:lpstr>verz_die_M</vt:lpstr>
      <vt:lpstr>verz_die_rolstoelbus</vt:lpstr>
      <vt:lpstr>verz_die_taxibus_groot</vt:lpstr>
      <vt:lpstr>verz_die_taxibus_klein</vt:lpstr>
      <vt:lpstr>verz_die_taxibus_middel</vt:lpstr>
      <vt:lpstr>verz_die_veegvuilwagen</vt:lpstr>
      <vt:lpstr>verz_die_veegwagen</vt:lpstr>
      <vt:lpstr>verz_die_vuilniswagen</vt:lpstr>
      <vt:lpstr>verz_FCEV_A</vt:lpstr>
      <vt:lpstr>verz_FCEV_B</vt:lpstr>
      <vt:lpstr>verz_FCEV_bestel_groot</vt:lpstr>
      <vt:lpstr>verz_FCEV_bestel_klein</vt:lpstr>
      <vt:lpstr>verz_FCEV_bestel_middel</vt:lpstr>
      <vt:lpstr>verz_FCEV_C</vt:lpstr>
      <vt:lpstr>verz_FCEV_D</vt:lpstr>
      <vt:lpstr>verz_FCEV_E</vt:lpstr>
      <vt:lpstr>verz_FCEV_F</vt:lpstr>
      <vt:lpstr>verz_FCEV_J</vt:lpstr>
      <vt:lpstr>verz_FCEV_K</vt:lpstr>
      <vt:lpstr>verz_FCEV_L</vt:lpstr>
      <vt:lpstr>verz_FCEV_M</vt:lpstr>
      <vt:lpstr>verz_FCEV_taxi_groot</vt:lpstr>
      <vt:lpstr>verz_FCEV_taxi_klein</vt:lpstr>
      <vt:lpstr>verz_FCEV_taxi_middel</vt:lpstr>
      <vt:lpstr>verz_FCEV_taxi_rolstoel</vt:lpstr>
      <vt:lpstr>verz_FCEV_veegvuilwagen</vt:lpstr>
      <vt:lpstr>verz_FCEV_veegwagen</vt:lpstr>
      <vt:lpstr>verz_FCEV_vuilniswagen</vt:lpstr>
    </vt:vector>
  </TitlesOfParts>
  <Manager/>
  <Company>EVConsult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TCO tool doelgroepenvervoer</dc:title>
  <dc:subject/>
  <dc:creator>Robin Matton</dc:creator>
  <cp:keywords/>
  <dc:description/>
  <cp:lastModifiedBy>Robin Matton</cp:lastModifiedBy>
  <cp:revision/>
  <dcterms:created xsi:type="dcterms:W3CDTF">2018-08-02T09:33:14Z</dcterms:created>
  <dcterms:modified xsi:type="dcterms:W3CDTF">2020-04-23T15:52:24Z</dcterms:modified>
  <cp:category/>
  <cp:contentStatus/>
</cp:coreProperties>
</file>