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threadedComments/threadedComment2.xml" ContentType="application/vnd.ms-excel.threadedcomments+xml"/>
  <Override PartName="/xl/comments4.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T:\rvo\NP\PIANOO\XXXXXXClusterVirtueel\pianoo.nl\3. Content\Archief geplaatste content\Sectordossiers\Duurzame energie\"/>
    </mc:Choice>
  </mc:AlternateContent>
  <xr:revisionPtr revIDLastSave="0" documentId="8_{FBB3B6C8-F0B3-4505-B9A7-0AB414434A16}" xr6:coauthVersionLast="47" xr6:coauthVersionMax="47" xr10:uidLastSave="{00000000-0000-0000-0000-000000000000}"/>
  <workbookProtection workbookAlgorithmName="SHA-512" workbookHashValue="Wp5sRxy318Q2RtlAz33K9mHdpKvVmEb4mDYfyxDgyf1UiF3VV5mcHshpooL5Jp7EGWHoMkIPgH9yt9fTKbMhQg==" workbookSaltValue="XOeU+OpOKa9jFtJpxe5Tiw==" workbookSpinCount="100000" lockStructure="1"/>
  <bookViews>
    <workbookView xWindow="5175" yWindow="5175" windowWidth="38700" windowHeight="15420" xr2:uid="{00000000-000D-0000-FFFF-FFFF00000000}"/>
  </bookViews>
  <sheets>
    <sheet name="Invulsheet Elektriciteit" sheetId="2" r:id="rId1"/>
    <sheet name="Invulsheet Gas" sheetId="7" r:id="rId2"/>
    <sheet name="Invulsheet Zonnepanelen" sheetId="10" r:id="rId3"/>
    <sheet name="AchtergrondZonnepanelen" sheetId="8" state="hidden" r:id="rId4"/>
    <sheet name="Versiebeheer" sheetId="4" r:id="rId5"/>
    <sheet name="AchtergrondElektra" sheetId="1" state="hidden" r:id="rId6"/>
    <sheet name="AchtergrondGas" sheetId="5" state="hidden" r:id="rId7"/>
    <sheet name="Inleesegevens" sheetId="3" state="hidden" r:id="rId8"/>
  </sheets>
  <definedNames>
    <definedName name="v.version">Versiebeheer!$A$2</definedName>
    <definedName name="v.versionDate">Versiebeheer!$B$2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10" l="1"/>
  <c r="A22" i="8"/>
  <c r="A24" i="8" s="1"/>
  <c r="O34" i="10"/>
  <c r="Q31" i="10"/>
  <c r="W21" i="10"/>
  <c r="W20" i="10"/>
  <c r="X20" i="10" s="1"/>
  <c r="O13" i="10"/>
  <c r="Q34" i="10"/>
  <c r="E14" i="1"/>
  <c r="D14" i="1"/>
  <c r="Y25" i="10"/>
  <c r="W23" i="10"/>
  <c r="O11" i="10"/>
  <c r="A44" i="8"/>
  <c r="G14" i="1"/>
  <c r="U18" i="7" l="1"/>
  <c r="S18" i="7"/>
  <c r="R18" i="7"/>
  <c r="V18" i="7" l="1"/>
  <c r="AC22" i="2"/>
  <c r="AC21" i="2"/>
  <c r="AC19" i="2"/>
  <c r="AB22" i="2"/>
  <c r="AB21" i="2"/>
  <c r="AB20" i="2"/>
  <c r="AB18" i="2"/>
  <c r="J26" i="1" l="1"/>
  <c r="L26" i="1"/>
  <c r="E8" i="1"/>
  <c r="H14" i="1"/>
  <c r="F14" i="1"/>
  <c r="N19" i="10" l="1"/>
  <c r="I6" i="8"/>
  <c r="I8" i="8"/>
  <c r="I7" i="8"/>
  <c r="I5" i="8"/>
  <c r="W24" i="10"/>
  <c r="W22" i="10"/>
  <c r="X23" i="10"/>
  <c r="H36" i="8" l="1"/>
  <c r="W19" i="10"/>
  <c r="X19" i="10" s="1"/>
  <c r="B36" i="8"/>
  <c r="I9" i="8"/>
  <c r="B9" i="8"/>
  <c r="H9" i="8"/>
  <c r="E9" i="8"/>
  <c r="C9" i="8"/>
  <c r="F9" i="8"/>
  <c r="G9" i="8"/>
  <c r="D9" i="8"/>
  <c r="X22" i="10"/>
  <c r="B8" i="1"/>
  <c r="B7" i="1"/>
  <c r="B6" i="1"/>
  <c r="B5" i="1"/>
  <c r="B4" i="1"/>
  <c r="B3" i="1"/>
  <c r="W25" i="10" l="1"/>
  <c r="Z25" i="10" s="1"/>
  <c r="K24" i="1"/>
  <c r="X24" i="10"/>
  <c r="X21" i="10"/>
  <c r="S17" i="7"/>
  <c r="O28" i="10" l="1"/>
  <c r="X25" i="10"/>
  <c r="U17" i="7"/>
  <c r="R17" i="7"/>
  <c r="V17" i="7" l="1"/>
  <c r="M22" i="7" l="1"/>
  <c r="M20" i="7"/>
  <c r="T17" i="7"/>
  <c r="W17" i="7" s="1"/>
  <c r="M21" i="7" l="1"/>
  <c r="F6" i="1" l="1"/>
  <c r="F8" i="1"/>
  <c r="AD17" i="2" l="1"/>
  <c r="AC20" i="2"/>
  <c r="AC18" i="2"/>
  <c r="L25" i="1"/>
  <c r="L24" i="1" s="1"/>
  <c r="S23" i="2"/>
  <c r="C3" i="3" l="1"/>
  <c r="C4" i="3"/>
  <c r="C5" i="3"/>
  <c r="C6" i="3"/>
  <c r="C7" i="3"/>
  <c r="C2" i="3"/>
  <c r="A3" i="3"/>
  <c r="A4" i="3"/>
  <c r="A5" i="3"/>
  <c r="A6" i="3"/>
  <c r="A7" i="3"/>
  <c r="A2" i="3"/>
  <c r="F2" i="3" l="1"/>
  <c r="F3" i="3"/>
  <c r="F4" i="3"/>
  <c r="F5" i="3"/>
  <c r="F6" i="3"/>
  <c r="F7" i="3"/>
  <c r="R19" i="2" l="1"/>
  <c r="R21" i="2"/>
  <c r="N17" i="2"/>
  <c r="AB17" i="2" s="1"/>
  <c r="Q21" i="2"/>
  <c r="Q17" i="2" l="1"/>
  <c r="D4" i="3"/>
  <c r="E4" i="3"/>
  <c r="B4" i="3" s="1"/>
  <c r="Q19" i="2" l="1"/>
  <c r="K26" i="1" l="1"/>
  <c r="K25" i="1"/>
  <c r="Q18" i="2" l="1"/>
  <c r="R18" i="2" s="1"/>
  <c r="J24" i="1"/>
  <c r="F4" i="1"/>
  <c r="F5" i="1"/>
  <c r="F3" i="1"/>
  <c r="D2" i="3" l="1"/>
  <c r="D3" i="3"/>
  <c r="D5" i="3"/>
  <c r="D6" i="3"/>
  <c r="D7" i="3"/>
  <c r="F7" i="1" l="1"/>
  <c r="N30" i="2"/>
  <c r="E3" i="3"/>
  <c r="B3" i="3" s="1"/>
  <c r="E5" i="3"/>
  <c r="B5" i="3" s="1"/>
  <c r="E6" i="3"/>
  <c r="B6" i="3" s="1"/>
  <c r="E7" i="3"/>
  <c r="B7" i="3" s="1"/>
  <c r="AB19" i="2" l="1"/>
  <c r="M30" i="2" s="1"/>
  <c r="E7" i="1"/>
  <c r="Q20" i="2"/>
  <c r="R20" i="2" s="1"/>
  <c r="Q22" i="2"/>
  <c r="R22" i="2" s="1"/>
  <c r="R23" i="2" l="1"/>
  <c r="W23" i="2" s="1"/>
  <c r="N29" i="2" s="1"/>
  <c r="Q23" i="2"/>
  <c r="T23" i="2" s="1"/>
  <c r="U23" i="2" s="1"/>
  <c r="E2" i="3"/>
  <c r="B2" i="3" s="1"/>
  <c r="M28" i="2" l="1"/>
  <c r="V23" i="2"/>
  <c r="N28" i="2"/>
  <c r="M29" i="2" l="1"/>
  <c r="H34" i="8" l="1"/>
  <c r="O12" i="10" l="1"/>
  <c r="O14" i="10" s="1"/>
  <c r="M15" i="10" s="1"/>
  <c r="T19" i="10" l="1"/>
  <c r="T21" i="10"/>
  <c r="T23" i="10"/>
  <c r="U19" i="10"/>
  <c r="U21" i="10"/>
  <c r="U23" i="10"/>
  <c r="V19" i="10"/>
  <c r="V21" i="10"/>
  <c r="V23" i="10"/>
  <c r="R19" i="10"/>
  <c r="R21" i="10"/>
  <c r="R23" i="10"/>
  <c r="S19" i="10"/>
  <c r="S21" i="10"/>
  <c r="S23" i="10"/>
  <c r="AA25" i="10"/>
  <c r="AB25" i="10" s="1"/>
  <c r="M29" i="10" s="1"/>
  <c r="N29" i="10"/>
  <c r="R20" i="10"/>
  <c r="R24" i="10"/>
  <c r="S20" i="10"/>
  <c r="S24" i="10"/>
  <c r="AC25" i="10"/>
  <c r="N35" i="10"/>
  <c r="T20" i="10"/>
  <c r="T22" i="10"/>
  <c r="T24" i="10"/>
  <c r="N36" i="10"/>
  <c r="U20" i="10"/>
  <c r="U22" i="10"/>
  <c r="U24" i="10"/>
  <c r="N37" i="10"/>
  <c r="V20" i="10"/>
  <c r="V22" i="10"/>
  <c r="V24" i="10"/>
  <c r="N32" i="10"/>
  <c r="R22" i="10"/>
  <c r="N33" i="10"/>
  <c r="S22" i="10"/>
  <c r="M30" i="10" l="1"/>
  <c r="O29" i="10"/>
  <c r="R25" i="10"/>
  <c r="R27" i="10" s="1"/>
  <c r="M32" i="10" s="1"/>
  <c r="U25" i="10"/>
  <c r="M36" i="10" s="1"/>
  <c r="O36" i="10" s="1"/>
  <c r="Q29" i="10"/>
  <c r="S25" i="10"/>
  <c r="M33" i="10" s="1"/>
  <c r="Q33" i="10" s="1"/>
  <c r="V25" i="10"/>
  <c r="M37" i="10" s="1"/>
  <c r="T25" i="10"/>
  <c r="M35" i="10" s="1"/>
  <c r="Q36" i="10" l="1"/>
  <c r="O37" i="10"/>
  <c r="Q37" i="10"/>
  <c r="O35" i="10"/>
  <c r="Q35" i="10"/>
  <c r="O32" i="10"/>
  <c r="Q3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Dekker</author>
  </authors>
  <commentList>
    <comment ref="O16" authorId="0" shapeId="0" xr:uid="{FF674181-164B-4C14-946B-65B430951819}">
      <text>
        <r>
          <rPr>
            <sz val="9"/>
            <color indexed="81"/>
            <rFont val="Tahoma"/>
            <family val="2"/>
          </rPr>
          <t>Geef hier aan of het om nieuwe additionele elektriciteit gaat of om al bestaande opwek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tc={9286212C-7BEA-4697-A549-A79C9A882B19}</author>
    <author>tc={74FA30F7-B303-40F1-9FC1-3240C5853EFD}</author>
    <author>tc={51CA228A-3DD7-4858-B3AA-DAF1B868C138}</author>
    <author>tc={3A175CD1-CF59-4C99-A606-7E9248EFA2E7}</author>
    <author>tc={C39E552A-6CF4-4DFC-926C-8056FA7C5C35}</author>
  </authors>
  <commentList>
    <comment ref="B3" authorId="0" shapeId="0" xr:uid="{9286212C-7BEA-4697-A549-A79C9A882B19}">
      <text>
        <t>[Opmerkingenthread]
U kunt deze opmerkingenthread lezen in uw versie van Excel. Eventuele wijzigingen aan de thread gaan echter verloren als het bestand wordt geopend in een nieuwere versie van Excel. Meer informatie: https://go.microsoft.com/fwlink/?linkid=870924
Opmerking:
    1 gCO2-eq/kWh = 1kg CO2-eq/MWh</t>
      </text>
    </comment>
    <comment ref="I3" authorId="1" shapeId="0" xr:uid="{74FA30F7-B303-40F1-9FC1-3240C5853EFD}">
      <text>
        <t>[Opmerkingenthread]
U kunt deze opmerkingenthread lezen in uw versie van Excel. Eventuele wijzigingen aan de thread gaan echter verloren als het bestand wordt geopend in een nieuwere versie van Excel. Meer informatie: https://go.microsoft.com/fwlink/?linkid=870924
Opmerking:
    Zie Table 51 in https://iea-pvps.org/wp-content/uploads/2020/12/IEA-PVPS-LCI-report-2020.pdf</t>
      </text>
    </comment>
    <comment ref="B15" authorId="2" shapeId="0" xr:uid="{51CA228A-3DD7-4858-B3AA-DAF1B868C138}">
      <text>
        <t>[Opmerkingenthread]
U kunt deze opmerkingenthread lezen in uw versie van Excel. Eventuele wijzigingen aan de thread gaan echter verloren als het bestand wordt geopend in een nieuwere versie van Excel. Meer informatie: https://go.microsoft.com/fwlink/?linkid=870924
Opmerking:
    @Lowik Pieters, is dit de marktstandaard per paneel aan vermogen? Lijkt me wat laag ondertussen of niet? (lees wij gaan panelen van 400Wp instaleren van de zomer)
Beantwoorden:
    Deze vond ik nog, die gaan uit van 360 per paneel: https://ce.nl/wp-content/uploads/2021/04/CE_Delft_200432_Scenarios_zon_op_grote_daken_Utrecht_DEF.pdf
Beantwoorden:
    Goeie! Ik zie in tabel 4 van de link die je hierboven hebt gezet ook nog staan dat er vrij veel verschillende opvattingen zijn over het huidige en toekomstige vermogen van een paneel. Zullen we later nog even sparren welke bron we het beste kunnen gebruiken? Ik vind de verschillen nog best groot (en de schatting van het IEA die ik nu gebruik dan weer heel laag)...</t>
      </text>
    </comment>
    <comment ref="C35" authorId="3" shapeId="0" xr:uid="{3A175CD1-CF59-4C99-A606-7E9248EFA2E7}">
      <text>
        <t>[Opmerkingenthread]
U kunt deze opmerkingenthread lezen in uw versie van Excel. Eventuele wijzigingen aan de thread gaan echter verloren als het bestand wordt geopend in een nieuwere versie van Excel. Meer informatie: https://go.microsoft.com/fwlink/?linkid=870924
Opmerking:
    Alleen nog voor laminate (= onderdeel van het paneel) een proces beschikbaar. Meer is er nog niet voor CdTe in EcoInvent 3.7</t>
      </text>
    </comment>
    <comment ref="A38" authorId="4" shapeId="0" xr:uid="{C39E552A-6CF4-4DFC-926C-8056FA7C5C35}">
      <text>
        <t>[Opmerkingenthread]
U kunt deze opmerkingenthread lezen in uw versie van Excel. Eventuele wijzigingen aan de thread gaan echter verloren als het bestand wordt geopend in een nieuwere versie van Excel. Meer informatie: https://go.microsoft.com/fwlink/?linkid=870924
Opmerking:
    Uit gesprek met Martijn. We doen nu niks met inverters en de impact daarvan rekenen we ook niet mee, terwijl je die vaker moet vervangen dan een zonnepaneel zelf.</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Erik Dekker</author>
    <author>tc={CF1B5BB5-3411-456D-8B31-361495D0C647}</author>
    <author>tc={944B3482-D485-4FF5-9FEE-2FEE111CBF20}</author>
    <author>tc={ABEC7A72-14A7-4A5E-9F88-B85345E93AD0}</author>
  </authors>
  <commentList>
    <comment ref="E3" authorId="0" shapeId="0" xr:uid="{00000000-0006-0000-0200-000001000000}">
      <text>
        <r>
          <rPr>
            <b/>
            <sz val="9"/>
            <color indexed="81"/>
            <rFont val="Tahoma"/>
            <family val="2"/>
          </rPr>
          <t>Erik Dekker:</t>
        </r>
        <r>
          <rPr>
            <sz val="9"/>
            <color indexed="81"/>
            <rFont val="Tahoma"/>
            <family val="2"/>
          </rPr>
          <t xml:space="preserve">
Van transport sheet</t>
        </r>
      </text>
    </comment>
    <comment ref="B12" authorId="1" shapeId="0" xr:uid="{CF1B5BB5-3411-456D-8B31-361495D0C647}">
      <text>
        <t>[Opmerkingenthread]
U kunt deze opmerkingenthread lezen in uw versie van Excel. Eventuele wijzigingen aan de thread gaan echter verloren als het bestand wordt geopend in een nieuwere versie van Excel. Meer informatie: https://go.microsoft.com/fwlink/?linkid=870924
Opmerking:
    1 kWh = 3.6 MJ dus vandaar dat alle processen die in MJ zijn gegeven nog * 3.6 gaan</t>
      </text>
    </comment>
    <comment ref="G12" authorId="2" shapeId="0" xr:uid="{944B3482-D485-4FF5-9FEE-2FEE111CBF20}">
      <text>
        <t>[Opmerkingenthread]
U kunt deze opmerkingenthread lezen in uw versie van Excel. Eventuele wijzigingen aan de thread gaan echter verloren als het bestand wordt geopend in een nieuwere versie van Excel. Meer informatie: https://go.microsoft.com/fwlink/?linkid=870924
Opmerking:
    Via effectbeoordelingsmethode CML-IA baseline EU25 &gt; abiotic depletion</t>
      </text>
    </comment>
    <comment ref="A24" authorId="3" shapeId="0" xr:uid="{ABEC7A72-14A7-4A5E-9F88-B85345E93AD0}">
      <text>
        <t>[Opmerkingenthread]
U kunt deze opmerkingenthread lezen in uw versie van Excel. Eventuele wijzigingen aan de thread gaan echter verloren als het bestand wordt geopend in een nieuwere versie van Excel. Meer informatie: https://go.microsoft.com/fwlink/?linkid=870924
Opmerking:
    Waarom hier netto productie? Dat is incl. eigen verbruik maar ook niet-genormaliseerd (niet gecorrigeerd voor weersomstandigheden en groen gas gebruik voor elektriciteit niet meegenomen)</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tc={CFF0B50F-7B80-43D6-A92B-C046DD5CF836}</author>
  </authors>
  <commentList>
    <comment ref="C14" authorId="0" shapeId="0" xr:uid="{CFF0B50F-7B80-43D6-A92B-C046DD5CF836}">
      <text>
        <t>[Opmerkingenthread]
U kunt deze opmerkingenthread lezen in uw versie van Excel. Eventuele wijzigingen aan de thread gaan echter verloren als het bestand wordt geopend in een nieuwere versie van Excel. Meer informatie: https://go.microsoft.com/fwlink/?linkid=870924
Opmerking:
    Vanaf versie 3.7 dit proces genomen:
Biogas {CH} | market for biogas | Cut-off, S
Market processes gebruik je als je geen informatie hebt over de herkomst van het materiaal of als je gewoon de gemiddelde waarde wilt hebben. Hier lijkt mij dat beter passen.</t>
      </text>
    </comment>
  </commentList>
</comments>
</file>

<file path=xl/sharedStrings.xml><?xml version="1.0" encoding="utf-8"?>
<sst xmlns="http://schemas.openxmlformats.org/spreadsheetml/2006/main" count="293" uniqueCount="217">
  <si>
    <t>Maatschappelijk Verantwoord Inkopen Zelfevaluatie Tool Elektriciteit</t>
  </si>
  <si>
    <t>RIVM: mvi@rivm.nl</t>
  </si>
  <si>
    <t>Gegevens:</t>
  </si>
  <si>
    <t>Inkopende organisatie:</t>
  </si>
  <si>
    <t>Contractduur [jaar]:</t>
  </si>
  <si>
    <t>Invultabel:</t>
  </si>
  <si>
    <t>Ingekochte elektriciteitsmix</t>
  </si>
  <si>
    <t>Percentage</t>
  </si>
  <si>
    <t>Nieuwe stroom?</t>
  </si>
  <si>
    <t>GHG-emissions [kgCO2/kWh]</t>
  </si>
  <si>
    <t>Bespaarde Emissies NL/kWh</t>
  </si>
  <si>
    <t>referentie emissies [kg/kWh]</t>
  </si>
  <si>
    <t>kg CO2-eq besparing/kWh organisatie</t>
  </si>
  <si>
    <t>Totale CO2 besparing [kg CO2]</t>
  </si>
  <si>
    <t>Totaal Tonne CO2</t>
  </si>
  <si>
    <t>NL Tonne CO2</t>
  </si>
  <si>
    <t>Olie equivalenten</t>
  </si>
  <si>
    <t>Olie NL</t>
  </si>
  <si>
    <t>Ref</t>
  </si>
  <si>
    <t>Vul hier in welke elektriciteits mix u denkt in te kopen</t>
  </si>
  <si>
    <t>Onbekend</t>
  </si>
  <si>
    <t>NL Windenergie</t>
  </si>
  <si>
    <t>NL Grijze stroom</t>
  </si>
  <si>
    <t>NL Zonne-energie</t>
  </si>
  <si>
    <t>-</t>
  </si>
  <si>
    <t>Resultaten:</t>
  </si>
  <si>
    <t>Organisatie niveau</t>
  </si>
  <si>
    <t>Nationaal niveau</t>
  </si>
  <si>
    <r>
      <t>Klimaat: CO</t>
    </r>
    <r>
      <rPr>
        <vertAlign val="subscript"/>
        <sz val="10"/>
        <color theme="1"/>
        <rFont val="Verdana"/>
        <family val="2"/>
      </rPr>
      <t>2</t>
    </r>
    <r>
      <rPr>
        <sz val="10"/>
        <color theme="1"/>
        <rFont val="Verdana"/>
        <family val="2"/>
      </rPr>
      <t>-emissies bespaard per verbruikte kWh [kg CO2]</t>
    </r>
  </si>
  <si>
    <r>
      <t>Klimaat: CO</t>
    </r>
    <r>
      <rPr>
        <vertAlign val="subscript"/>
        <sz val="10"/>
        <color theme="1"/>
        <rFont val="Verdana"/>
        <family val="2"/>
      </rPr>
      <t>2</t>
    </r>
    <r>
      <rPr>
        <sz val="10"/>
        <color theme="1"/>
        <rFont val="Verdana"/>
        <family val="2"/>
      </rPr>
      <t>-emissies bespaard op elektriciteit [ton CO2]</t>
    </r>
  </si>
  <si>
    <t>Circulaire Economie: Olie equivalenten bespaard [TOE]</t>
  </si>
  <si>
    <t>Maatschappelijk Verantwoord Inkopen Zelfevaluatie Tool Gas</t>
  </si>
  <si>
    <r>
      <t>Jaarverbruik gas [Nm</t>
    </r>
    <r>
      <rPr>
        <b/>
        <vertAlign val="superscript"/>
        <sz val="10"/>
        <rFont val="Verdana"/>
        <family val="2"/>
      </rPr>
      <t>3</t>
    </r>
    <r>
      <rPr>
        <b/>
        <sz val="10"/>
        <rFont val="Verdana"/>
        <family val="2"/>
      </rPr>
      <t>]</t>
    </r>
  </si>
  <si>
    <t>% Biogas</t>
  </si>
  <si>
    <t>% Compensatie van aardgas</t>
  </si>
  <si>
    <t>Vul hier de details van het gas in</t>
  </si>
  <si>
    <t>CO2 gas [kg]</t>
  </si>
  <si>
    <t>CO2 biogas [kg]</t>
  </si>
  <si>
    <t>Compensatie [kg]</t>
  </si>
  <si>
    <t>100% grijsgas</t>
  </si>
  <si>
    <t>CO2 bespaard met bio</t>
  </si>
  <si>
    <t>compensatie [tonCO2]</t>
  </si>
  <si>
    <t>CO2 [kg]</t>
  </si>
  <si>
    <t>oil [kg]</t>
  </si>
  <si>
    <t>Klimaat: uitstoot bespaard op gas [ton CO2]</t>
  </si>
  <si>
    <t>Klimaat: uitstoot gecompenseerd [ton CO2]</t>
  </si>
  <si>
    <t>Maatschappelijk Verantwoord Inkopen Zelfevaluatie Tool Zonnepanelen</t>
  </si>
  <si>
    <t>Verwachte levensduur panelen [jaar]:</t>
  </si>
  <si>
    <t>Aantal geplaatste zonnepanelen:</t>
  </si>
  <si>
    <t>Geinstalleerd vermogen per paneel [Wp, watt-piek]</t>
  </si>
  <si>
    <t>Type zonnepaneel</t>
  </si>
  <si>
    <t>Sb-eq [kg sb-eq]</t>
  </si>
  <si>
    <t>GHG-emissions [kgCO2/MWh]</t>
  </si>
  <si>
    <t>Bespaarde Emissies NL/MWh tov grijs</t>
  </si>
  <si>
    <t>referentie emissies [kg/MWh]</t>
  </si>
  <si>
    <t>kg CO2-eq besparing/MWh organisatie</t>
  </si>
  <si>
    <t>Vul hier in welke typen zonnepanelen u denkt in te kopen</t>
  </si>
  <si>
    <t>Dunnefilm cadmium telluride (CdTe)</t>
  </si>
  <si>
    <t>Polykristallijn silicium (Multi-Si)</t>
  </si>
  <si>
    <t>Dunnefilm koper-indium-selenide (CIS)</t>
  </si>
  <si>
    <t>Milieu impacts per 1 kWh per type zonnepaneel</t>
  </si>
  <si>
    <t>Techniek / type paneel</t>
  </si>
  <si>
    <t>GHG emissies (g CO2-eq/kWh)</t>
  </si>
  <si>
    <t>Resource use, fossil (MJ/kWh)</t>
  </si>
  <si>
    <t>Resource use, minerals and metals (mg Sb-eq/kWh)</t>
  </si>
  <si>
    <t>Particulate matter (10^-9 disease incidences/kWh)</t>
  </si>
  <si>
    <t>Acidification (mmol H+ eq/kWh)</t>
  </si>
  <si>
    <t>Water scarcity (l water-eq/kWh)</t>
  </si>
  <si>
    <t>Module efficiency (%)</t>
  </si>
  <si>
    <t>Share in NL (sum to 1)</t>
  </si>
  <si>
    <t>Stand</t>
  </si>
  <si>
    <t>Bron</t>
  </si>
  <si>
    <t>Monokristallijn silicium (Mono-Si)</t>
  </si>
  <si>
    <t>2017-2019</t>
  </si>
  <si>
    <t>Factsheet Environmental life cycle assessment of electricity from PV Systems (IEA, 2021)</t>
  </si>
  <si>
    <t>2018-2019</t>
  </si>
  <si>
    <t>Gewogen gemiddelde op basis van geinstalleerde capaciteit in NL (Life Cycle Inventories en LCAs of PV systems 2020, IEA)</t>
  </si>
  <si>
    <t>Input parameters voor elektriciteitsproductie van zonnepanelen</t>
  </si>
  <si>
    <t>Gemiddelde levensduur</t>
  </si>
  <si>
    <t>PEFCR (zie tabel 2 in IEA report 2021)</t>
  </si>
  <si>
    <t>Peak power at year 1 [Wp/panel]</t>
  </si>
  <si>
    <t>https://ce.nl/wp-content/uploads/2021/04/CE_Delft_200432_Scenarios_zon_op_grote_daken_Utrecht_DEF.pdf</t>
  </si>
  <si>
    <t>Annual production [kWh/kWp]</t>
  </si>
  <si>
    <t>Olie-equivalenten</t>
  </si>
  <si>
    <t>Eenheid</t>
  </si>
  <si>
    <t>kg oil eq / m2</t>
  </si>
  <si>
    <t>EcoInvent 3.7</t>
  </si>
  <si>
    <t>kg Sb-eq / kWh</t>
  </si>
  <si>
    <t>Resource Use Footprints of Residential PV Systems (iea-pvps.org)</t>
  </si>
  <si>
    <t>Photovoltaic panel, single-Si wafer {GLO}| market for | Cut-off, S</t>
  </si>
  <si>
    <t>Photovoltaic panel, multi-Si wafer {GLO}| market for | Cut-off, S</t>
  </si>
  <si>
    <t>Photovoltaic panel, CIS {GLO}| market for | Cut-off, S</t>
  </si>
  <si>
    <t xml:space="preserve">Gemiddelde, want geen data beschikbaar in table 4.1 in LCA </t>
  </si>
  <si>
    <t>Photovoltaic laminate, CdTe {GLO}| market for | Cut-off, S</t>
  </si>
  <si>
    <t>1 inverter per 13 a 15 m2 zonnepaneel</t>
  </si>
  <si>
    <t>Versie</t>
  </si>
  <si>
    <t>datum</t>
  </si>
  <si>
    <t>Aanpassingen</t>
  </si>
  <si>
    <t>1.1</t>
  </si>
  <si>
    <t>Fout in de achtergrond  data CO2/kWh hersteld, factor 1000 te klein door omrekenen van kWh emissies op co2emissiefactoren.nl naar GWh in rekensheet
Gas toegevoegd
Olie equivalent waarde aangepast</t>
  </si>
  <si>
    <t>Sheet 'AchtergrondGas' en 'AchtergrondElektra' aangepast met recentere GHG waarden. 
Sheets zonnepanelen toegevoegd met bijbehorende achtergrondgegevens</t>
  </si>
  <si>
    <t>Olie equivalenten aangepast op basis van EcoInvent 3.7</t>
  </si>
  <si>
    <t xml:space="preserve">Techniek </t>
  </si>
  <si>
    <t>kg CO2eq/kWh (totaal)</t>
  </si>
  <si>
    <t>kg CO2eq/kWh (WTW)</t>
  </si>
  <si>
    <t>kg CO2eq/kWh bouw- en sloop</t>
  </si>
  <si>
    <t>kg Oil equivalents/kWh</t>
  </si>
  <si>
    <t>ton Oil eq/GWh</t>
  </si>
  <si>
    <t>bron CO2 factor</t>
  </si>
  <si>
    <t>NL Biomassa</t>
  </si>
  <si>
    <t>co2emissiefactoren.nl , accessed 11-3-2022/ Ecoinvent 3.4</t>
  </si>
  <si>
    <t>NL Waterkracht</t>
  </si>
  <si>
    <t>1 kWh</t>
  </si>
  <si>
    <t>ReCiPe 2016 (H)</t>
  </si>
  <si>
    <t>Electricity grid mix, AC, consumption mix, at consumer, 230V, NL S</t>
  </si>
  <si>
    <t>Samenstelling hernieuwbare elektriciteit in Nederland in 2019</t>
  </si>
  <si>
    <t>%</t>
  </si>
  <si>
    <t>CO2</t>
  </si>
  <si>
    <t>Oileq</t>
  </si>
  <si>
    <t>netto productie (CBS, 2019)</t>
  </si>
  <si>
    <t>Grijze stroom</t>
  </si>
  <si>
    <t>Totaal hernieuwbare energiebronnen</t>
  </si>
  <si>
    <t>Waterkracht</t>
  </si>
  <si>
    <t>Groene</t>
  </si>
  <si>
    <t>Totaal windenergie</t>
  </si>
  <si>
    <t>Zonnestroom</t>
  </si>
  <si>
    <t>Totaal biomassa</t>
  </si>
  <si>
    <t>Brandstof</t>
  </si>
  <si>
    <t>kgCO2/eenheid (WTW) Totaal</t>
  </si>
  <si>
    <t>kg CO2/eenheid (TTW) Conversie</t>
  </si>
  <si>
    <t>kg CO2/eenheid (WTT) Productie brandstoffen</t>
  </si>
  <si>
    <t>Aardgas</t>
  </si>
  <si>
    <t>Nm3</t>
  </si>
  <si>
    <t>co2emissiefactoren.nl , accessed 11-3-2022</t>
  </si>
  <si>
    <t>Biogas (covergisting)</t>
  </si>
  <si>
    <t>Groen gas (gemiddeld)</t>
  </si>
  <si>
    <t>Effectcategorie</t>
  </si>
  <si>
    <t>Biogas, from agricultural co-digestion, not covered, at storage/CH S</t>
  </si>
  <si>
    <t>Natural gas (m3)</t>
  </si>
  <si>
    <t>Fossil resource scarcity</t>
  </si>
  <si>
    <t>kg oil eq</t>
  </si>
  <si>
    <t>EcoInvent 3.4</t>
  </si>
  <si>
    <t>Inkopende Organisatie</t>
  </si>
  <si>
    <t>Verbruik per jaar</t>
  </si>
  <si>
    <t>Contractduur</t>
  </si>
  <si>
    <t>Energiemix</t>
  </si>
  <si>
    <t>Nieuw</t>
  </si>
  <si>
    <t>Vergelijking per Nederlands huishouden (2019)</t>
  </si>
  <si>
    <t xml:space="preserve">huishoudens </t>
  </si>
  <si>
    <t>Huishoudens nu (cbs.nl)</t>
  </si>
  <si>
    <t>t directe CO2 emissies totaal particuliere huishoudens (2019)</t>
  </si>
  <si>
    <t>ton CO2 per huishouden in 2019</t>
  </si>
  <si>
    <t>StatLine - Emissies naar lucht door de Nederlandse economie; nationale rekeningen (cbs.nl)</t>
  </si>
  <si>
    <t>Bron:</t>
  </si>
  <si>
    <t>Zelf invullen</t>
  </si>
  <si>
    <t>Berekend 
obv gegevens</t>
  </si>
  <si>
    <t>Resultaten</t>
  </si>
  <si>
    <t>Mijn organisatie bespaart…</t>
  </si>
  <si>
    <t>MVI-thema</t>
  </si>
  <si>
    <t>Klimaat</t>
  </si>
  <si>
    <t>Totale uitstoot bespaard over de levensduur [ton CO2-eq]</t>
  </si>
  <si>
    <t>Circulaire economie</t>
  </si>
  <si>
    <t>Milieu</t>
  </si>
  <si>
    <t>Vermeden uitputting van fossiele grondstoffen [TOE: ton olie-eq]</t>
  </si>
  <si>
    <t>Vermeden uitputting van abiotische grondstoffen bij productie zonnepanelen [kg Sb-eq]</t>
  </si>
  <si>
    <t>Milieueffecten Nederlandse elektriciteit</t>
  </si>
  <si>
    <t>Effectbeoordelingsmethode</t>
  </si>
  <si>
    <t>Klimaatverandering</t>
  </si>
  <si>
    <t>Fijnstofemissies</t>
  </si>
  <si>
    <t>[10^-9 disease incidences]</t>
  </si>
  <si>
    <t>Verzuring</t>
  </si>
  <si>
    <t>[mmol H+ eq]</t>
  </si>
  <si>
    <t>Waterverbruik</t>
  </si>
  <si>
    <t>[l water-eq]</t>
  </si>
  <si>
    <t>[kg CO2-eq]</t>
  </si>
  <si>
    <t>Uitputting abiotische grondstoffen</t>
  </si>
  <si>
    <t>[kg Sb-eq]</t>
  </si>
  <si>
    <t>Uitputting fossiele grondstoffen</t>
  </si>
  <si>
    <t>[kgOE]</t>
  </si>
  <si>
    <t>abiotisch</t>
  </si>
  <si>
    <t>fijnstof</t>
  </si>
  <si>
    <t>verzuring</t>
  </si>
  <si>
    <t>water</t>
  </si>
  <si>
    <t>klimaatverandering</t>
  </si>
  <si>
    <t>ELCD</t>
  </si>
  <si>
    <t>ELCD (ref year 2008)</t>
  </si>
  <si>
    <t>[disease incidences]</t>
  </si>
  <si>
    <t>Besparing van fijnstofemissies [minder disease incidences]</t>
  </si>
  <si>
    <t>t.o.v. grijze stroom (referentie)</t>
  </si>
  <si>
    <t>Vermeden verzuring [mol H+ eq]</t>
  </si>
  <si>
    <t>ReCiPe 2016 (H), additions from: EN 15804 + A2 Method and ReCiPe 2016 (H) for water scarcity</t>
  </si>
  <si>
    <t>Waterbesparing [m3 water-eq]</t>
  </si>
  <si>
    <t>huishoudens</t>
  </si>
  <si>
    <t>Ter vergelijking: een Nederlands huishouden stoot jaarlijks direct circa 4.2 ton CO2-eq uit. De besparing van deze aanbesteding staat gelijk aan de jaarlijkse uitstoot van:</t>
  </si>
  <si>
    <t>Versie 2.0</t>
  </si>
  <si>
    <t>Totale uitstoot over hele periode (absoluut, dus geen verschilwaarde tov grijze stroom)</t>
  </si>
  <si>
    <t>Totale productie over de hele levensduur [MWh]:</t>
  </si>
  <si>
    <t>fossiel via IEA</t>
  </si>
  <si>
    <t>MJ</t>
  </si>
  <si>
    <t>Verwachte jaarproductie in het eerste volledige jaar [MWh/jaar]:</t>
  </si>
  <si>
    <t>Jaarverbruik elektriciteit [GWh/jaar]:</t>
  </si>
  <si>
    <t>Dat betekent een besparing van:</t>
  </si>
  <si>
    <t>1 MJ =</t>
  </si>
  <si>
    <t>TOE</t>
  </si>
  <si>
    <t>Average degradation rate [%/year]</t>
  </si>
  <si>
    <t>Vermeden uitstoot per opgewekte MWh [ton CO2-eq]</t>
  </si>
  <si>
    <r>
      <rPr>
        <b/>
        <u/>
        <sz val="10"/>
        <color theme="1"/>
        <rFont val="Verdana"/>
        <family val="2"/>
      </rPr>
      <t xml:space="preserve">Doel en doelgroep
</t>
    </r>
    <r>
      <rPr>
        <sz val="10"/>
        <color theme="1"/>
        <rFont val="Verdana"/>
        <family val="2"/>
      </rPr>
      <t xml:space="preserve">Deze rekensheet is bedoeld om potentiele milieueffecten van aanbestedingen gas te berekenen, op basis van samenstelling en herkomst. De rekensheet is ontwikkeld om een inschatting te maken van het (potentiele) effect van een aanbesteding. 
</t>
    </r>
    <r>
      <rPr>
        <b/>
        <u/>
        <sz val="10"/>
        <color theme="1"/>
        <rFont val="Verdana"/>
        <family val="2"/>
      </rPr>
      <t>Handleiding</t>
    </r>
    <r>
      <rPr>
        <sz val="10"/>
        <color theme="1"/>
        <rFont val="Verdana"/>
        <family val="2"/>
      </rPr>
      <t xml:space="preserve">
In de invultabel voert u in wat uw contractduur en verwachte jaarverbruik zal zijn. Daarnaast kunt u aangeven of u een keuze maakt voor (deels) biogas en of u gebruik wil maken van (deels) CO</t>
    </r>
    <r>
      <rPr>
        <vertAlign val="subscript"/>
        <sz val="10"/>
        <color theme="1"/>
        <rFont val="Verdana"/>
        <family val="2"/>
      </rPr>
      <t>2</t>
    </r>
    <r>
      <rPr>
        <sz val="10"/>
        <color theme="1"/>
        <rFont val="Verdana"/>
        <family val="2"/>
      </rPr>
      <t xml:space="preserve"> compensatie.
Het effect wordt berekend in termen van CO</t>
    </r>
    <r>
      <rPr>
        <vertAlign val="subscript"/>
        <sz val="10"/>
        <color theme="1"/>
        <rFont val="Verdana"/>
        <family val="2"/>
      </rPr>
      <t>2</t>
    </r>
    <r>
      <rPr>
        <sz val="10"/>
        <color theme="1"/>
        <rFont val="Verdana"/>
        <family val="2"/>
      </rPr>
      <t xml:space="preserve"> winst en CO</t>
    </r>
    <r>
      <rPr>
        <vertAlign val="subscript"/>
        <sz val="10"/>
        <color theme="1"/>
        <rFont val="Verdana"/>
        <family val="2"/>
      </rPr>
      <t>2</t>
    </r>
    <r>
      <rPr>
        <sz val="10"/>
        <color theme="1"/>
        <rFont val="Verdana"/>
        <family val="2"/>
      </rPr>
      <t xml:space="preserve"> compensatie (Klimaat) en vermeden gebruik van fossiele brandstoffen (Circulaire Economie). Het percentage compensatie slaat op het gedeelte gas dat geen biogas is.
</t>
    </r>
    <r>
      <rPr>
        <b/>
        <u/>
        <sz val="10"/>
        <color theme="1"/>
        <rFont val="Verdana"/>
        <family val="2"/>
      </rPr>
      <t xml:space="preserve">Uitgangspunten
</t>
    </r>
    <r>
      <rPr>
        <sz val="10"/>
        <color theme="1"/>
        <rFont val="Verdana"/>
        <family val="2"/>
      </rPr>
      <t>De rekensheet geef een indicatie van de potentiële milieuwinst op basis van generieke milieugegevens over gas De winst wordt berekend ten opzichte van 100% aardgas. Alleen CO2 vrijgekomen uit fossiele bronnen kan gecompenseerd worden. De effect data die zijn afgesproken in de green deal CO</t>
    </r>
    <r>
      <rPr>
        <vertAlign val="subscript"/>
        <sz val="10"/>
        <color theme="1"/>
        <rFont val="Verdana"/>
        <family val="2"/>
      </rPr>
      <t>2</t>
    </r>
    <r>
      <rPr>
        <sz val="10"/>
        <color theme="1"/>
        <rFont val="Verdana"/>
        <family val="2"/>
      </rPr>
      <t xml:space="preserve"> emissiegetallen vormen de basis voor de berekeningen. 
</t>
    </r>
    <r>
      <rPr>
        <b/>
        <u/>
        <sz val="10"/>
        <color theme="1"/>
        <rFont val="Verdana"/>
        <family val="2"/>
      </rPr>
      <t>Houdbaarheid</t>
    </r>
    <r>
      <rPr>
        <sz val="10"/>
        <color theme="1"/>
        <rFont val="Verdana"/>
        <family val="2"/>
      </rPr>
      <t xml:space="preserve">
Deze tool is te gebruiken tot januari 2025, wilt u daarna nog gebruik maken van de rekentool, neemt u dan contact op met mvi@rivm.nl voor de laatste versie</t>
    </r>
  </si>
  <si>
    <r>
      <rPr>
        <b/>
        <u/>
        <sz val="10"/>
        <color theme="1"/>
        <rFont val="Verdana"/>
        <family val="2"/>
      </rPr>
      <t xml:space="preserve">Doel en doelgroep
</t>
    </r>
    <r>
      <rPr>
        <sz val="10"/>
        <color theme="1"/>
        <rFont val="Verdana"/>
        <family val="2"/>
      </rPr>
      <t xml:space="preserve">Deze rekensheet is bedoeld om potentiele milieueffecten van aanbestedingen zonnepanelen te berekenen, op basis van samenstelling en herkomst. De rekensheet is ontwikkeld om een inschatting te maken van het (potentiele) effect van een aanbesteding. 
</t>
    </r>
    <r>
      <rPr>
        <b/>
        <u/>
        <sz val="10"/>
        <color theme="1"/>
        <rFont val="Verdana"/>
        <family val="2"/>
      </rPr>
      <t>Handleiding</t>
    </r>
    <r>
      <rPr>
        <sz val="10"/>
        <color theme="1"/>
        <rFont val="Verdana"/>
        <family val="2"/>
      </rPr>
      <t xml:space="preserve">
In de invultabel voert u in wat de typen zonnepanelen zijn</t>
    </r>
    <r>
      <rPr>
        <sz val="10"/>
        <color rgb="FFFF0000"/>
        <rFont val="Verdana"/>
        <family val="2"/>
      </rPr>
      <t xml:space="preserve"> </t>
    </r>
    <r>
      <rPr>
        <sz val="10"/>
        <color theme="1"/>
        <rFont val="Verdana"/>
        <family val="2"/>
      </rPr>
      <t>die u hebt ingekocht of van plan bent in te kopen, wat het verwacht geïnstalleerd vermogen per paneel is en wat de levensduur van de panelen zal zijn. Het effect wordt berekend in termen van CO</t>
    </r>
    <r>
      <rPr>
        <vertAlign val="subscript"/>
        <sz val="10"/>
        <color theme="1"/>
        <rFont val="Verdana"/>
        <family val="2"/>
      </rPr>
      <t>2</t>
    </r>
    <r>
      <rPr>
        <sz val="10"/>
        <color theme="1"/>
        <rFont val="Verdana"/>
        <family val="2"/>
      </rPr>
      <t xml:space="preserve"> winst (Klimaat) en vermeden gebruik van fossiele brandstoffen (Circulaire Economie).
Voor de berekening kunt u kiezen uit zonnepanelen met siliciumcellen, zoals monokristallijn silicum (Mono-Si) of polykristallijn silicium (Multi-Si), of dunnefilm zonnecellen met cadmium telluride (CdTe) of koper-indium-selenide (CIS). Als u nog niet weet welk type zonnepanelen u wilt kopen, vult u niets in. 
De resultaten tonen de bespaarde uitstoot door zonnepanelen te plaatsen ten opzichte van grijze stroom uit Nederland. 
</t>
    </r>
    <r>
      <rPr>
        <b/>
        <u/>
        <sz val="10"/>
        <color theme="1"/>
        <rFont val="Verdana"/>
        <family val="2"/>
      </rPr>
      <t xml:space="preserve">Uitgangspunten
</t>
    </r>
    <r>
      <rPr>
        <sz val="10"/>
        <color theme="1"/>
        <rFont val="Verdana"/>
        <family val="2"/>
      </rPr>
      <t xml:space="preserve">De rekensheet geef een indicatie van de potentiële milieuwinst op basis van generieke milieugegevens over zonnepanelen. De winst wordt berekend ten opzichte van de Nederlandse energiemix. De basis voor de berekeningen zijn milieu-effectgetallen per type zonnepaneel van het Internationaal Energieagentschap uit 2021 (IEA PV Power Systems Task 12 Fact Sheet). 
</t>
    </r>
    <r>
      <rPr>
        <b/>
        <u/>
        <sz val="10"/>
        <color theme="1"/>
        <rFont val="Verdana"/>
        <family val="2"/>
      </rPr>
      <t>Houdbaarheid</t>
    </r>
    <r>
      <rPr>
        <sz val="10"/>
        <color theme="1"/>
        <rFont val="Verdana"/>
        <family val="2"/>
      </rPr>
      <t xml:space="preserve">
Deze tool is te gebruiken tot januari 2025, wilt u daarna nog gebruik maken van de rekentool, neemt u dan contact op met mvi@rivm.nl voor de laatste versie</t>
    </r>
  </si>
  <si>
    <r>
      <rPr>
        <b/>
        <u/>
        <sz val="10"/>
        <color theme="1"/>
        <rFont val="Verdana"/>
        <family val="2"/>
      </rPr>
      <t xml:space="preserve">Doel en doelgroep
</t>
    </r>
    <r>
      <rPr>
        <sz val="10"/>
        <color theme="1"/>
        <rFont val="Verdana"/>
        <family val="2"/>
      </rPr>
      <t xml:space="preserve">Deze rekensheet is bedoeld om potentiele milieueffecten van aanbestedingen elektriciteit te berekenen, op basis van samenstelling en herkomst. De rekensheet is ontwikkeld om een inschatting te maken van het (potentiele) effect van een aanbesteding. 
</t>
    </r>
    <r>
      <rPr>
        <b/>
        <u/>
        <sz val="10"/>
        <color theme="1"/>
        <rFont val="Verdana"/>
        <family val="2"/>
      </rPr>
      <t>Handleiding</t>
    </r>
    <r>
      <rPr>
        <sz val="10"/>
        <color theme="1"/>
        <rFont val="Verdana"/>
        <family val="2"/>
      </rPr>
      <t xml:space="preserve">
In de invultabel voert u in wat de samenstelling van de elektriciteit is die u van plan bent aan te besteden, wat uw gemiddelde jaarverbruik is en wat de contractduur zal zijn. Het effect wordt berekend in termen van CO</t>
    </r>
    <r>
      <rPr>
        <vertAlign val="subscript"/>
        <sz val="10"/>
        <color theme="1"/>
        <rFont val="Verdana"/>
        <family val="2"/>
      </rPr>
      <t>2</t>
    </r>
    <r>
      <rPr>
        <sz val="10"/>
        <color theme="1"/>
        <rFont val="Verdana"/>
        <family val="2"/>
      </rPr>
      <t xml:space="preserve"> winst (Klimaat) en vermeden gebruik van fossiele brandstoffen (Circulaire Economie).
Voor de berekening kunt u kiezen uit Waterkracht, Zonne energie of Wind energie. Als u duurzame energie uit Nederland wilt inkopen, maar nog niet duidelijk is in welke vorm, kies dan voor "Groene stroom", er wordt dan uitgegaan van een mix van Biomassa, Wind, Zon en Water. 
Bestaat een gedeelte van de mix uit energie uit fossiele brandstoffen, kies dan voor "Grijze stroom". Wanneer een deel van de ingekochte energiemix onbekend is wordt, voor dat deel, uitgegaan van de huidige Nederlandse energiemix. Wanneer u expliciet een aanbesteding voor nieuwe (groene) stroom doet zal ook het effect op nationaal niveau berekent worden. Vul in dat geval "Ja" in onder "Nieuwe stroom?"
</t>
    </r>
    <r>
      <rPr>
        <b/>
        <u/>
        <sz val="10"/>
        <color theme="1"/>
        <rFont val="Verdana"/>
        <family val="2"/>
      </rPr>
      <t xml:space="preserve">Uitgangspunten
</t>
    </r>
    <r>
      <rPr>
        <sz val="10"/>
        <color theme="1"/>
        <rFont val="Verdana"/>
        <family val="2"/>
      </rPr>
      <t>De rekensheet geef een indicatie van de potentiële milieuwinst op basis van generieke milieugegevens over elektriciteit. De winst wordt berekend ten opzichte van de Nederlandse energiemix. Alleen duurzame bronnen uit Nederland tellen mee in de winst. De effect data die zijn afgesproken in de green deal CO</t>
    </r>
    <r>
      <rPr>
        <vertAlign val="subscript"/>
        <sz val="10"/>
        <color theme="1"/>
        <rFont val="Verdana"/>
        <family val="2"/>
      </rPr>
      <t>2</t>
    </r>
    <r>
      <rPr>
        <sz val="10"/>
        <color theme="1"/>
        <rFont val="Verdana"/>
        <family val="2"/>
      </rPr>
      <t xml:space="preserve"> emissiegetallen vormen de basis voor de berekeningen. 
</t>
    </r>
    <r>
      <rPr>
        <b/>
        <u/>
        <sz val="10"/>
        <color theme="1"/>
        <rFont val="Verdana"/>
        <family val="2"/>
      </rPr>
      <t>Houdbaarheid</t>
    </r>
    <r>
      <rPr>
        <sz val="10"/>
        <color theme="1"/>
        <rFont val="Verdana"/>
        <family val="2"/>
      </rPr>
      <t xml:space="preserve">
Deze tool is te gebruiken tot januari 2025, wilt u daarna nog gebruik maken van de rekentool, neemt u dan contact op met mvi@rivm.nl voor de laatste versie</t>
    </r>
  </si>
  <si>
    <t>2.0</t>
  </si>
  <si>
    <t>Volledig gebruiksklare versie 2.0 opgeleverd</t>
  </si>
  <si>
    <t>Methodology Guidelines on Life Cycle Assessment of Photovoltaic 2020 (iea-pvps.org)</t>
  </si>
  <si>
    <t>Degradation berekening</t>
  </si>
  <si>
    <t>Berekening: totale opbrengst zonder degradatie - degradatie over hele levensduur/2 (om het gemiddelde over de hele periode te nemen)</t>
  </si>
  <si>
    <t>Na 25 jaar is de opbrengst van een paneel bij een jaarlijkse degradatie van 0,7% gedaald tot:</t>
  </si>
  <si>
    <t>De procentuele afname in due periode is dan in totaal:</t>
  </si>
  <si>
    <t xml:space="preserve">Vermenigvuldig dit percentage met de originele opbrengsten en deel dat door 2, dan weet je hoe groot de afname in MWh (of een andere eenheid voor de opbrengst)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</si>
</sst>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
  </numFmts>
  <fonts count="20" x14ac:knownFonts="1">
    <font>
      <sz val="10"/>
      <color theme="1"/>
      <name val="Times New Roman"/>
      <family val="2"/>
    </font>
    <font>
      <b/>
      <sz val="10"/>
      <color theme="1"/>
      <name val="Times New Roman"/>
      <family val="1"/>
    </font>
    <font>
      <sz val="10"/>
      <color theme="1"/>
      <name val="Times New Roman"/>
      <family val="1"/>
    </font>
    <font>
      <sz val="9"/>
      <color indexed="81"/>
      <name val="Tahoma"/>
      <family val="2"/>
    </font>
    <font>
      <b/>
      <sz val="9"/>
      <color indexed="81"/>
      <name val="Tahoma"/>
      <family val="2"/>
    </font>
    <font>
      <sz val="10"/>
      <name val="Times New Roman"/>
      <family val="2"/>
    </font>
    <font>
      <sz val="10"/>
      <color theme="1"/>
      <name val="Verdana"/>
      <family val="2"/>
    </font>
    <font>
      <b/>
      <sz val="14"/>
      <color theme="0"/>
      <name val="Verdana"/>
      <family val="2"/>
    </font>
    <font>
      <b/>
      <u/>
      <sz val="10"/>
      <color theme="1"/>
      <name val="Verdana"/>
      <family val="2"/>
    </font>
    <font>
      <vertAlign val="subscript"/>
      <sz val="10"/>
      <color theme="1"/>
      <name val="Verdana"/>
      <family val="2"/>
    </font>
    <font>
      <b/>
      <sz val="10"/>
      <color theme="1"/>
      <name val="Verdana"/>
      <family val="2"/>
    </font>
    <font>
      <sz val="10"/>
      <color rgb="FFFF0000"/>
      <name val="Verdana"/>
      <family val="2"/>
    </font>
    <font>
      <u/>
      <sz val="10"/>
      <color theme="10"/>
      <name val="Times New Roman"/>
      <family val="2"/>
    </font>
    <font>
      <b/>
      <sz val="10"/>
      <name val="Verdana"/>
      <family val="2"/>
    </font>
    <font>
      <b/>
      <vertAlign val="superscript"/>
      <sz val="10"/>
      <name val="Verdana"/>
      <family val="2"/>
    </font>
    <font>
      <sz val="11"/>
      <color theme="1"/>
      <name val="Calibri"/>
      <family val="2"/>
    </font>
    <font>
      <sz val="10"/>
      <color theme="1"/>
      <name val="Times New Roman"/>
      <family val="2"/>
    </font>
    <font>
      <i/>
      <sz val="10"/>
      <color theme="1"/>
      <name val="Verdana"/>
      <family val="2"/>
    </font>
    <font>
      <sz val="10"/>
      <color rgb="FF000000"/>
      <name val="Times New Roman"/>
      <family val="1"/>
    </font>
    <font>
      <sz val="10"/>
      <color theme="0"/>
      <name val="Verdana"/>
      <family val="2"/>
    </font>
  </fonts>
  <fills count="8">
    <fill>
      <patternFill patternType="none"/>
    </fill>
    <fill>
      <patternFill patternType="gray125"/>
    </fill>
    <fill>
      <patternFill patternType="solid">
        <fgColor rgb="FF8FCAE7"/>
        <bgColor indexed="64"/>
      </patternFill>
    </fill>
    <fill>
      <patternFill patternType="solid">
        <fgColor theme="0" tint="-0.249977111117893"/>
        <bgColor indexed="64"/>
      </patternFill>
    </fill>
    <fill>
      <patternFill patternType="solid">
        <fgColor rgb="FF0070C0"/>
        <bgColor indexed="64"/>
      </patternFill>
    </fill>
    <fill>
      <patternFill patternType="solid">
        <fgColor rgb="FFFFFF00"/>
        <bgColor indexed="64"/>
      </patternFill>
    </fill>
    <fill>
      <patternFill patternType="solid">
        <fgColor theme="0"/>
        <bgColor indexed="64"/>
      </patternFill>
    </fill>
    <fill>
      <patternFill patternType="solid">
        <fgColor rgb="FF004A82"/>
        <bgColor indexed="64"/>
      </patternFill>
    </fill>
  </fills>
  <borders count="24">
    <border>
      <left/>
      <right/>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double">
        <color theme="1"/>
      </bottom>
      <diagonal/>
    </border>
  </borders>
  <cellStyleXfs count="3">
    <xf numFmtId="0" fontId="0" fillId="0" borderId="0"/>
    <xf numFmtId="0" fontId="12" fillId="0" borderId="0" applyNumberFormat="0" applyFill="0" applyBorder="0" applyAlignment="0" applyProtection="0"/>
    <xf numFmtId="9" fontId="16" fillId="0" borderId="0" applyFont="0" applyFill="0" applyBorder="0" applyAlignment="0" applyProtection="0"/>
  </cellStyleXfs>
  <cellXfs count="118">
    <xf numFmtId="0" fontId="0" fillId="0" borderId="0" xfId="0"/>
    <xf numFmtId="0" fontId="0" fillId="0" borderId="0" xfId="0" applyAlignment="1">
      <alignment wrapText="1"/>
    </xf>
    <xf numFmtId="0" fontId="2" fillId="0" borderId="0" xfId="0" applyFont="1"/>
    <xf numFmtId="0" fontId="2" fillId="0" borderId="0" xfId="0" applyFont="1" applyProtection="1">
      <protection locked="0"/>
    </xf>
    <xf numFmtId="0" fontId="5" fillId="0" borderId="0" xfId="0" applyFont="1"/>
    <xf numFmtId="0" fontId="1" fillId="3" borderId="0" xfId="0" applyFont="1" applyFill="1"/>
    <xf numFmtId="0" fontId="0" fillId="3" borderId="0" xfId="0" applyFill="1"/>
    <xf numFmtId="0" fontId="6" fillId="2" borderId="0" xfId="0" applyFont="1" applyFill="1" applyAlignment="1">
      <alignment vertical="center"/>
    </xf>
    <xf numFmtId="0" fontId="6" fillId="0" borderId="0" xfId="0" applyFont="1"/>
    <xf numFmtId="0" fontId="6" fillId="2" borderId="0" xfId="0" applyFont="1" applyFill="1"/>
    <xf numFmtId="0" fontId="8" fillId="2" borderId="0" xfId="0" applyFont="1" applyFill="1" applyAlignment="1">
      <alignment vertical="center"/>
    </xf>
    <xf numFmtId="0" fontId="6" fillId="2" borderId="0" xfId="0" applyFont="1" applyFill="1" applyAlignment="1">
      <alignment horizontal="left" vertical="top" wrapText="1"/>
    </xf>
    <xf numFmtId="0" fontId="10" fillId="2" borderId="0" xfId="0" applyFont="1" applyFill="1"/>
    <xf numFmtId="0" fontId="8" fillId="2" borderId="0" xfId="0" applyFont="1" applyFill="1"/>
    <xf numFmtId="0" fontId="10" fillId="2" borderId="5" xfId="0" applyFont="1" applyFill="1" applyBorder="1"/>
    <xf numFmtId="0" fontId="10" fillId="2" borderId="6" xfId="0" applyFont="1" applyFill="1" applyBorder="1"/>
    <xf numFmtId="0" fontId="10" fillId="2" borderId="7" xfId="0" applyFont="1" applyFill="1" applyBorder="1"/>
    <xf numFmtId="0" fontId="6" fillId="2" borderId="1" xfId="0" applyFont="1" applyFill="1" applyBorder="1"/>
    <xf numFmtId="9" fontId="6" fillId="2" borderId="10" xfId="0" applyNumberFormat="1" applyFont="1" applyFill="1" applyBorder="1" applyAlignment="1">
      <alignment horizontal="left" indent="1"/>
    </xf>
    <xf numFmtId="9" fontId="6" fillId="2" borderId="0" xfId="0" applyNumberFormat="1" applyFont="1" applyFill="1" applyAlignment="1">
      <alignment horizontal="left" indent="1"/>
    </xf>
    <xf numFmtId="0" fontId="6" fillId="2" borderId="3" xfId="0" applyFont="1" applyFill="1" applyBorder="1"/>
    <xf numFmtId="0" fontId="11" fillId="2" borderId="0" xfId="0" applyFont="1" applyFill="1"/>
    <xf numFmtId="0" fontId="6" fillId="0" borderId="1" xfId="0" applyFont="1" applyBorder="1" applyProtection="1">
      <protection locked="0"/>
    </xf>
    <xf numFmtId="9" fontId="6" fillId="0" borderId="3" xfId="0" applyNumberFormat="1" applyFont="1" applyBorder="1" applyAlignment="1" applyProtection="1">
      <alignment horizontal="left" indent="1"/>
      <protection locked="0"/>
    </xf>
    <xf numFmtId="9" fontId="6" fillId="0" borderId="0" xfId="0" quotePrefix="1" applyNumberFormat="1" applyFont="1" applyAlignment="1" applyProtection="1">
      <alignment horizontal="left" indent="1"/>
      <protection locked="0"/>
    </xf>
    <xf numFmtId="9" fontId="6" fillId="0" borderId="0" xfId="0" applyNumberFormat="1" applyFont="1" applyAlignment="1" applyProtection="1">
      <alignment horizontal="left" indent="1"/>
      <protection locked="0"/>
    </xf>
    <xf numFmtId="0" fontId="6" fillId="0" borderId="2" xfId="0" applyFont="1" applyBorder="1" applyProtection="1">
      <protection locked="0"/>
    </xf>
    <xf numFmtId="9" fontId="6" fillId="0" borderId="4" xfId="0" applyNumberFormat="1" applyFont="1" applyBorder="1" applyAlignment="1" applyProtection="1">
      <alignment horizontal="left" indent="1"/>
      <protection locked="0"/>
    </xf>
    <xf numFmtId="9" fontId="6" fillId="0" borderId="8" xfId="0" applyNumberFormat="1" applyFont="1" applyBorder="1" applyAlignment="1" applyProtection="1">
      <alignment horizontal="left" indent="1"/>
      <protection locked="0"/>
    </xf>
    <xf numFmtId="0" fontId="6" fillId="2" borderId="8" xfId="0" applyFont="1" applyFill="1" applyBorder="1"/>
    <xf numFmtId="0" fontId="6" fillId="2" borderId="2" xfId="0" applyFont="1" applyFill="1" applyBorder="1"/>
    <xf numFmtId="0" fontId="6" fillId="2" borderId="4" xfId="0" applyFont="1" applyFill="1" applyBorder="1"/>
    <xf numFmtId="1" fontId="6" fillId="2" borderId="0" xfId="0" applyNumberFormat="1" applyFont="1" applyFill="1"/>
    <xf numFmtId="9" fontId="6" fillId="2" borderId="0" xfId="0" applyNumberFormat="1" applyFont="1" applyFill="1"/>
    <xf numFmtId="0" fontId="10" fillId="2" borderId="11" xfId="0" applyFont="1" applyFill="1" applyBorder="1"/>
    <xf numFmtId="3" fontId="6" fillId="0" borderId="9" xfId="0" applyNumberFormat="1" applyFont="1" applyBorder="1" applyAlignment="1">
      <alignment horizontal="right" vertical="top" wrapText="1"/>
    </xf>
    <xf numFmtId="14" fontId="6" fillId="2" borderId="0" xfId="0" applyNumberFormat="1" applyFont="1" applyFill="1"/>
    <xf numFmtId="0" fontId="6" fillId="2" borderId="0" xfId="0" applyFont="1" applyFill="1" applyAlignment="1">
      <alignment horizontal="left" vertical="center"/>
    </xf>
    <xf numFmtId="14" fontId="6" fillId="2" borderId="0" xfId="0" applyNumberFormat="1" applyFont="1" applyFill="1" applyAlignment="1">
      <alignment horizontal="left" vertical="center"/>
    </xf>
    <xf numFmtId="9" fontId="6" fillId="0" borderId="3" xfId="0" applyNumberFormat="1" applyFont="1" applyBorder="1" applyProtection="1">
      <protection locked="0"/>
    </xf>
    <xf numFmtId="9" fontId="6" fillId="0" borderId="0" xfId="0" applyNumberFormat="1" applyFont="1" applyProtection="1">
      <protection locked="0"/>
    </xf>
    <xf numFmtId="0" fontId="6" fillId="2" borderId="22" xfId="0" applyFont="1" applyFill="1" applyBorder="1"/>
    <xf numFmtId="164" fontId="6" fillId="0" borderId="12" xfId="0" applyNumberFormat="1" applyFont="1" applyBorder="1" applyAlignment="1">
      <alignment horizontal="right" vertical="top" wrapText="1"/>
    </xf>
    <xf numFmtId="164" fontId="6" fillId="2" borderId="0" xfId="0" applyNumberFormat="1" applyFont="1" applyFill="1"/>
    <xf numFmtId="0" fontId="6" fillId="0" borderId="9" xfId="0" applyFont="1" applyBorder="1"/>
    <xf numFmtId="11" fontId="0" fillId="0" borderId="0" xfId="0" applyNumberFormat="1"/>
    <xf numFmtId="14" fontId="0" fillId="0" borderId="0" xfId="0" applyNumberFormat="1"/>
    <xf numFmtId="17" fontId="0" fillId="0" borderId="0" xfId="0" applyNumberFormat="1"/>
    <xf numFmtId="0" fontId="10" fillId="2" borderId="6" xfId="0" applyFont="1" applyFill="1" applyBorder="1" applyAlignment="1">
      <alignment vertical="center"/>
    </xf>
    <xf numFmtId="0" fontId="10" fillId="2" borderId="11" xfId="0" applyFont="1" applyFill="1" applyBorder="1" applyAlignment="1">
      <alignment vertical="center"/>
    </xf>
    <xf numFmtId="0" fontId="0" fillId="5" borderId="0" xfId="0" applyFill="1"/>
    <xf numFmtId="11" fontId="5" fillId="5" borderId="0" xfId="0" applyNumberFormat="1" applyFont="1" applyFill="1"/>
    <xf numFmtId="0" fontId="12" fillId="3" borderId="0" xfId="1" applyFill="1"/>
    <xf numFmtId="0" fontId="12" fillId="0" borderId="0" xfId="1"/>
    <xf numFmtId="0" fontId="6" fillId="2" borderId="23" xfId="0" applyFont="1" applyFill="1" applyBorder="1"/>
    <xf numFmtId="0" fontId="13" fillId="2" borderId="5" xfId="0" applyFont="1" applyFill="1" applyBorder="1"/>
    <xf numFmtId="2" fontId="0" fillId="0" borderId="0" xfId="0" applyNumberFormat="1"/>
    <xf numFmtId="0" fontId="0" fillId="0" borderId="20" xfId="0" applyBorder="1"/>
    <xf numFmtId="0" fontId="1" fillId="0" borderId="20" xfId="0" applyFont="1" applyBorder="1"/>
    <xf numFmtId="0" fontId="0" fillId="0" borderId="20" xfId="0" applyBorder="1" applyAlignment="1">
      <alignment wrapText="1"/>
    </xf>
    <xf numFmtId="0" fontId="15" fillId="0" borderId="0" xfId="0" applyFont="1"/>
    <xf numFmtId="0" fontId="6" fillId="2" borderId="0" xfId="0" applyFont="1" applyFill="1" applyAlignment="1">
      <alignment horizontal="right"/>
    </xf>
    <xf numFmtId="0" fontId="6" fillId="0" borderId="0" xfId="0" applyFont="1" applyAlignment="1">
      <alignment horizontal="right"/>
    </xf>
    <xf numFmtId="165" fontId="6" fillId="0" borderId="9" xfId="0" applyNumberFormat="1" applyFont="1" applyBorder="1"/>
    <xf numFmtId="165" fontId="6" fillId="0" borderId="9" xfId="0" applyNumberFormat="1" applyFont="1" applyBorder="1" applyAlignment="1">
      <alignment horizontal="right" vertical="top" wrapText="1"/>
    </xf>
    <xf numFmtId="165" fontId="0" fillId="0" borderId="0" xfId="0" applyNumberFormat="1"/>
    <xf numFmtId="0" fontId="0" fillId="0" borderId="0" xfId="0" applyAlignment="1">
      <alignment vertical="top"/>
    </xf>
    <xf numFmtId="0" fontId="12" fillId="0" borderId="0" xfId="1" applyAlignment="1">
      <alignment vertical="center"/>
    </xf>
    <xf numFmtId="11" fontId="6" fillId="2" borderId="0" xfId="0" applyNumberFormat="1" applyFont="1" applyFill="1"/>
    <xf numFmtId="9" fontId="6" fillId="2" borderId="0" xfId="2" applyFont="1" applyFill="1"/>
    <xf numFmtId="0" fontId="17" fillId="2" borderId="0" xfId="0" applyFont="1" applyFill="1"/>
    <xf numFmtId="3" fontId="18" fillId="0" borderId="0" xfId="0" applyNumberFormat="1" applyFont="1"/>
    <xf numFmtId="3" fontId="6" fillId="0" borderId="0" xfId="0" applyNumberFormat="1" applyFont="1" applyBorder="1" applyAlignment="1">
      <alignment horizontal="right" vertical="top" wrapText="1"/>
    </xf>
    <xf numFmtId="1" fontId="6" fillId="2" borderId="0" xfId="0" applyNumberFormat="1" applyFont="1" applyFill="1" applyAlignment="1">
      <alignment vertical="center"/>
    </xf>
    <xf numFmtId="0" fontId="10" fillId="2" borderId="0" xfId="0" applyFont="1" applyFill="1" applyAlignment="1">
      <alignment vertical="center"/>
    </xf>
    <xf numFmtId="0" fontId="10" fillId="2" borderId="0" xfId="0" applyFont="1" applyFill="1" applyAlignment="1">
      <alignment vertical="center" wrapText="1"/>
    </xf>
    <xf numFmtId="0" fontId="10" fillId="2" borderId="0" xfId="0" applyFont="1" applyFill="1" applyAlignment="1">
      <alignment horizontal="right" wrapText="1"/>
    </xf>
    <xf numFmtId="0" fontId="10" fillId="2" borderId="0" xfId="0" applyFont="1" applyFill="1" applyAlignment="1">
      <alignment horizontal="center" wrapText="1"/>
    </xf>
    <xf numFmtId="3" fontId="0" fillId="0" borderId="0" xfId="0" applyNumberFormat="1"/>
    <xf numFmtId="0" fontId="10" fillId="2" borderId="0" xfId="0" applyFont="1" applyFill="1" applyBorder="1"/>
    <xf numFmtId="4" fontId="6" fillId="0" borderId="0" xfId="0" applyNumberFormat="1" applyFont="1" applyBorder="1" applyAlignment="1">
      <alignment horizontal="right" vertical="top" wrapText="1"/>
    </xf>
    <xf numFmtId="4" fontId="6" fillId="2" borderId="0" xfId="0" applyNumberFormat="1" applyFont="1" applyFill="1"/>
    <xf numFmtId="3" fontId="6" fillId="2" borderId="0" xfId="0" applyNumberFormat="1" applyFont="1" applyFill="1"/>
    <xf numFmtId="3" fontId="6" fillId="0" borderId="0" xfId="0" applyNumberFormat="1" applyFont="1" applyBorder="1"/>
    <xf numFmtId="1" fontId="10" fillId="2" borderId="0" xfId="0" applyNumberFormat="1" applyFont="1" applyFill="1"/>
    <xf numFmtId="1" fontId="17" fillId="2" borderId="0" xfId="0" applyNumberFormat="1" applyFont="1" applyFill="1" applyAlignment="1">
      <alignment horizontal="right" wrapText="1"/>
    </xf>
    <xf numFmtId="1" fontId="17" fillId="2" borderId="0" xfId="0" applyNumberFormat="1" applyFont="1" applyFill="1"/>
    <xf numFmtId="1" fontId="6" fillId="2" borderId="0" xfId="2" applyNumberFormat="1" applyFont="1" applyFill="1"/>
    <xf numFmtId="3" fontId="6" fillId="2" borderId="0" xfId="0" applyNumberFormat="1" applyFont="1" applyFill="1" applyAlignment="1">
      <alignment vertical="top"/>
    </xf>
    <xf numFmtId="9" fontId="6" fillId="2" borderId="0" xfId="0" applyNumberFormat="1" applyFont="1" applyFill="1" applyAlignment="1">
      <alignment vertical="center"/>
    </xf>
    <xf numFmtId="9" fontId="17" fillId="2" borderId="0" xfId="0" applyNumberFormat="1" applyFont="1" applyFill="1"/>
    <xf numFmtId="0" fontId="17" fillId="2" borderId="0" xfId="0" applyFont="1" applyFill="1" applyAlignment="1">
      <alignment horizontal="right" vertical="center" wrapText="1"/>
    </xf>
    <xf numFmtId="3" fontId="6" fillId="2" borderId="0" xfId="0" applyNumberFormat="1" applyFont="1" applyFill="1" applyAlignment="1">
      <alignment vertical="center"/>
    </xf>
    <xf numFmtId="11" fontId="6" fillId="2" borderId="0" xfId="0" applyNumberFormat="1" applyFont="1" applyFill="1" applyAlignment="1">
      <alignment horizontal="right"/>
    </xf>
    <xf numFmtId="166" fontId="6" fillId="0" borderId="0" xfId="0" applyNumberFormat="1" applyFont="1" applyBorder="1" applyAlignment="1">
      <alignment horizontal="right" vertical="top" wrapText="1"/>
    </xf>
    <xf numFmtId="166" fontId="6" fillId="2" borderId="0" xfId="0" applyNumberFormat="1" applyFont="1" applyFill="1"/>
    <xf numFmtId="0" fontId="1" fillId="0" borderId="0" xfId="0" applyFont="1"/>
    <xf numFmtId="0" fontId="7" fillId="4" borderId="9" xfId="0" applyFont="1" applyFill="1" applyBorder="1" applyAlignment="1">
      <alignment horizontal="center" vertical="center"/>
    </xf>
    <xf numFmtId="0" fontId="6" fillId="0" borderId="13"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3" xfId="0" applyFont="1" applyBorder="1" applyAlignment="1" applyProtection="1">
      <alignment horizontal="center" vertical="top" wrapText="1"/>
      <protection locked="0"/>
    </xf>
    <xf numFmtId="0" fontId="6" fillId="0" borderId="14" xfId="0" applyFont="1" applyBorder="1" applyAlignment="1" applyProtection="1">
      <alignment horizontal="center" vertical="top" wrapText="1"/>
      <protection locked="0"/>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7" fillId="7" borderId="0" xfId="0" applyFont="1" applyFill="1" applyBorder="1" applyAlignment="1">
      <alignment horizontal="center" vertical="center"/>
    </xf>
    <xf numFmtId="1" fontId="6" fillId="6" borderId="13" xfId="0" applyNumberFormat="1" applyFont="1" applyFill="1" applyBorder="1" applyAlignment="1" applyProtection="1">
      <alignment horizontal="center" vertical="top" wrapText="1"/>
      <protection locked="0"/>
    </xf>
    <xf numFmtId="1" fontId="6" fillId="6" borderId="14" xfId="0" applyNumberFormat="1" applyFont="1" applyFill="1" applyBorder="1" applyAlignment="1" applyProtection="1">
      <alignment horizontal="center" vertical="top" wrapText="1"/>
      <protection locked="0"/>
    </xf>
    <xf numFmtId="0" fontId="19" fillId="7" borderId="18" xfId="0" applyFont="1" applyFill="1" applyBorder="1" applyAlignment="1">
      <alignment horizontal="center" vertical="center" wrapText="1"/>
    </xf>
    <xf numFmtId="0" fontId="19" fillId="7" borderId="18" xfId="0" applyFont="1" applyFill="1" applyBorder="1" applyAlignment="1">
      <alignment horizontal="center" vertical="center"/>
    </xf>
    <xf numFmtId="1" fontId="6" fillId="2" borderId="0" xfId="0" applyNumberFormat="1" applyFont="1" applyFill="1" applyBorder="1" applyAlignment="1">
      <alignment horizontal="center" vertical="center"/>
    </xf>
    <xf numFmtId="3" fontId="6" fillId="2" borderId="0" xfId="0" applyNumberFormat="1" applyFont="1" applyFill="1" applyAlignment="1">
      <alignment horizontal="center"/>
    </xf>
  </cellXfs>
  <cellStyles count="3">
    <cellStyle name="Hyperlink" xfId="1" builtinId="8"/>
    <cellStyle name="Procent" xfId="2" builtinId="5"/>
    <cellStyle name="Standaard" xfId="0" builtinId="0"/>
  </cellStyles>
  <dxfs count="1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8FCAE7"/>
      <color rgb="FFC8EBB5"/>
      <color rgb="FF00823B"/>
      <color rgb="FF004A82"/>
      <color rgb="FF004F8A"/>
      <color rgb="FF005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590550</xdr:colOff>
      <xdr:row>2</xdr:row>
      <xdr:rowOff>0</xdr:rowOff>
    </xdr:from>
    <xdr:to>
      <xdr:col>14</xdr:col>
      <xdr:colOff>742949</xdr:colOff>
      <xdr:row>7</xdr:row>
      <xdr:rowOff>76200</xdr:rowOff>
    </xdr:to>
    <xdr:pic>
      <xdr:nvPicPr>
        <xdr:cNvPr id="6" name="Woordmerk_RIVM">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a:stretch>
          <a:fillRect/>
        </a:stretch>
      </xdr:blipFill>
      <xdr:spPr bwMode="auto">
        <a:xfrm>
          <a:off x="9286875" y="390525"/>
          <a:ext cx="1190624" cy="885825"/>
        </a:xfrm>
        <a:prstGeom prst="rect">
          <a:avLst/>
        </a:prstGeom>
      </xdr:spPr>
    </xdr:pic>
    <xdr:clientData/>
  </xdr:twoCellAnchor>
  <xdr:twoCellAnchor editAs="oneCell">
    <xdr:from>
      <xdr:col>13</xdr:col>
      <xdr:colOff>304800</xdr:colOff>
      <xdr:row>2</xdr:row>
      <xdr:rowOff>0</xdr:rowOff>
    </xdr:from>
    <xdr:to>
      <xdr:col>13</xdr:col>
      <xdr:colOff>533400</xdr:colOff>
      <xdr:row>6</xdr:row>
      <xdr:rowOff>57150</xdr:rowOff>
    </xdr:to>
    <xdr:pic>
      <xdr:nvPicPr>
        <xdr:cNvPr id="7" name="Lint">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2"/>
        <a:srcRect l="1" r="-4545" b="18681"/>
        <a:stretch/>
      </xdr:blipFill>
      <xdr:spPr bwMode="auto">
        <a:xfrm>
          <a:off x="9001125" y="390525"/>
          <a:ext cx="228600" cy="704850"/>
        </a:xfrm>
        <a:prstGeom prst="rect">
          <a:avLst/>
        </a:prstGeom>
      </xdr:spPr>
    </xdr:pic>
    <xdr:clientData/>
  </xdr:twoCellAnchor>
  <xdr:oneCellAnchor>
    <xdr:from>
      <xdr:col>11</xdr:col>
      <xdr:colOff>209551</xdr:colOff>
      <xdr:row>31</xdr:row>
      <xdr:rowOff>0</xdr:rowOff>
    </xdr:from>
    <xdr:ext cx="4419599" cy="1495425"/>
    <xdr:sp macro="" textlink="">
      <xdr:nvSpPr>
        <xdr:cNvPr id="4" name="TextBox 3">
          <a:extLst>
            <a:ext uri="{FF2B5EF4-FFF2-40B4-BE49-F238E27FC236}">
              <a16:creationId xmlns:a16="http://schemas.microsoft.com/office/drawing/2014/main" id="{441A3A7A-873A-48DE-A432-462061FAC75C}"/>
            </a:ext>
          </a:extLst>
        </xdr:cNvPr>
        <xdr:cNvSpPr txBox="1"/>
      </xdr:nvSpPr>
      <xdr:spPr>
        <a:xfrm>
          <a:off x="9582151" y="5124450"/>
          <a:ext cx="4419599" cy="149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nl-NL" sz="1100" b="0" i="1" baseline="0">
              <a:solidFill>
                <a:srgbClr val="FF0000"/>
              </a:solidFill>
              <a:effectLst/>
              <a:latin typeface="+mn-lt"/>
              <a:ea typeface="+mn-ea"/>
              <a:cs typeface="+mn-cs"/>
            </a:rPr>
            <a:t>Deze tool wordt onderhouden door het Rijksinstituut voor Volksgezondheid en Milieu (RIVM).  Aanpassingen of toevoegingen aan de tool zijn niet toegestaan (aanvragen hiervoor kunnen gestuurd naar mvi@rivm.nl) . Het RIVM streeft naar een correcte en betrouwbare werking van de tool, maar fouten kunnen nooit volledig worden uitgesloten. Het toepassen van de tool en gebruik van de resultaten is de verantwoordelijkheid van de gebruiker. Het  RIVM aanvaardt geen aansprakelijkheid voor eventuele gevolgen die voortvloeien uit het gebruik van de tool.</a:t>
          </a:r>
        </a:p>
        <a:p>
          <a:endParaRPr lang="nl-NL"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13</xdr:col>
      <xdr:colOff>590550</xdr:colOff>
      <xdr:row>2</xdr:row>
      <xdr:rowOff>0</xdr:rowOff>
    </xdr:from>
    <xdr:to>
      <xdr:col>14</xdr:col>
      <xdr:colOff>742949</xdr:colOff>
      <xdr:row>7</xdr:row>
      <xdr:rowOff>76200</xdr:rowOff>
    </xdr:to>
    <xdr:pic>
      <xdr:nvPicPr>
        <xdr:cNvPr id="2" name="Woordmerk_RIVM">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bwMode="auto">
        <a:xfrm>
          <a:off x="11982450" y="390525"/>
          <a:ext cx="1190624" cy="885825"/>
        </a:xfrm>
        <a:prstGeom prst="rect">
          <a:avLst/>
        </a:prstGeom>
      </xdr:spPr>
    </xdr:pic>
    <xdr:clientData/>
  </xdr:twoCellAnchor>
  <xdr:twoCellAnchor editAs="oneCell">
    <xdr:from>
      <xdr:col>13</xdr:col>
      <xdr:colOff>304800</xdr:colOff>
      <xdr:row>2</xdr:row>
      <xdr:rowOff>0</xdr:rowOff>
    </xdr:from>
    <xdr:to>
      <xdr:col>13</xdr:col>
      <xdr:colOff>533400</xdr:colOff>
      <xdr:row>6</xdr:row>
      <xdr:rowOff>57150</xdr:rowOff>
    </xdr:to>
    <xdr:pic>
      <xdr:nvPicPr>
        <xdr:cNvPr id="3" name="Lint">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2"/>
        <a:srcRect l="1" r="-4545" b="18681"/>
        <a:stretch/>
      </xdr:blipFill>
      <xdr:spPr bwMode="auto">
        <a:xfrm>
          <a:off x="11696700" y="390525"/>
          <a:ext cx="228600" cy="704850"/>
        </a:xfrm>
        <a:prstGeom prst="rect">
          <a:avLst/>
        </a:prstGeom>
      </xdr:spPr>
    </xdr:pic>
    <xdr:clientData/>
  </xdr:twoCellAnchor>
  <xdr:oneCellAnchor>
    <xdr:from>
      <xdr:col>11</xdr:col>
      <xdr:colOff>200025</xdr:colOff>
      <xdr:row>24</xdr:row>
      <xdr:rowOff>142875</xdr:rowOff>
    </xdr:from>
    <xdr:ext cx="4914901" cy="1495425"/>
    <xdr:sp macro="" textlink="">
      <xdr:nvSpPr>
        <xdr:cNvPr id="4" name="TextBox 3">
          <a:extLst>
            <a:ext uri="{FF2B5EF4-FFF2-40B4-BE49-F238E27FC236}">
              <a16:creationId xmlns:a16="http://schemas.microsoft.com/office/drawing/2014/main" id="{DA83B079-AF82-488B-BA80-C0B96E61826B}"/>
            </a:ext>
          </a:extLst>
        </xdr:cNvPr>
        <xdr:cNvSpPr txBox="1"/>
      </xdr:nvSpPr>
      <xdr:spPr>
        <a:xfrm>
          <a:off x="9572625" y="4191000"/>
          <a:ext cx="4914901" cy="149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nl-NL" sz="1100" b="0" i="1" baseline="0">
              <a:solidFill>
                <a:srgbClr val="FF0000"/>
              </a:solidFill>
              <a:effectLst/>
              <a:latin typeface="+mn-lt"/>
              <a:ea typeface="+mn-ea"/>
              <a:cs typeface="+mn-cs"/>
            </a:rPr>
            <a:t>Deze tool wordt onderhouden door het Rijksinstituut voor Volksgezondheid en Milieu (RIVM).  Aanpassingen of toevoegingen aan de tool zijn niet toegestaan (aanvragen hiervoor kunnen gestuurd naar mvi@rivm.nl) . Het RIVM streeft naar een correcte en betrouwbare werking van de tool, maar fouten kunnen nooit volledig worden uitgesloten. Het toepassen van de tool en gebruik van de resultaten is de verantwoordelijkheid van de gebruiker. Het  RIVM aanvaardt geen aansprakelijkheid voor eventuele gevolgen die voortvloeien uit het gebruik van de tool.</a:t>
          </a:r>
        </a:p>
        <a:p>
          <a:endParaRPr lang="nl-N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342900</xdr:colOff>
      <xdr:row>38</xdr:row>
      <xdr:rowOff>28575</xdr:rowOff>
    </xdr:from>
    <xdr:ext cx="4440767" cy="1495425"/>
    <xdr:sp macro="" textlink="">
      <xdr:nvSpPr>
        <xdr:cNvPr id="4" name="TextBox 3">
          <a:extLst>
            <a:ext uri="{FF2B5EF4-FFF2-40B4-BE49-F238E27FC236}">
              <a16:creationId xmlns:a16="http://schemas.microsoft.com/office/drawing/2014/main" id="{FF1C7491-2382-498F-8FE8-555B5B66D15E}"/>
            </a:ext>
          </a:extLst>
        </xdr:cNvPr>
        <xdr:cNvSpPr txBox="1"/>
      </xdr:nvSpPr>
      <xdr:spPr>
        <a:xfrm>
          <a:off x="10852150" y="7151158"/>
          <a:ext cx="4440767" cy="1495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nl-NL" sz="1100" b="0" i="1" baseline="0">
              <a:solidFill>
                <a:srgbClr val="FF0000"/>
              </a:solidFill>
              <a:effectLst/>
              <a:latin typeface="+mn-lt"/>
              <a:ea typeface="+mn-ea"/>
              <a:cs typeface="+mn-cs"/>
            </a:rPr>
            <a:t>Deze tool wordt onderhouden door het Rijksinstituut voor Volksgezondheid en Milieu (RIVM).  Aanpassingen of toevoegingen aan de tool zijn niet toegestaan (aanvragen hiervoor kunnen gestuurd naar mvi@rivm.nl) . Het RIVM streeft naar een correcte en betrouwbare werking van de tool, maar fouten kunnen nooit volledig worden uitgesloten. Het toepassen van de tool en gebruik van de resultaten is de verantwoordelijkheid van de gebruiker. Het  RIVM aanvaardt geen aansprakelijkheid voor eventuele gevolgen die voortvloeien uit het gebruik van de tool. </a:t>
          </a:r>
          <a:endParaRPr lang="nl-NL" sz="1100"/>
        </a:p>
      </xdr:txBody>
    </xdr:sp>
    <xdr:clientData/>
  </xdr:oneCellAnchor>
  <xdr:twoCellAnchor editAs="oneCell">
    <xdr:from>
      <xdr:col>12</xdr:col>
      <xdr:colOff>2274093</xdr:colOff>
      <xdr:row>1</xdr:row>
      <xdr:rowOff>309560</xdr:rowOff>
    </xdr:from>
    <xdr:to>
      <xdr:col>14</xdr:col>
      <xdr:colOff>931861</xdr:colOff>
      <xdr:row>7</xdr:row>
      <xdr:rowOff>112202</xdr:rowOff>
    </xdr:to>
    <xdr:pic>
      <xdr:nvPicPr>
        <xdr:cNvPr id="8" name="Picture 7">
          <a:extLst>
            <a:ext uri="{FF2B5EF4-FFF2-40B4-BE49-F238E27FC236}">
              <a16:creationId xmlns:a16="http://schemas.microsoft.com/office/drawing/2014/main" id="{6FEF83ED-8490-4710-9235-88C50EB69A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46843" y="476248"/>
          <a:ext cx="2143125" cy="9361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owik Pieters" id="{DD1FFD61-7839-47F7-B2EA-FDC6AED9D8EA}" userId="lowik.pieters@rivm.nl" providerId="PeoplePicker"/>
  <person displayName="Erik Dekker" id="{00665D4A-ACD0-4933-9833-880E7916BC6C}" userId="S::erik.dekker@rivm.nl::afc1e36d-1bd5-42e2-a13a-3c8339d52480" providerId="AD"/>
  <person displayName="Lowik Pieters" id="{E0515162-EA35-4A54-9CE6-4F748B518137}" userId="S::lowik.pieters@rivm.nl::4c8c49ba-bde3-4b3c-966c-03dd0e14a537"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3" dT="2022-03-17T14:27:01.81" personId="{E0515162-EA35-4A54-9CE6-4F748B518137}" id="{9286212C-7BEA-4697-A549-A79C9A882B19}">
    <text>1 gCO2-eq/kWh = 1kg CO2-eq/MWh</text>
  </threadedComment>
  <threadedComment ref="I3" dT="2022-03-21T15:47:19.29" personId="{E0515162-EA35-4A54-9CE6-4F748B518137}" id="{74FA30F7-B303-40F1-9FC1-3240C5853EFD}">
    <text>Zie Table 51 in https://iea-pvps.org/wp-content/uploads/2020/12/IEA-PVPS-LCI-report-2020.pdf</text>
  </threadedComment>
  <threadedComment ref="B15" dT="2022-04-15T07:13:24.74" personId="{00665D4A-ACD0-4933-9833-880E7916BC6C}" id="{51CA228A-3DD7-4858-B3AA-DAF1B868C138}">
    <text>@Lowik Pieters, is dit de marktstandaard per paneel aan vermogen? Lijkt me wat laag ondertussen of niet? (lees wij gaan panelen van 400Wp instaleren van de zomer)</text>
    <mentions>
      <mention mentionpersonId="{DD1FFD61-7839-47F7-B2EA-FDC6AED9D8EA}" mentionId="{1DAB1C60-103B-4EAB-8554-34E06D30D35F}" startIndex="0" length="14"/>
    </mentions>
  </threadedComment>
  <threadedComment ref="B15" dT="2022-04-15T07:38:07.66" personId="{00665D4A-ACD0-4933-9833-880E7916BC6C}" id="{52E842A8-3159-449B-8811-887163163AB2}" parentId="{51CA228A-3DD7-4858-B3AA-DAF1B868C138}">
    <text>Deze vond ik nog, die gaan uit van 360 per paneel: https://ce.nl/wp-content/uploads/2021/04/CE_Delft_200432_Scenarios_zon_op_grote_daken_Utrecht_DEF.pdf</text>
  </threadedComment>
  <threadedComment ref="B15" dT="2022-04-20T08:19:54.24" personId="{E0515162-EA35-4A54-9CE6-4F748B518137}" id="{44CCAE0A-ADF0-4874-AEA7-2496B4609E4C}" parentId="{51CA228A-3DD7-4858-B3AA-DAF1B868C138}">
    <text>Goeie! Ik zie in tabel 4 van de link die je hierboven hebt gezet ook nog staan dat er vrij veel verschillende opvattingen zijn over het huidige en toekomstige vermogen van een paneel. Zullen we later nog even sparren welke bron we het beste kunnen gebruiken? Ik vind de verschillen nog best groot (en de schatting van het IEA die ik nu gebruik dan weer heel laag)...</text>
  </threadedComment>
  <threadedComment ref="C35" dT="2022-04-20T14:35:25.76" personId="{E0515162-EA35-4A54-9CE6-4F748B518137}" id="{3A175CD1-CF59-4C99-A606-7E9248EFA2E7}">
    <text>Alleen nog voor laminate (= onderdeel van het paneel) een proces beschikbaar. Meer is er nog niet voor CdTe in EcoInvent 3.7</text>
  </threadedComment>
  <threadedComment ref="A38" dT="2022-04-20T15:22:14.45" personId="{E0515162-EA35-4A54-9CE6-4F748B518137}" id="{C39E552A-6CF4-4DFC-926C-8056FA7C5C35}">
    <text>Uit gesprek met Martijn. We doen nu niks met inverters en de impact daarvan rekenen we ook niet mee, terwijl je die vaker moet vervangen dan een zonnepaneel zelf.</text>
  </threadedComment>
</ThreadedComments>
</file>

<file path=xl/threadedComments/threadedComment2.xml><?xml version="1.0" encoding="utf-8"?>
<ThreadedComments xmlns="http://schemas.microsoft.com/office/spreadsheetml/2018/threadedcomments" xmlns:x="http://schemas.openxmlformats.org/spreadsheetml/2006/main">
  <threadedComment ref="B12" dT="2022-04-11T11:47:55.21" personId="{E0515162-EA35-4A54-9CE6-4F748B518137}" id="{CF1B5BB5-3411-456D-8B31-361495D0C647}">
    <text>1 kWh = 3.6 MJ dus vandaar dat alle processen die in MJ zijn gegeven nog * 3.6 gaan</text>
  </threadedComment>
  <threadedComment ref="G12" dT="2022-05-04T08:18:36.34" personId="{E0515162-EA35-4A54-9CE6-4F748B518137}" id="{944B3482-D485-4FF5-9FEE-2FEE111CBF20}">
    <text>Via effectbeoordelingsmethode CML-IA baseline EU25 &gt; abiotic depletion</text>
  </threadedComment>
  <threadedComment ref="A24" dT="2022-03-11T11:06:34.60" personId="{E0515162-EA35-4A54-9CE6-4F748B518137}" id="{ABEC7A72-14A7-4A5E-9F88-B85345E93AD0}">
    <text>Waarom hier netto productie? Dat is incl. eigen verbruik maar ook niet-genormaliseerd (niet gecorrigeerd voor weersomstandigheden en groen gas gebruik voor elektriciteit niet meegenomen)</text>
  </threadedComment>
</ThreadedComments>
</file>

<file path=xl/threadedComments/threadedComment3.xml><?xml version="1.0" encoding="utf-8"?>
<ThreadedComments xmlns="http://schemas.microsoft.com/office/spreadsheetml/2018/threadedcomments" xmlns:x="http://schemas.openxmlformats.org/spreadsheetml/2006/main">
  <threadedComment ref="C14" dT="2022-04-20T13:17:17.88" personId="{E0515162-EA35-4A54-9CE6-4F748B518137}" id="{CFF0B50F-7B80-43D6-A92B-C046DD5CF836}">
    <text>Vanaf versie 3.7 dit proces genomen:
Biogas {CH} | market for biogas | Cut-off, S
Market processes gebruik je als je geen informatie hebt over de herkomst van het materiaal of als je gewoon de gemiddelde waarde wilt hebben. Hier lijkt mij dat beter passen.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ce.nl/wp-content/uploads/2021/04/CE_Delft_200432_Scenarios_zon_op_grote_daken_Utrecht_DEF.pdf" TargetMode="External"/><Relationship Id="rId13" Type="http://schemas.openxmlformats.org/officeDocument/2006/relationships/hyperlink" Target="https://iea-pvps.org/wp-content/uploads/2020/07/IEA_Task12_LCA_Guidelines.pdf" TargetMode="External"/><Relationship Id="rId3" Type="http://schemas.openxmlformats.org/officeDocument/2006/relationships/hyperlink" Target="https://iea-pvps.org/wp-content/uploads/2021/11/IEA-PVPS-Task12-LCA-PV-electricity-_-Fact-Sheet.pdf" TargetMode="External"/><Relationship Id="rId7" Type="http://schemas.openxmlformats.org/officeDocument/2006/relationships/hyperlink" Target="https://iea-pvps.org/wp-content/uploads/2021/11/IEA_PVPS_T12_Preliminary-EnvEcon-Analysis-of-module-reuse_2021_report.pdf" TargetMode="External"/><Relationship Id="rId12" Type="http://schemas.openxmlformats.org/officeDocument/2006/relationships/hyperlink" Target="https://iea-pvps.org/wp-content/uploads/2021/11/IEA-PVPS-Task12-LCA-PV-electricity-_-Fact-Sheet.pdf" TargetMode="External"/><Relationship Id="rId17" Type="http://schemas.microsoft.com/office/2017/10/relationships/threadedComment" Target="../threadedComments/threadedComment1.xml"/><Relationship Id="rId2" Type="http://schemas.openxmlformats.org/officeDocument/2006/relationships/hyperlink" Target="https://iea-pvps.org/wp-content/uploads/2021/11/IEA-PVPS-Task12-LCA-PV-electricity-_-Fact-Sheet.pdf" TargetMode="External"/><Relationship Id="rId16" Type="http://schemas.openxmlformats.org/officeDocument/2006/relationships/comments" Target="../comments2.xml"/><Relationship Id="rId1" Type="http://schemas.openxmlformats.org/officeDocument/2006/relationships/hyperlink" Target="https://iea-pvps.org/wp-content/uploads/2020/12/IEA-PVPS-LCI-report-2020.pdf" TargetMode="External"/><Relationship Id="rId6" Type="http://schemas.openxmlformats.org/officeDocument/2006/relationships/hyperlink" Target="https://iea-pvps.org/wp-content/uploads/2021/11/IEA-PVPS-Task12-LCA-PV-electricity-_-Fact-Sheet.pdf" TargetMode="External"/><Relationship Id="rId11" Type="http://schemas.openxmlformats.org/officeDocument/2006/relationships/hyperlink" Target="https://opendata.cbs.nl/" TargetMode="External"/><Relationship Id="rId5" Type="http://schemas.openxmlformats.org/officeDocument/2006/relationships/hyperlink" Target="https://iea-pvps.org/wp-content/uploads/2021/11/IEA-PVPS-Task12-LCA-PV-electricity-_-Fact-Sheet.pdf" TargetMode="External"/><Relationship Id="rId15" Type="http://schemas.openxmlformats.org/officeDocument/2006/relationships/vmlDrawing" Target="../drawings/vmlDrawing2.vml"/><Relationship Id="rId10" Type="http://schemas.openxmlformats.org/officeDocument/2006/relationships/hyperlink" Target="https://www.cbs.nl/nl-nl/visualisaties/dashboard-bevolking/woonsituatie/huishoudens-nu" TargetMode="External"/><Relationship Id="rId4" Type="http://schemas.openxmlformats.org/officeDocument/2006/relationships/hyperlink" Target="https://iea-pvps.org/wp-content/uploads/2021/11/IEA-PVPS-Task12-LCA-PV-electricity-_-Fact-Sheet.pdf" TargetMode="External"/><Relationship Id="rId9" Type="http://schemas.openxmlformats.org/officeDocument/2006/relationships/hyperlink" Target="https://iea-pvps.org/wp-content/uploads/2022/03/Report_IEA_PVPS_T12-22-2022-ResourceUseFootprintsResidentialPV.pdf" TargetMode="External"/><Relationship Id="rId1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cbs.nl/nl-nl/cijfers/detail/82610NED?dl=4CBC3" TargetMode="External"/><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46"/>
  <sheetViews>
    <sheetView tabSelected="1" workbookViewId="0">
      <selection activeCell="M5" sqref="M5"/>
    </sheetView>
  </sheetViews>
  <sheetFormatPr defaultColWidth="0" defaultRowHeight="12.75" zeroHeight="1" x14ac:dyDescent="0.2"/>
  <cols>
    <col min="1" max="1" width="3.83203125" style="8" customWidth="1"/>
    <col min="2" max="7" width="9.33203125" style="8" customWidth="1"/>
    <col min="8" max="8" width="9.1640625" style="8" customWidth="1"/>
    <col min="9" max="9" width="13.5" style="8" customWidth="1"/>
    <col min="10" max="10" width="9.33203125" style="8" customWidth="1"/>
    <col min="11" max="11" width="72.1640625" style="8" customWidth="1"/>
    <col min="12" max="12" width="5" style="8" customWidth="1"/>
    <col min="13" max="13" width="36.5" style="8" bestFit="1" customWidth="1"/>
    <col min="14" max="14" width="18.1640625" style="8" bestFit="1" customWidth="1"/>
    <col min="15" max="15" width="21.33203125" style="8" bestFit="1" customWidth="1"/>
    <col min="16" max="16" width="15.5" style="8" customWidth="1"/>
    <col min="17" max="18" width="27.33203125" style="8" hidden="1" customWidth="1"/>
    <col min="19" max="19" width="10.1640625" style="8" hidden="1" customWidth="1"/>
    <col min="20" max="20" width="25.1640625" style="8" hidden="1" customWidth="1"/>
    <col min="21" max="21" width="30.5" style="8" hidden="1" customWidth="1"/>
    <col min="22" max="22" width="9.33203125" style="8" hidden="1" customWidth="1"/>
    <col min="23" max="23" width="11.83203125" style="8" hidden="1" customWidth="1"/>
    <col min="24" max="27" width="9.33203125" style="8" hidden="1" customWidth="1"/>
    <col min="28" max="28" width="11.33203125" style="8" hidden="1" customWidth="1"/>
    <col min="29" max="29" width="11.1640625" style="8" hidden="1" customWidth="1"/>
    <col min="30" max="30" width="9.33203125" style="8" hidden="1" customWidth="1"/>
    <col min="31" max="31" width="0" style="8" hidden="1" customWidth="1"/>
    <col min="32" max="33" width="9.33203125" style="8" hidden="1" customWidth="1"/>
    <col min="34" max="16384" width="9.33203125" style="8" hidden="1"/>
  </cols>
  <sheetData>
    <row r="1" spans="1:30" x14ac:dyDescent="0.2">
      <c r="A1" s="7"/>
      <c r="B1" s="7"/>
      <c r="C1" s="7"/>
      <c r="D1" s="7"/>
      <c r="E1" s="7"/>
      <c r="F1" s="7"/>
      <c r="G1" s="7"/>
      <c r="H1" s="7"/>
      <c r="I1" s="7"/>
      <c r="J1" s="7"/>
      <c r="K1" s="7"/>
      <c r="L1" s="7"/>
      <c r="M1" s="7"/>
      <c r="N1" s="7"/>
      <c r="O1" s="7"/>
      <c r="P1" s="7"/>
    </row>
    <row r="2" spans="1:30" ht="18" x14ac:dyDescent="0.2">
      <c r="A2" s="9"/>
      <c r="B2" s="97" t="s">
        <v>0</v>
      </c>
      <c r="C2" s="97"/>
      <c r="D2" s="97"/>
      <c r="E2" s="97"/>
      <c r="F2" s="97"/>
      <c r="G2" s="97"/>
      <c r="H2" s="97"/>
      <c r="I2" s="97"/>
      <c r="J2" s="97"/>
      <c r="K2" s="97"/>
      <c r="L2" s="97"/>
      <c r="M2" s="97"/>
      <c r="N2" s="97"/>
      <c r="O2" s="97"/>
      <c r="P2" s="7"/>
      <c r="Q2" s="7"/>
      <c r="R2" s="7"/>
      <c r="S2" s="9"/>
      <c r="T2" s="9"/>
      <c r="U2" s="9"/>
      <c r="V2" s="9"/>
      <c r="W2" s="9"/>
      <c r="X2" s="9"/>
      <c r="Y2" s="9"/>
      <c r="Z2" s="9"/>
      <c r="AA2" s="9"/>
    </row>
    <row r="3" spans="1:30" x14ac:dyDescent="0.2">
      <c r="A3" s="9"/>
      <c r="B3" s="9"/>
      <c r="C3" s="9"/>
      <c r="D3" s="9"/>
      <c r="E3" s="9"/>
      <c r="F3" s="7"/>
      <c r="G3" s="7"/>
      <c r="H3" s="7"/>
      <c r="I3" s="7"/>
      <c r="J3" s="7"/>
      <c r="K3" s="7"/>
      <c r="L3" s="7"/>
      <c r="M3" s="37" t="s">
        <v>194</v>
      </c>
      <c r="N3" s="7"/>
      <c r="O3" s="7"/>
      <c r="P3" s="7"/>
      <c r="Q3" s="7"/>
      <c r="R3" s="7"/>
      <c r="S3" s="9"/>
      <c r="T3" s="9"/>
      <c r="U3" s="9"/>
      <c r="V3" s="9"/>
      <c r="W3" s="9"/>
      <c r="X3" s="9"/>
      <c r="Y3" s="9"/>
      <c r="Z3" s="9"/>
      <c r="AA3" s="9"/>
    </row>
    <row r="4" spans="1:30" x14ac:dyDescent="0.2">
      <c r="A4" s="9"/>
      <c r="B4" s="9"/>
      <c r="C4" s="9"/>
      <c r="D4" s="9"/>
      <c r="E4" s="9"/>
      <c r="F4" s="7"/>
      <c r="G4" s="7"/>
      <c r="H4" s="7"/>
      <c r="I4" s="7"/>
      <c r="J4" s="7"/>
      <c r="K4" s="7"/>
      <c r="L4" s="7"/>
      <c r="M4" s="38">
        <v>44837</v>
      </c>
      <c r="N4" s="7"/>
      <c r="O4" s="7"/>
      <c r="P4" s="7"/>
      <c r="Q4" s="7"/>
      <c r="R4" s="7"/>
      <c r="S4" s="9"/>
      <c r="T4" s="9"/>
      <c r="U4" s="9"/>
      <c r="V4" s="9"/>
      <c r="W4" s="9"/>
      <c r="X4" s="9"/>
      <c r="Y4" s="9"/>
      <c r="Z4" s="9"/>
      <c r="AA4" s="9"/>
    </row>
    <row r="5" spans="1:30" ht="12.75" customHeight="1" x14ac:dyDescent="0.2">
      <c r="A5" s="9"/>
      <c r="B5" s="102" t="s">
        <v>208</v>
      </c>
      <c r="C5" s="103"/>
      <c r="D5" s="103"/>
      <c r="E5" s="103"/>
      <c r="F5" s="103"/>
      <c r="G5" s="103"/>
      <c r="H5" s="103"/>
      <c r="I5" s="104"/>
      <c r="J5" s="7"/>
      <c r="K5" s="7"/>
      <c r="L5" s="7"/>
      <c r="M5" s="37" t="s">
        <v>1</v>
      </c>
      <c r="N5" s="7"/>
      <c r="O5" s="7"/>
      <c r="P5" s="7"/>
      <c r="Q5" s="7"/>
      <c r="R5" s="7"/>
      <c r="S5" s="9"/>
      <c r="T5" s="9"/>
      <c r="U5" s="9"/>
      <c r="V5" s="9"/>
      <c r="W5" s="9"/>
      <c r="X5" s="9"/>
      <c r="Y5" s="9"/>
      <c r="Z5" s="9"/>
      <c r="AA5" s="9"/>
    </row>
    <row r="6" spans="1:30" x14ac:dyDescent="0.2">
      <c r="A6" s="9"/>
      <c r="B6" s="105"/>
      <c r="C6" s="106"/>
      <c r="D6" s="106"/>
      <c r="E6" s="106"/>
      <c r="F6" s="106"/>
      <c r="G6" s="106"/>
      <c r="H6" s="106"/>
      <c r="I6" s="107"/>
      <c r="J6" s="7"/>
      <c r="K6" s="7"/>
      <c r="L6" s="7"/>
      <c r="M6" s="7"/>
      <c r="N6" s="7"/>
      <c r="O6" s="7"/>
      <c r="P6" s="7"/>
      <c r="Q6" s="7"/>
      <c r="R6" s="7"/>
      <c r="S6" s="9"/>
      <c r="T6" s="9"/>
      <c r="U6" s="9"/>
      <c r="V6" s="9"/>
      <c r="W6" s="9"/>
      <c r="X6" s="9"/>
      <c r="Y6" s="9"/>
      <c r="Z6" s="9"/>
      <c r="AA6" s="9"/>
    </row>
    <row r="7" spans="1:30" x14ac:dyDescent="0.2">
      <c r="A7" s="9"/>
      <c r="B7" s="105"/>
      <c r="C7" s="106"/>
      <c r="D7" s="106"/>
      <c r="E7" s="106"/>
      <c r="F7" s="106"/>
      <c r="G7" s="106"/>
      <c r="H7" s="106"/>
      <c r="I7" s="107"/>
      <c r="J7" s="7"/>
      <c r="K7" s="7"/>
      <c r="L7" s="7"/>
      <c r="M7" s="7"/>
      <c r="N7" s="7"/>
      <c r="O7" s="7"/>
      <c r="P7" s="7"/>
      <c r="Q7" s="7"/>
      <c r="R7" s="7"/>
      <c r="S7" s="9"/>
      <c r="T7" s="9"/>
      <c r="U7" s="9"/>
      <c r="V7" s="9"/>
      <c r="W7" s="9"/>
      <c r="X7" s="9"/>
      <c r="Y7" s="9"/>
      <c r="Z7" s="9"/>
      <c r="AA7" s="9"/>
    </row>
    <row r="8" spans="1:30" ht="12.75" customHeight="1" x14ac:dyDescent="0.2">
      <c r="A8" s="9"/>
      <c r="B8" s="105"/>
      <c r="C8" s="106"/>
      <c r="D8" s="106"/>
      <c r="E8" s="106"/>
      <c r="F8" s="106"/>
      <c r="G8" s="106"/>
      <c r="H8" s="106"/>
      <c r="I8" s="107"/>
      <c r="J8" s="7"/>
      <c r="K8" s="7"/>
      <c r="L8" s="7"/>
      <c r="M8" s="7"/>
      <c r="N8" s="7"/>
      <c r="O8" s="7"/>
      <c r="P8" s="9"/>
      <c r="Q8" s="7"/>
      <c r="R8" s="7"/>
      <c r="S8" s="9"/>
      <c r="T8" s="9"/>
      <c r="U8" s="9"/>
      <c r="V8" s="9"/>
      <c r="W8" s="9"/>
      <c r="X8" s="9"/>
      <c r="Y8" s="9"/>
      <c r="Z8" s="9"/>
      <c r="AA8" s="9"/>
    </row>
    <row r="9" spans="1:30" x14ac:dyDescent="0.2">
      <c r="A9" s="9"/>
      <c r="B9" s="105"/>
      <c r="C9" s="106"/>
      <c r="D9" s="106"/>
      <c r="E9" s="106"/>
      <c r="F9" s="106"/>
      <c r="G9" s="106"/>
      <c r="H9" s="106"/>
      <c r="I9" s="107"/>
      <c r="J9" s="7"/>
      <c r="K9" s="10" t="s">
        <v>2</v>
      </c>
      <c r="L9" s="7"/>
      <c r="M9" s="7"/>
      <c r="N9" s="7"/>
      <c r="O9" s="7"/>
      <c r="P9" s="9"/>
      <c r="Q9" s="7"/>
      <c r="R9" s="7"/>
      <c r="S9" s="9"/>
      <c r="T9" s="9"/>
      <c r="U9" s="9"/>
      <c r="V9" s="9"/>
      <c r="W9" s="9"/>
      <c r="X9" s="9"/>
      <c r="Y9" s="9"/>
      <c r="Z9" s="9"/>
      <c r="AA9" s="9"/>
    </row>
    <row r="10" spans="1:30" x14ac:dyDescent="0.2">
      <c r="A10" s="9"/>
      <c r="B10" s="105"/>
      <c r="C10" s="106"/>
      <c r="D10" s="106"/>
      <c r="E10" s="106"/>
      <c r="F10" s="106"/>
      <c r="G10" s="106"/>
      <c r="H10" s="106"/>
      <c r="I10" s="107"/>
      <c r="J10" s="9"/>
      <c r="K10" s="9" t="s">
        <v>3</v>
      </c>
      <c r="L10" s="7"/>
      <c r="M10" s="98"/>
      <c r="N10" s="99"/>
      <c r="O10" s="7"/>
      <c r="P10" s="9"/>
      <c r="Q10" s="9"/>
      <c r="R10" s="9"/>
      <c r="S10" s="9"/>
      <c r="T10" s="9"/>
      <c r="U10" s="9"/>
      <c r="V10" s="9"/>
      <c r="W10" s="9"/>
      <c r="X10" s="9"/>
      <c r="Y10" s="9"/>
      <c r="Z10" s="9"/>
      <c r="AA10" s="9"/>
    </row>
    <row r="11" spans="1:30" ht="12.75" customHeight="1" x14ac:dyDescent="0.2">
      <c r="A11" s="9"/>
      <c r="B11" s="105"/>
      <c r="C11" s="106"/>
      <c r="D11" s="106"/>
      <c r="E11" s="106"/>
      <c r="F11" s="106"/>
      <c r="G11" s="106"/>
      <c r="H11" s="106"/>
      <c r="I11" s="107"/>
      <c r="J11" s="9"/>
      <c r="K11" s="11" t="s">
        <v>4</v>
      </c>
      <c r="L11" s="7"/>
      <c r="M11" s="100"/>
      <c r="N11" s="101"/>
      <c r="O11" s="7"/>
      <c r="P11" s="9"/>
      <c r="Q11" s="9"/>
      <c r="R11" s="9"/>
      <c r="S11" s="9"/>
      <c r="T11" s="9"/>
      <c r="U11" s="9"/>
      <c r="V11" s="9"/>
      <c r="W11" s="9"/>
      <c r="X11" s="9"/>
      <c r="Y11" s="9"/>
      <c r="Z11" s="9"/>
      <c r="AA11" s="9"/>
    </row>
    <row r="12" spans="1:30" ht="12.75" customHeight="1" x14ac:dyDescent="0.2">
      <c r="A12" s="9"/>
      <c r="B12" s="105"/>
      <c r="C12" s="106"/>
      <c r="D12" s="106"/>
      <c r="E12" s="106"/>
      <c r="F12" s="106"/>
      <c r="G12" s="106"/>
      <c r="H12" s="106"/>
      <c r="I12" s="107"/>
      <c r="J12" s="9"/>
      <c r="K12" s="11" t="s">
        <v>200</v>
      </c>
      <c r="L12" s="7"/>
      <c r="M12" s="100"/>
      <c r="N12" s="101"/>
      <c r="O12" s="7"/>
      <c r="P12" s="9"/>
      <c r="Q12" s="9"/>
      <c r="R12" s="9"/>
      <c r="S12" s="9"/>
      <c r="T12" s="9"/>
      <c r="U12" s="9"/>
      <c r="V12" s="9"/>
      <c r="W12" s="9"/>
      <c r="X12" s="9"/>
      <c r="Y12" s="9"/>
      <c r="Z12" s="9"/>
      <c r="AA12" s="9"/>
    </row>
    <row r="13" spans="1:30" ht="12.75" customHeight="1" x14ac:dyDescent="0.2">
      <c r="A13" s="9"/>
      <c r="B13" s="105"/>
      <c r="C13" s="106"/>
      <c r="D13" s="106"/>
      <c r="E13" s="106"/>
      <c r="F13" s="106"/>
      <c r="G13" s="106"/>
      <c r="H13" s="106"/>
      <c r="I13" s="107"/>
      <c r="J13" s="9"/>
      <c r="K13" s="11"/>
      <c r="L13" s="11"/>
      <c r="M13" s="11"/>
      <c r="N13" s="11"/>
      <c r="O13" s="7"/>
      <c r="P13" s="9"/>
      <c r="Q13" s="9"/>
      <c r="R13" s="9"/>
      <c r="S13" s="9"/>
      <c r="T13" s="9"/>
      <c r="U13" s="9"/>
      <c r="V13" s="9"/>
      <c r="W13" s="9"/>
      <c r="X13" s="9"/>
      <c r="Y13" s="9"/>
      <c r="Z13" s="9"/>
      <c r="AA13" s="9"/>
    </row>
    <row r="14" spans="1:30" ht="12.75" customHeight="1" x14ac:dyDescent="0.2">
      <c r="A14" s="9"/>
      <c r="B14" s="105"/>
      <c r="C14" s="106"/>
      <c r="D14" s="106"/>
      <c r="E14" s="106"/>
      <c r="F14" s="106"/>
      <c r="G14" s="106"/>
      <c r="H14" s="106"/>
      <c r="I14" s="107"/>
      <c r="J14" s="9"/>
      <c r="K14" s="9"/>
      <c r="L14" s="9"/>
      <c r="M14" s="9"/>
      <c r="N14" s="9"/>
      <c r="O14" s="7"/>
      <c r="P14" s="9"/>
      <c r="Q14" s="9"/>
      <c r="R14" s="9"/>
      <c r="S14" s="9"/>
      <c r="T14" s="9"/>
      <c r="U14" s="9"/>
      <c r="V14" s="9"/>
      <c r="W14" s="9"/>
      <c r="X14" s="9"/>
      <c r="Y14" s="9"/>
      <c r="Z14" s="9"/>
      <c r="AA14" s="9"/>
    </row>
    <row r="15" spans="1:30" ht="12.75" customHeight="1" x14ac:dyDescent="0.2">
      <c r="A15" s="9"/>
      <c r="B15" s="105"/>
      <c r="C15" s="106"/>
      <c r="D15" s="106"/>
      <c r="E15" s="106"/>
      <c r="F15" s="106"/>
      <c r="G15" s="106"/>
      <c r="H15" s="106"/>
      <c r="I15" s="107"/>
      <c r="J15" s="9"/>
      <c r="K15" s="9"/>
      <c r="L15" s="9"/>
      <c r="M15" s="9"/>
      <c r="N15" s="9"/>
      <c r="O15" s="7"/>
      <c r="P15" s="9"/>
      <c r="Q15" s="9"/>
      <c r="R15" s="9"/>
      <c r="S15" s="9"/>
      <c r="T15" s="9"/>
      <c r="U15" s="9"/>
      <c r="V15" s="9"/>
      <c r="W15" s="9"/>
      <c r="X15" s="9"/>
      <c r="Y15" s="9"/>
      <c r="Z15" s="9"/>
      <c r="AA15" s="9"/>
    </row>
    <row r="16" spans="1:30" ht="13.5" customHeight="1" thickBot="1" x14ac:dyDescent="0.25">
      <c r="A16" s="9"/>
      <c r="B16" s="105"/>
      <c r="C16" s="106"/>
      <c r="D16" s="106"/>
      <c r="E16" s="106"/>
      <c r="F16" s="106"/>
      <c r="G16" s="106"/>
      <c r="H16" s="106"/>
      <c r="I16" s="107"/>
      <c r="J16" s="9"/>
      <c r="K16" s="13" t="s">
        <v>5</v>
      </c>
      <c r="L16" s="9"/>
      <c r="M16" s="14" t="s">
        <v>6</v>
      </c>
      <c r="N16" s="15" t="s">
        <v>7</v>
      </c>
      <c r="O16" s="16" t="s">
        <v>8</v>
      </c>
      <c r="P16" s="9"/>
      <c r="Q16" s="14" t="s">
        <v>9</v>
      </c>
      <c r="R16" s="14" t="s">
        <v>10</v>
      </c>
      <c r="S16" s="15" t="s">
        <v>11</v>
      </c>
      <c r="T16" s="15" t="s">
        <v>12</v>
      </c>
      <c r="U16" s="16" t="s">
        <v>13</v>
      </c>
      <c r="V16" s="9" t="s">
        <v>14</v>
      </c>
      <c r="W16" s="9" t="s">
        <v>15</v>
      </c>
      <c r="X16" s="9"/>
      <c r="Y16" s="9"/>
      <c r="Z16" s="9"/>
      <c r="AA16" s="9"/>
      <c r="AB16" s="12" t="s">
        <v>16</v>
      </c>
      <c r="AC16" s="12" t="s">
        <v>17</v>
      </c>
      <c r="AD16" s="12" t="s">
        <v>18</v>
      </c>
    </row>
    <row r="17" spans="1:30" ht="13.5" customHeight="1" x14ac:dyDescent="0.2">
      <c r="A17" s="9"/>
      <c r="B17" s="105"/>
      <c r="C17" s="106"/>
      <c r="D17" s="106"/>
      <c r="E17" s="106"/>
      <c r="F17" s="106"/>
      <c r="G17" s="106"/>
      <c r="H17" s="106"/>
      <c r="I17" s="107"/>
      <c r="J17" s="9"/>
      <c r="K17" s="9" t="s">
        <v>19</v>
      </c>
      <c r="L17" s="9"/>
      <c r="M17" s="17" t="s">
        <v>20</v>
      </c>
      <c r="N17" s="18">
        <f>1 - SUM(N18:N22)</f>
        <v>1</v>
      </c>
      <c r="O17" s="19"/>
      <c r="P17" s="9"/>
      <c r="Q17" s="9">
        <f>AchtergrondElektra!B8*N17</f>
        <v>0.432</v>
      </c>
      <c r="R17" s="9"/>
      <c r="S17" s="17"/>
      <c r="T17" s="20"/>
      <c r="U17" s="9"/>
      <c r="V17" s="9"/>
      <c r="W17" s="9"/>
      <c r="X17" s="9"/>
      <c r="Y17" s="9"/>
      <c r="Z17" s="9"/>
      <c r="AA17" s="9"/>
      <c r="AB17" s="8">
        <f>VLOOKUP(M17,AchtergrondElektra!A$2:F$8,6,FALSE)*N17*M$12*M$11</f>
        <v>0</v>
      </c>
      <c r="AD17" s="8">
        <f>VLOOKUP(M17,AchtergrondElektra!A$2:F$8,6,FALSE)*M$12*M$11</f>
        <v>0</v>
      </c>
    </row>
    <row r="18" spans="1:30" ht="12.75" customHeight="1" x14ac:dyDescent="0.2">
      <c r="A18" s="9"/>
      <c r="B18" s="105"/>
      <c r="C18" s="106"/>
      <c r="D18" s="106"/>
      <c r="E18" s="106"/>
      <c r="F18" s="106"/>
      <c r="G18" s="106"/>
      <c r="H18" s="106"/>
      <c r="I18" s="107"/>
      <c r="J18" s="11"/>
      <c r="K18" s="21"/>
      <c r="L18" s="9"/>
      <c r="M18" s="22" t="s">
        <v>24</v>
      </c>
      <c r="N18" s="23"/>
      <c r="O18" s="24"/>
      <c r="P18" s="9"/>
      <c r="Q18" s="9">
        <f>VLOOKUP(M18,AchtergrondElektra!$A$2:$B$14,2,FALSE)*N18</f>
        <v>0</v>
      </c>
      <c r="R18" s="9">
        <f>IF(O18="Ja",N18*AchtergrondElektra!B$8-Q18,0)</f>
        <v>0</v>
      </c>
      <c r="S18" s="17"/>
      <c r="T18" s="20"/>
      <c r="U18" s="9"/>
      <c r="V18" s="9"/>
      <c r="W18" s="9"/>
      <c r="X18" s="9"/>
      <c r="Y18" s="9"/>
      <c r="Z18" s="9"/>
      <c r="AA18" s="9"/>
      <c r="AB18" s="8">
        <f>VLOOKUP(M18,AchtergrondElektra!A$2:F$8,6,FALSE)*N18*M$12*M$11</f>
        <v>0</v>
      </c>
      <c r="AC18" s="8">
        <f>IF(O18="Ja",(VLOOKUP(M$17,AchtergrondElektra!A$2:F$8,6,FALSE)-VLOOKUP(M18,AchtergrondElektra!A$2:F$8,6,FALSE))*N18*M$12*M$11,0)</f>
        <v>0</v>
      </c>
    </row>
    <row r="19" spans="1:30" ht="12.75" customHeight="1" x14ac:dyDescent="0.2">
      <c r="A19" s="9"/>
      <c r="B19" s="105"/>
      <c r="C19" s="106"/>
      <c r="D19" s="106"/>
      <c r="E19" s="106"/>
      <c r="F19" s="106"/>
      <c r="G19" s="106"/>
      <c r="H19" s="106"/>
      <c r="I19" s="107"/>
      <c r="J19" s="11"/>
      <c r="K19" s="21"/>
      <c r="L19" s="9"/>
      <c r="M19" s="22" t="s">
        <v>24</v>
      </c>
      <c r="N19" s="23"/>
      <c r="O19" s="25"/>
      <c r="P19" s="9"/>
      <c r="Q19" s="9">
        <f>VLOOKUP(M19,AchtergrondElektra!$A$2:$B$14,2,FALSE)*N19</f>
        <v>0</v>
      </c>
      <c r="R19" s="9">
        <f>IF(O19="Ja",N19*AchtergrondElektra!B$8-Q19,0)</f>
        <v>0</v>
      </c>
      <c r="S19" s="17"/>
      <c r="T19" s="20"/>
      <c r="U19" s="9"/>
      <c r="V19" s="9"/>
      <c r="W19" s="9"/>
      <c r="X19" s="9"/>
      <c r="Y19" s="9"/>
      <c r="Z19" s="9"/>
      <c r="AA19" s="9"/>
      <c r="AB19" s="8">
        <f>VLOOKUP(M19,AchtergrondElektra!A$2:F$8,6,FALSE)*N19*M$12*M$11</f>
        <v>0</v>
      </c>
      <c r="AC19" s="8">
        <f>IF(O19="Ja",(VLOOKUP(M$17,AchtergrondElektra!A$2:F$8,6,FALSE)-VLOOKUP(M19,AchtergrondElektra!A$2:F$8,6,FALSE))*N19*M$12*M$11,0)</f>
        <v>0</v>
      </c>
    </row>
    <row r="20" spans="1:30" ht="12.75" customHeight="1" x14ac:dyDescent="0.2">
      <c r="A20" s="9"/>
      <c r="B20" s="105"/>
      <c r="C20" s="106"/>
      <c r="D20" s="106"/>
      <c r="E20" s="106"/>
      <c r="F20" s="106"/>
      <c r="G20" s="106"/>
      <c r="H20" s="106"/>
      <c r="I20" s="107"/>
      <c r="J20" s="11"/>
      <c r="K20" s="9"/>
      <c r="L20" s="9"/>
      <c r="M20" s="22" t="s">
        <v>24</v>
      </c>
      <c r="N20" s="23"/>
      <c r="O20" s="25"/>
      <c r="P20" s="9"/>
      <c r="Q20" s="9">
        <f>VLOOKUP(M20,AchtergrondElektra!$A$2:$B$14,2,FALSE)*N20</f>
        <v>0</v>
      </c>
      <c r="R20" s="9">
        <f>IF(O20="Ja",N20*AchtergrondElektra!B$8-Q20,0)</f>
        <v>0</v>
      </c>
      <c r="S20" s="17"/>
      <c r="T20" s="20"/>
      <c r="U20" s="9"/>
      <c r="V20" s="9"/>
      <c r="W20" s="9"/>
      <c r="X20" s="9"/>
      <c r="Y20" s="9"/>
      <c r="Z20" s="9"/>
      <c r="AA20" s="9"/>
      <c r="AB20" s="8">
        <f>VLOOKUP(M20,AchtergrondElektra!A$2:F$8,6,FALSE)*N20*M$12*M$11</f>
        <v>0</v>
      </c>
      <c r="AC20" s="8">
        <f>IF(O20="Ja",(VLOOKUP(M$17,AchtergrondElektra!A$2:F$8,6,FALSE)-VLOOKUP(M20,AchtergrondElektra!A$2:F$8,6,FALSE))*N20*M$12*M$11,0)</f>
        <v>0</v>
      </c>
    </row>
    <row r="21" spans="1:30" ht="12.75" customHeight="1" x14ac:dyDescent="0.2">
      <c r="A21" s="9"/>
      <c r="B21" s="105"/>
      <c r="C21" s="106"/>
      <c r="D21" s="106"/>
      <c r="E21" s="106"/>
      <c r="F21" s="106"/>
      <c r="G21" s="106"/>
      <c r="H21" s="106"/>
      <c r="I21" s="107"/>
      <c r="J21" s="11"/>
      <c r="K21" s="9"/>
      <c r="L21" s="9"/>
      <c r="M21" s="22" t="s">
        <v>24</v>
      </c>
      <c r="N21" s="23"/>
      <c r="O21" s="25"/>
      <c r="P21" s="9"/>
      <c r="Q21" s="9">
        <f>VLOOKUP(M21,AchtergrondElektra!$A$2:$B$14,2,FALSE)*N21</f>
        <v>0</v>
      </c>
      <c r="R21" s="9">
        <f>IF(O21="Ja",N21*AchtergrondElektra!B$8-Q21,0)</f>
        <v>0</v>
      </c>
      <c r="S21" s="17"/>
      <c r="T21" s="20"/>
      <c r="U21" s="9"/>
      <c r="V21" s="9"/>
      <c r="W21" s="9"/>
      <c r="X21" s="9"/>
      <c r="Y21" s="9"/>
      <c r="Z21" s="9"/>
      <c r="AA21" s="9"/>
      <c r="AB21" s="8">
        <f>VLOOKUP(M21,AchtergrondElektra!A$2:F$8,6,FALSE)*N21*M$12*M$11</f>
        <v>0</v>
      </c>
      <c r="AC21" s="8">
        <f>IF(O21="Ja",(VLOOKUP(M$17,AchtergrondElektra!A$2:F$8,6,FALSE)-VLOOKUP(M21,AchtergrondElektra!A$2:F$8,6,FALSE))*N21*M$12*M$11,0)</f>
        <v>0</v>
      </c>
    </row>
    <row r="22" spans="1:30" ht="12.75" customHeight="1" thickBot="1" x14ac:dyDescent="0.25">
      <c r="A22" s="9"/>
      <c r="B22" s="105"/>
      <c r="C22" s="106"/>
      <c r="D22" s="106"/>
      <c r="E22" s="106"/>
      <c r="F22" s="106"/>
      <c r="G22" s="106"/>
      <c r="H22" s="106"/>
      <c r="I22" s="107"/>
      <c r="J22" s="11"/>
      <c r="K22" s="9"/>
      <c r="L22" s="9"/>
      <c r="M22" s="26" t="s">
        <v>24</v>
      </c>
      <c r="N22" s="27"/>
      <c r="O22" s="28"/>
      <c r="P22" s="9"/>
      <c r="Q22" s="29">
        <f>VLOOKUP(M22,AchtergrondElektra!$A$2:$B$14,2,FALSE)*N22</f>
        <v>0</v>
      </c>
      <c r="R22" s="41">
        <f>IF(O22="Ja",N22*AchtergrondElektra!B$8-Q22,0)</f>
        <v>0</v>
      </c>
      <c r="S22" s="30"/>
      <c r="T22" s="31"/>
      <c r="U22" s="29"/>
      <c r="V22" s="9"/>
      <c r="W22" s="9"/>
      <c r="X22" s="9"/>
      <c r="Y22" s="9"/>
      <c r="Z22" s="9"/>
      <c r="AA22" s="9"/>
      <c r="AB22" s="8">
        <f>VLOOKUP(M22,AchtergrondElektra!A$2:F$8,6,FALSE)*N22*M$12*M$11</f>
        <v>0</v>
      </c>
      <c r="AC22" s="8">
        <f>IF(O22="Ja",(VLOOKUP(M$17,AchtergrondElektra!A$2:F$8,6,FALSE)-VLOOKUP(M22,AchtergrondElektra!A$2:F$8,6,FALSE))*N22*M$12*M$11,0)</f>
        <v>0</v>
      </c>
    </row>
    <row r="23" spans="1:30" ht="12.75" customHeight="1" thickTop="1" x14ac:dyDescent="0.2">
      <c r="A23" s="9"/>
      <c r="B23" s="105"/>
      <c r="C23" s="106"/>
      <c r="D23" s="106"/>
      <c r="E23" s="106"/>
      <c r="F23" s="106"/>
      <c r="G23" s="106"/>
      <c r="H23" s="106"/>
      <c r="I23" s="107"/>
      <c r="J23" s="11"/>
      <c r="K23" s="9"/>
      <c r="L23" s="9"/>
      <c r="M23" s="9"/>
      <c r="N23" s="9"/>
      <c r="O23" s="9"/>
      <c r="P23" s="9"/>
      <c r="Q23" s="9">
        <f>SUM(Q17:Q22)</f>
        <v>0.432</v>
      </c>
      <c r="R23" s="9">
        <f>SUM(R17:R22)</f>
        <v>0</v>
      </c>
      <c r="S23" s="17">
        <f>AchtergrondElektra!B8</f>
        <v>0.432</v>
      </c>
      <c r="T23" s="20">
        <f>S23-Q23</f>
        <v>0</v>
      </c>
      <c r="U23" s="43">
        <f>(T23)*(M12*10^6)*M11</f>
        <v>0</v>
      </c>
      <c r="V23" s="9">
        <f>U23/1000</f>
        <v>0</v>
      </c>
      <c r="W23" s="9">
        <f>R23*M11*M12*1000</f>
        <v>0</v>
      </c>
      <c r="X23" s="9"/>
      <c r="Y23" s="9"/>
      <c r="Z23" s="9"/>
      <c r="AA23" s="9"/>
    </row>
    <row r="24" spans="1:30" ht="12.75" customHeight="1" x14ac:dyDescent="0.2">
      <c r="A24" s="9"/>
      <c r="B24" s="105"/>
      <c r="C24" s="106"/>
      <c r="D24" s="106"/>
      <c r="E24" s="106"/>
      <c r="F24" s="106"/>
      <c r="G24" s="106"/>
      <c r="H24" s="106"/>
      <c r="I24" s="107"/>
      <c r="J24" s="11"/>
      <c r="K24" s="9"/>
      <c r="L24" s="9"/>
      <c r="M24" s="9"/>
      <c r="N24" s="9"/>
      <c r="O24" s="9"/>
      <c r="P24" s="9"/>
      <c r="Q24" s="9"/>
      <c r="R24" s="9"/>
      <c r="S24" s="9"/>
      <c r="T24" s="9"/>
      <c r="U24" s="43"/>
      <c r="V24" s="9"/>
      <c r="W24" s="9"/>
      <c r="X24" s="9"/>
      <c r="Y24" s="9"/>
      <c r="Z24" s="9"/>
      <c r="AA24" s="9"/>
    </row>
    <row r="25" spans="1:30" ht="12.75" customHeight="1" x14ac:dyDescent="0.2">
      <c r="A25" s="9"/>
      <c r="B25" s="105"/>
      <c r="C25" s="106"/>
      <c r="D25" s="106"/>
      <c r="E25" s="106"/>
      <c r="F25" s="106"/>
      <c r="G25" s="106"/>
      <c r="H25" s="106"/>
      <c r="I25" s="107"/>
      <c r="J25" s="11"/>
      <c r="K25" s="9"/>
      <c r="L25" s="9"/>
      <c r="M25" s="9"/>
      <c r="N25" s="9"/>
      <c r="O25" s="9"/>
      <c r="P25" s="9"/>
      <c r="Q25" s="9"/>
      <c r="R25" s="9"/>
      <c r="S25" s="9"/>
      <c r="T25" s="9"/>
      <c r="U25" s="32"/>
      <c r="V25" s="9"/>
      <c r="W25" s="9"/>
      <c r="X25" s="9"/>
      <c r="Y25" s="9"/>
      <c r="Z25" s="9"/>
      <c r="AA25" s="9"/>
    </row>
    <row r="26" spans="1:30" ht="12.75" customHeight="1" x14ac:dyDescent="0.2">
      <c r="A26" s="9"/>
      <c r="B26" s="105"/>
      <c r="C26" s="106"/>
      <c r="D26" s="106"/>
      <c r="E26" s="106"/>
      <c r="F26" s="106"/>
      <c r="G26" s="106"/>
      <c r="H26" s="106"/>
      <c r="I26" s="107"/>
      <c r="J26" s="11"/>
      <c r="K26" s="9"/>
      <c r="L26" s="9"/>
      <c r="M26" s="9"/>
      <c r="N26" s="9"/>
      <c r="O26" s="9"/>
      <c r="P26" s="9"/>
      <c r="Q26" s="9"/>
      <c r="R26" s="9"/>
      <c r="S26" s="9"/>
      <c r="T26" s="9"/>
      <c r="U26" s="32"/>
      <c r="V26" s="9"/>
      <c r="W26" s="9"/>
      <c r="X26" s="9"/>
      <c r="Y26" s="9"/>
      <c r="Z26" s="9"/>
      <c r="AA26" s="9"/>
    </row>
    <row r="27" spans="1:30" ht="12.75" customHeight="1" thickBot="1" x14ac:dyDescent="0.25">
      <c r="A27" s="9"/>
      <c r="B27" s="105"/>
      <c r="C27" s="106"/>
      <c r="D27" s="106"/>
      <c r="E27" s="106"/>
      <c r="F27" s="106"/>
      <c r="G27" s="106"/>
      <c r="H27" s="106"/>
      <c r="I27" s="107"/>
      <c r="J27" s="11"/>
      <c r="K27" s="13" t="s">
        <v>25</v>
      </c>
      <c r="L27" s="9"/>
      <c r="M27" s="34" t="s">
        <v>26</v>
      </c>
      <c r="N27" s="34" t="s">
        <v>27</v>
      </c>
      <c r="O27" s="9"/>
      <c r="P27" s="9"/>
      <c r="Q27" s="9"/>
      <c r="R27" s="9"/>
      <c r="S27" s="9"/>
      <c r="T27" s="32"/>
      <c r="U27" s="32"/>
      <c r="V27" s="9"/>
      <c r="W27" s="9"/>
      <c r="X27" s="9"/>
      <c r="Y27" s="9"/>
      <c r="Z27" s="9"/>
      <c r="AA27" s="9"/>
    </row>
    <row r="28" spans="1:30" ht="12.75" customHeight="1" x14ac:dyDescent="0.2">
      <c r="A28" s="9"/>
      <c r="B28" s="105"/>
      <c r="C28" s="106"/>
      <c r="D28" s="106"/>
      <c r="E28" s="106"/>
      <c r="F28" s="106"/>
      <c r="G28" s="106"/>
      <c r="H28" s="106"/>
      <c r="I28" s="107"/>
      <c r="J28" s="11"/>
      <c r="K28" s="11" t="s">
        <v>28</v>
      </c>
      <c r="L28" s="11"/>
      <c r="M28" s="42">
        <f>IF(OR(M18 &lt;&gt; "-", M19 &lt;&gt; "-", M20 &lt;&gt; "-",M21 &lt;&gt; "-",M22 &lt;&gt; "-"),T23,0)</f>
        <v>0</v>
      </c>
      <c r="N28" s="42">
        <f>IF(OR(M18&lt;&gt;"-",M19&lt;&gt;"-",M20&lt;&gt;"-",M21&lt;&gt;"-",M22&lt;&gt;"-"),R23,0)</f>
        <v>0</v>
      </c>
      <c r="O28" s="9"/>
      <c r="P28" s="9"/>
      <c r="Q28" s="9"/>
      <c r="R28" s="9"/>
      <c r="S28" s="9"/>
      <c r="T28" s="9"/>
      <c r="U28" s="9"/>
      <c r="V28" s="9"/>
      <c r="W28" s="9"/>
      <c r="X28" s="9"/>
      <c r="Y28" s="9"/>
      <c r="Z28" s="9"/>
      <c r="AA28" s="9"/>
    </row>
    <row r="29" spans="1:30" ht="14.25" x14ac:dyDescent="0.25">
      <c r="A29" s="9"/>
      <c r="B29" s="105"/>
      <c r="C29" s="106"/>
      <c r="D29" s="106"/>
      <c r="E29" s="106"/>
      <c r="F29" s="106"/>
      <c r="G29" s="106"/>
      <c r="H29" s="106"/>
      <c r="I29" s="107"/>
      <c r="J29" s="9"/>
      <c r="K29" s="9" t="s">
        <v>29</v>
      </c>
      <c r="L29" s="9"/>
      <c r="M29" s="44">
        <f>V23</f>
        <v>0</v>
      </c>
      <c r="N29" s="44">
        <f>W23</f>
        <v>0</v>
      </c>
      <c r="O29" s="9"/>
      <c r="P29" s="9"/>
      <c r="Q29" s="9"/>
      <c r="R29" s="9"/>
      <c r="S29" s="9"/>
      <c r="T29" s="9"/>
      <c r="U29" s="9"/>
      <c r="V29" s="9"/>
      <c r="W29" s="9"/>
      <c r="X29" s="9"/>
      <c r="Y29" s="9"/>
      <c r="Z29" s="9"/>
      <c r="AA29" s="9"/>
    </row>
    <row r="30" spans="1:30" x14ac:dyDescent="0.2">
      <c r="A30" s="9"/>
      <c r="B30" s="105"/>
      <c r="C30" s="106"/>
      <c r="D30" s="106"/>
      <c r="E30" s="106"/>
      <c r="F30" s="106"/>
      <c r="G30" s="106"/>
      <c r="H30" s="106"/>
      <c r="I30" s="107"/>
      <c r="J30" s="9"/>
      <c r="K30" s="11" t="s">
        <v>30</v>
      </c>
      <c r="L30" s="11"/>
      <c r="M30" s="35">
        <f>AD17-SUM(AB17:AB22)</f>
        <v>0</v>
      </c>
      <c r="N30" s="35">
        <f>SUM(AC18:AC22)</f>
        <v>0</v>
      </c>
      <c r="O30" s="9"/>
      <c r="P30" s="9"/>
      <c r="Q30" s="9"/>
      <c r="R30" s="9"/>
      <c r="S30" s="9"/>
      <c r="T30" s="9"/>
      <c r="U30" s="9"/>
      <c r="V30" s="9"/>
      <c r="W30" s="9"/>
      <c r="X30" s="9"/>
      <c r="Y30" s="9"/>
      <c r="Z30" s="9"/>
      <c r="AA30" s="9"/>
    </row>
    <row r="31" spans="1:30" x14ac:dyDescent="0.2">
      <c r="A31" s="9"/>
      <c r="B31" s="105"/>
      <c r="C31" s="106"/>
      <c r="D31" s="106"/>
      <c r="E31" s="106"/>
      <c r="F31" s="106"/>
      <c r="G31" s="106"/>
      <c r="H31" s="106"/>
      <c r="I31" s="107"/>
      <c r="J31" s="9"/>
      <c r="K31" s="9"/>
      <c r="L31" s="9"/>
      <c r="M31" s="9"/>
      <c r="N31" s="9"/>
      <c r="O31" s="9"/>
      <c r="P31" s="9"/>
      <c r="Q31" s="9"/>
      <c r="R31" s="9"/>
      <c r="S31" s="9"/>
      <c r="T31" s="9"/>
      <c r="U31" s="9"/>
      <c r="V31" s="9"/>
      <c r="W31" s="9"/>
      <c r="X31" s="9"/>
      <c r="Y31" s="9"/>
      <c r="Z31" s="9"/>
      <c r="AA31" s="9"/>
    </row>
    <row r="32" spans="1:30" x14ac:dyDescent="0.2">
      <c r="A32" s="9"/>
      <c r="B32" s="105"/>
      <c r="C32" s="106"/>
      <c r="D32" s="106"/>
      <c r="E32" s="106"/>
      <c r="F32" s="106"/>
      <c r="G32" s="106"/>
      <c r="H32" s="106"/>
      <c r="I32" s="107"/>
      <c r="J32" s="9"/>
      <c r="K32" s="9"/>
      <c r="L32" s="9"/>
      <c r="M32" s="9"/>
      <c r="N32" s="9"/>
      <c r="O32" s="9"/>
      <c r="P32" s="9"/>
      <c r="Q32" s="9"/>
      <c r="R32" s="9"/>
      <c r="S32" s="9"/>
      <c r="T32" s="9"/>
      <c r="U32" s="9"/>
      <c r="V32" s="9"/>
      <c r="W32" s="9"/>
      <c r="X32" s="9"/>
      <c r="Y32" s="9"/>
      <c r="Z32" s="9"/>
      <c r="AA32" s="9"/>
    </row>
    <row r="33" spans="1:27" x14ac:dyDescent="0.2">
      <c r="A33" s="9"/>
      <c r="B33" s="105"/>
      <c r="C33" s="106"/>
      <c r="D33" s="106"/>
      <c r="E33" s="106"/>
      <c r="F33" s="106"/>
      <c r="G33" s="106"/>
      <c r="H33" s="106"/>
      <c r="I33" s="107"/>
      <c r="J33" s="9"/>
      <c r="K33" s="9"/>
      <c r="L33" s="9"/>
      <c r="M33" s="9"/>
      <c r="N33" s="9"/>
      <c r="O33" s="9"/>
      <c r="P33" s="9"/>
      <c r="Q33" s="9"/>
      <c r="R33" s="9"/>
      <c r="S33" s="9"/>
      <c r="T33" s="9"/>
      <c r="U33" s="9"/>
      <c r="V33" s="9"/>
      <c r="W33" s="9"/>
      <c r="X33" s="9"/>
      <c r="Y33" s="9"/>
      <c r="Z33" s="9"/>
      <c r="AA33" s="9"/>
    </row>
    <row r="34" spans="1:27" x14ac:dyDescent="0.2">
      <c r="A34" s="9"/>
      <c r="B34" s="105"/>
      <c r="C34" s="106"/>
      <c r="D34" s="106"/>
      <c r="E34" s="106"/>
      <c r="F34" s="106"/>
      <c r="G34" s="106"/>
      <c r="H34" s="106"/>
      <c r="I34" s="107"/>
      <c r="J34" s="9"/>
      <c r="K34" s="9"/>
      <c r="L34" s="9"/>
      <c r="M34" s="9"/>
      <c r="N34" s="9"/>
      <c r="O34" s="9"/>
      <c r="P34" s="9"/>
      <c r="Q34" s="9"/>
      <c r="R34" s="9"/>
      <c r="S34" s="9"/>
      <c r="T34" s="9"/>
      <c r="U34" s="9"/>
      <c r="V34" s="9"/>
      <c r="W34" s="9"/>
      <c r="X34" s="9"/>
      <c r="Y34" s="9"/>
      <c r="Z34" s="9"/>
      <c r="AA34" s="9"/>
    </row>
    <row r="35" spans="1:27" x14ac:dyDescent="0.2">
      <c r="A35" s="9"/>
      <c r="B35" s="105"/>
      <c r="C35" s="106"/>
      <c r="D35" s="106"/>
      <c r="E35" s="106"/>
      <c r="F35" s="106"/>
      <c r="G35" s="106"/>
      <c r="H35" s="106"/>
      <c r="I35" s="107"/>
      <c r="J35" s="9"/>
      <c r="K35" s="9"/>
      <c r="L35" s="9"/>
      <c r="M35" s="9"/>
      <c r="N35" s="9"/>
      <c r="O35" s="9"/>
      <c r="P35" s="9"/>
      <c r="Q35" s="9"/>
      <c r="R35" s="9"/>
      <c r="S35" s="9"/>
      <c r="T35" s="9"/>
      <c r="U35" s="9"/>
      <c r="V35" s="9"/>
      <c r="W35" s="9"/>
      <c r="X35" s="9"/>
      <c r="Y35" s="9"/>
      <c r="Z35" s="9"/>
      <c r="AA35" s="9"/>
    </row>
    <row r="36" spans="1:27" x14ac:dyDescent="0.2">
      <c r="A36" s="9"/>
      <c r="B36" s="105"/>
      <c r="C36" s="106"/>
      <c r="D36" s="106"/>
      <c r="E36" s="106"/>
      <c r="F36" s="106"/>
      <c r="G36" s="106"/>
      <c r="H36" s="106"/>
      <c r="I36" s="107"/>
      <c r="J36" s="9"/>
      <c r="K36" s="9"/>
      <c r="L36" s="9"/>
      <c r="M36" s="9"/>
      <c r="N36" s="9"/>
      <c r="O36" s="9"/>
      <c r="P36" s="9"/>
      <c r="Q36" s="9"/>
      <c r="R36" s="9"/>
      <c r="S36" s="9"/>
      <c r="T36" s="9"/>
      <c r="U36" s="9"/>
      <c r="V36" s="9"/>
      <c r="W36" s="9"/>
      <c r="X36" s="9"/>
      <c r="Y36" s="9"/>
      <c r="Z36" s="9"/>
      <c r="AA36" s="9"/>
    </row>
    <row r="37" spans="1:27" x14ac:dyDescent="0.2">
      <c r="A37" s="9"/>
      <c r="B37" s="105"/>
      <c r="C37" s="106"/>
      <c r="D37" s="106"/>
      <c r="E37" s="106"/>
      <c r="F37" s="106"/>
      <c r="G37" s="106"/>
      <c r="H37" s="106"/>
      <c r="I37" s="107"/>
      <c r="J37" s="9"/>
      <c r="K37" s="9"/>
      <c r="L37" s="9"/>
      <c r="M37" s="9"/>
      <c r="N37" s="9"/>
      <c r="O37" s="9"/>
      <c r="P37" s="9"/>
      <c r="Q37" s="9"/>
      <c r="R37" s="9"/>
      <c r="S37" s="9"/>
      <c r="T37" s="9"/>
      <c r="U37" s="9"/>
      <c r="V37" s="9"/>
      <c r="W37" s="9"/>
      <c r="X37" s="9"/>
      <c r="Y37" s="9"/>
      <c r="Z37" s="9"/>
      <c r="AA37" s="9"/>
    </row>
    <row r="38" spans="1:27" x14ac:dyDescent="0.2">
      <c r="A38" s="9"/>
      <c r="B38" s="105"/>
      <c r="C38" s="106"/>
      <c r="D38" s="106"/>
      <c r="E38" s="106"/>
      <c r="F38" s="106"/>
      <c r="G38" s="106"/>
      <c r="H38" s="106"/>
      <c r="I38" s="107"/>
      <c r="J38" s="9"/>
      <c r="K38" s="9"/>
      <c r="L38" s="9"/>
      <c r="M38" s="9"/>
      <c r="N38" s="9"/>
      <c r="O38" s="9"/>
      <c r="P38" s="9"/>
      <c r="Q38" s="9"/>
      <c r="R38" s="9"/>
      <c r="S38" s="9"/>
      <c r="T38" s="9"/>
      <c r="U38" s="9"/>
      <c r="V38" s="9"/>
      <c r="W38" s="9"/>
      <c r="X38" s="9"/>
      <c r="Y38" s="9"/>
      <c r="Z38" s="9"/>
      <c r="AA38" s="9"/>
    </row>
    <row r="39" spans="1:27" x14ac:dyDescent="0.2">
      <c r="A39" s="9"/>
      <c r="B39" s="105"/>
      <c r="C39" s="106"/>
      <c r="D39" s="106"/>
      <c r="E39" s="106"/>
      <c r="F39" s="106"/>
      <c r="G39" s="106"/>
      <c r="H39" s="106"/>
      <c r="I39" s="107"/>
      <c r="J39" s="9"/>
      <c r="K39" s="9"/>
      <c r="L39" s="9"/>
      <c r="M39" s="9"/>
      <c r="N39" s="9"/>
      <c r="O39" s="9"/>
      <c r="P39" s="9"/>
      <c r="Q39" s="9"/>
      <c r="R39" s="9"/>
      <c r="S39" s="9"/>
      <c r="T39" s="9"/>
      <c r="U39" s="9"/>
      <c r="V39" s="9"/>
      <c r="W39" s="9"/>
      <c r="X39" s="9"/>
      <c r="Y39" s="9"/>
      <c r="Z39" s="9"/>
      <c r="AA39" s="9"/>
    </row>
    <row r="40" spans="1:27" x14ac:dyDescent="0.2">
      <c r="A40" s="9"/>
      <c r="B40" s="105"/>
      <c r="C40" s="106"/>
      <c r="D40" s="106"/>
      <c r="E40" s="106"/>
      <c r="F40" s="106"/>
      <c r="G40" s="106"/>
      <c r="H40" s="106"/>
      <c r="I40" s="107"/>
      <c r="J40" s="9"/>
      <c r="K40" s="9"/>
      <c r="L40" s="9"/>
      <c r="M40" s="9"/>
      <c r="N40" s="9"/>
      <c r="O40" s="9"/>
      <c r="P40" s="9"/>
      <c r="Q40" s="9"/>
      <c r="R40" s="9"/>
      <c r="S40" s="9"/>
      <c r="T40" s="9"/>
      <c r="U40" s="9"/>
      <c r="V40" s="9"/>
      <c r="W40" s="9"/>
      <c r="X40" s="9"/>
      <c r="Y40" s="9"/>
      <c r="Z40" s="9"/>
      <c r="AA40" s="9"/>
    </row>
    <row r="41" spans="1:27" x14ac:dyDescent="0.2">
      <c r="A41" s="9"/>
      <c r="B41" s="108"/>
      <c r="C41" s="109"/>
      <c r="D41" s="109"/>
      <c r="E41" s="109"/>
      <c r="F41" s="109"/>
      <c r="G41" s="109"/>
      <c r="H41" s="109"/>
      <c r="I41" s="110"/>
      <c r="J41" s="9"/>
      <c r="K41" s="9"/>
      <c r="L41" s="9"/>
      <c r="M41" s="9"/>
      <c r="N41" s="9"/>
      <c r="O41" s="9"/>
      <c r="P41" s="9"/>
      <c r="Q41" s="9"/>
      <c r="R41" s="9"/>
      <c r="S41" s="9"/>
      <c r="T41" s="9"/>
      <c r="U41" s="9"/>
      <c r="V41" s="9"/>
      <c r="W41" s="9"/>
      <c r="X41" s="9"/>
      <c r="Y41" s="9"/>
      <c r="Z41" s="9"/>
      <c r="AA41" s="9"/>
    </row>
    <row r="42" spans="1:27" x14ac:dyDescent="0.2">
      <c r="A42" s="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idden="1" x14ac:dyDescent="0.2">
      <c r="A43" s="9"/>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hidden="1" x14ac:dyDescent="0.2">
      <c r="A44" s="9"/>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hidden="1" x14ac:dyDescent="0.2">
      <c r="A45" s="9"/>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hidden="1" x14ac:dyDescent="0.2">
      <c r="A46" s="9"/>
      <c r="B46" s="9"/>
      <c r="C46" s="9"/>
      <c r="D46" s="9"/>
      <c r="E46" s="9"/>
      <c r="F46" s="9"/>
      <c r="G46" s="9"/>
      <c r="H46" s="9"/>
      <c r="I46" s="9"/>
      <c r="J46" s="9"/>
      <c r="K46" s="9"/>
      <c r="L46" s="36"/>
      <c r="M46" s="9"/>
      <c r="N46" s="9"/>
      <c r="O46" s="9"/>
      <c r="P46" s="9"/>
      <c r="Q46" s="9"/>
      <c r="R46" s="9"/>
      <c r="S46" s="9"/>
      <c r="T46" s="9"/>
      <c r="U46" s="9"/>
      <c r="V46" s="9"/>
      <c r="W46" s="9"/>
      <c r="X46" s="9"/>
      <c r="Y46" s="9"/>
      <c r="Z46" s="9"/>
      <c r="AA46" s="9"/>
    </row>
  </sheetData>
  <sheetProtection algorithmName="SHA-512" hashValue="e/Y0GsPyUNqeb7R4o9TOck8e/PDuVNNiBlAev/yA5UbjTRGBoMXdk1ryccdxAdzI2uS0D7qcc80/utsClkbl4A==" saltValue="7+iC44l6luqzaEYyg8m6Kw==" spinCount="100000" sheet="1" objects="1" scenarios="1"/>
  <mergeCells count="5">
    <mergeCell ref="B2:O2"/>
    <mergeCell ref="M10:N10"/>
    <mergeCell ref="M11:N11"/>
    <mergeCell ref="M12:N12"/>
    <mergeCell ref="B5:I41"/>
  </mergeCells>
  <conditionalFormatting sqref="M28:N28 T23:T27">
    <cfRule type="cellIs" dxfId="17" priority="9" operator="lessThan">
      <formula>0</formula>
    </cfRule>
    <cfRule type="cellIs" dxfId="16" priority="10" operator="greaterThan">
      <formula>0</formula>
    </cfRule>
  </conditionalFormatting>
  <conditionalFormatting sqref="U23:U27">
    <cfRule type="cellIs" dxfId="15" priority="8" operator="greaterThan">
      <formula>0</formula>
    </cfRule>
  </conditionalFormatting>
  <conditionalFormatting sqref="M30:N30">
    <cfRule type="cellIs" dxfId="14" priority="3" operator="lessThan">
      <formula>0</formula>
    </cfRule>
    <cfRule type="cellIs" dxfId="13" priority="4" operator="greaterThan">
      <formula>0</formula>
    </cfRule>
    <cfRule type="cellIs" dxfId="12" priority="6" operator="greaterThan">
      <formula>0</formula>
    </cfRule>
  </conditionalFormatting>
  <conditionalFormatting sqref="M29:N29">
    <cfRule type="cellIs" dxfId="11" priority="2" operator="greaterThan">
      <formula>0</formula>
    </cfRule>
  </conditionalFormatting>
  <dataValidations count="5">
    <dataValidation type="decimal" operator="greaterThan" allowBlank="1" showInputMessage="1" showErrorMessage="1" error="Alleen getallen toegestaan" sqref="M11:M12" xr:uid="{00000000-0002-0000-0000-000000000000}">
      <formula1>0</formula1>
    </dataValidation>
    <dataValidation type="decimal" allowBlank="1" showInputMessage="1" showErrorMessage="1" error="Alleen getallen tussen 0% en 100% toegestaan" sqref="N18:N22" xr:uid="{00000000-0002-0000-0000-000001000000}">
      <formula1>0</formula1>
      <formula2>1</formula2>
    </dataValidation>
    <dataValidation type="decimal" operator="greaterThan" allowBlank="1" showInputMessage="1" showErrorMessage="1" error="Totaal moet op 100% uitkomen" sqref="N17:O17" xr:uid="{00000000-0002-0000-0000-000002000000}">
      <formula1>0</formula1>
    </dataValidation>
    <dataValidation type="list" allowBlank="1" showInputMessage="1" showErrorMessage="1" error="Alleen getallen tussen 0% en 100% toegestaan" sqref="O18:O22" xr:uid="{00000000-0002-0000-0000-000003000000}">
      <formula1>"Ja,Nee, '"</formula1>
    </dataValidation>
    <dataValidation allowBlank="1" showInputMessage="1" showErrorMessage="1" promptTitle="Groene stroom" prompt="Heeft u groene stroom, kijk dan goed op het stroometiket. Hierop staat de herkomst en de bron van de geleverde groene stroom (de zogenaamde Garantie van Oorsprong (GvO)). Vermeld deze bron en herkomst duidelijk in rapportages." sqref="M17" xr:uid="{BA384A6C-22B0-41AF-BB63-6B57B12FFED8}"/>
  </dataValidations>
  <pageMargins left="0.7" right="0.7" top="0.75" bottom="0.75" header="0.3" footer="0.3"/>
  <pageSetup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AchtergrondElektra!$A$2:$A$8</xm:f>
          </x14:formula1>
          <xm:sqref>M18:M22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E39"/>
  <sheetViews>
    <sheetView workbookViewId="0">
      <selection activeCell="M12" sqref="M12"/>
    </sheetView>
  </sheetViews>
  <sheetFormatPr defaultColWidth="0" defaultRowHeight="12.75" customHeight="1" zeroHeight="1" x14ac:dyDescent="0.2"/>
  <cols>
    <col min="1" max="1" width="3.83203125" style="8" customWidth="1"/>
    <col min="2" max="7" width="9.33203125" style="8" customWidth="1"/>
    <col min="8" max="8" width="9.1640625" style="8" customWidth="1"/>
    <col min="9" max="9" width="13.5" style="8" customWidth="1"/>
    <col min="10" max="10" width="9.33203125" style="8" customWidth="1"/>
    <col min="11" max="11" width="72.1640625" style="8" customWidth="1"/>
    <col min="12" max="12" width="5" style="8" customWidth="1"/>
    <col min="13" max="13" width="30.33203125" style="8" bestFit="1" customWidth="1"/>
    <col min="14" max="14" width="18.1640625" style="8" bestFit="1" customWidth="1"/>
    <col min="15" max="15" width="21.33203125" style="8" bestFit="1" customWidth="1"/>
    <col min="16" max="16" width="15.5" style="8" customWidth="1"/>
    <col min="17" max="17" width="15.5" style="8" hidden="1" customWidth="1"/>
    <col min="18" max="18" width="20.1640625" style="8" hidden="1" customWidth="1"/>
    <col min="19" max="19" width="27.33203125" style="8" hidden="1" customWidth="1"/>
    <col min="20" max="20" width="10.1640625" style="8" hidden="1" customWidth="1"/>
    <col min="21" max="22" width="25.1640625" style="8" hidden="1" customWidth="1"/>
    <col min="23" max="23" width="30.5" style="8" hidden="1" customWidth="1"/>
    <col min="24" max="24" width="9.33203125" style="8" hidden="1" customWidth="1"/>
    <col min="25" max="25" width="11.83203125" style="8" hidden="1" customWidth="1"/>
    <col min="26" max="31" width="0" style="8" hidden="1" customWidth="1"/>
    <col min="32" max="16384" width="9.33203125" style="8" hidden="1"/>
  </cols>
  <sheetData>
    <row r="1" spans="1:31" x14ac:dyDescent="0.2">
      <c r="A1" s="7"/>
      <c r="B1" s="7"/>
      <c r="C1" s="7"/>
      <c r="D1" s="7"/>
      <c r="E1" s="7"/>
      <c r="F1" s="7"/>
      <c r="G1" s="7"/>
      <c r="H1" s="7"/>
      <c r="I1" s="7"/>
      <c r="J1" s="7"/>
      <c r="K1" s="7"/>
      <c r="L1" s="7"/>
      <c r="M1" s="7"/>
      <c r="N1" s="7"/>
      <c r="O1" s="7"/>
      <c r="P1" s="7"/>
      <c r="Q1" s="7"/>
    </row>
    <row r="2" spans="1:31" ht="18" x14ac:dyDescent="0.2">
      <c r="A2" s="9"/>
      <c r="B2" s="97" t="s">
        <v>31</v>
      </c>
      <c r="C2" s="97"/>
      <c r="D2" s="97"/>
      <c r="E2" s="97"/>
      <c r="F2" s="97"/>
      <c r="G2" s="97"/>
      <c r="H2" s="97"/>
      <c r="I2" s="97"/>
      <c r="J2" s="97"/>
      <c r="K2" s="97"/>
      <c r="L2" s="97"/>
      <c r="M2" s="97"/>
      <c r="N2" s="97"/>
      <c r="O2" s="97"/>
      <c r="P2" s="7"/>
      <c r="Q2" s="7"/>
      <c r="R2" s="7"/>
      <c r="S2" s="7"/>
      <c r="T2" s="9"/>
      <c r="U2" s="9"/>
      <c r="V2" s="9"/>
      <c r="W2" s="9"/>
      <c r="X2" s="9"/>
      <c r="Y2" s="9"/>
      <c r="Z2" s="9"/>
      <c r="AA2" s="9"/>
      <c r="AB2" s="9"/>
      <c r="AC2" s="9"/>
    </row>
    <row r="3" spans="1:31" x14ac:dyDescent="0.2">
      <c r="A3" s="9"/>
      <c r="B3" s="9"/>
      <c r="C3" s="9"/>
      <c r="D3" s="9"/>
      <c r="E3" s="9"/>
      <c r="F3" s="7"/>
      <c r="G3" s="7"/>
      <c r="H3" s="7"/>
      <c r="I3" s="7"/>
      <c r="J3" s="7"/>
      <c r="K3" s="7"/>
      <c r="L3" s="7"/>
      <c r="M3" s="37" t="s">
        <v>194</v>
      </c>
      <c r="N3" s="7"/>
      <c r="O3" s="7"/>
      <c r="P3" s="7"/>
      <c r="Q3" s="7"/>
      <c r="R3" s="7"/>
      <c r="S3" s="7"/>
      <c r="T3" s="9"/>
      <c r="U3" s="9"/>
      <c r="V3" s="9"/>
      <c r="W3" s="9"/>
      <c r="X3" s="9"/>
      <c r="Y3" s="9"/>
      <c r="Z3" s="9"/>
      <c r="AA3" s="9"/>
      <c r="AB3" s="9"/>
      <c r="AC3" s="9"/>
    </row>
    <row r="4" spans="1:31" x14ac:dyDescent="0.2">
      <c r="A4" s="9"/>
      <c r="B4" s="9"/>
      <c r="C4" s="9"/>
      <c r="D4" s="9"/>
      <c r="E4" s="9"/>
      <c r="F4" s="7"/>
      <c r="G4" s="7"/>
      <c r="H4" s="7"/>
      <c r="I4" s="7"/>
      <c r="J4" s="7"/>
      <c r="K4" s="7"/>
      <c r="L4" s="7"/>
      <c r="M4" s="38">
        <v>44837</v>
      </c>
      <c r="N4" s="7"/>
      <c r="O4" s="7"/>
      <c r="P4" s="7"/>
      <c r="Q4" s="7"/>
      <c r="R4" s="7"/>
      <c r="S4" s="7"/>
      <c r="T4" s="9"/>
      <c r="U4" s="9"/>
      <c r="V4" s="9"/>
      <c r="W4" s="9"/>
      <c r="X4" s="9"/>
      <c r="Y4" s="9"/>
      <c r="Z4" s="9"/>
      <c r="AA4" s="9"/>
      <c r="AB4" s="9"/>
      <c r="AC4" s="9"/>
    </row>
    <row r="5" spans="1:31" ht="12.75" customHeight="1" x14ac:dyDescent="0.2">
      <c r="A5" s="9"/>
      <c r="B5" s="102" t="s">
        <v>206</v>
      </c>
      <c r="C5" s="103"/>
      <c r="D5" s="103"/>
      <c r="E5" s="103"/>
      <c r="F5" s="103"/>
      <c r="G5" s="103"/>
      <c r="H5" s="103"/>
      <c r="I5" s="104"/>
      <c r="J5" s="7"/>
      <c r="K5" s="7"/>
      <c r="L5" s="7"/>
      <c r="M5" s="37" t="s">
        <v>1</v>
      </c>
      <c r="N5" s="7"/>
      <c r="O5" s="7"/>
      <c r="P5" s="7"/>
      <c r="Q5" s="7"/>
      <c r="R5" s="7"/>
      <c r="S5" s="7"/>
      <c r="T5" s="9"/>
      <c r="U5" s="9"/>
      <c r="V5" s="9"/>
      <c r="W5" s="9"/>
      <c r="X5" s="9"/>
      <c r="Y5" s="9"/>
      <c r="Z5" s="9"/>
      <c r="AA5" s="9"/>
      <c r="AB5" s="9"/>
      <c r="AC5" s="9"/>
    </row>
    <row r="6" spans="1:31" x14ac:dyDescent="0.2">
      <c r="A6" s="9"/>
      <c r="B6" s="105"/>
      <c r="C6" s="106"/>
      <c r="D6" s="106"/>
      <c r="E6" s="106"/>
      <c r="F6" s="106"/>
      <c r="G6" s="106"/>
      <c r="H6" s="106"/>
      <c r="I6" s="107"/>
      <c r="J6" s="7"/>
      <c r="K6" s="7"/>
      <c r="L6" s="7"/>
      <c r="M6" s="7"/>
      <c r="N6" s="7"/>
      <c r="O6" s="7"/>
      <c r="P6" s="7"/>
      <c r="Q6" s="7"/>
      <c r="R6" s="7"/>
      <c r="S6" s="7"/>
      <c r="T6" s="9"/>
      <c r="U6" s="9"/>
      <c r="V6" s="9"/>
      <c r="W6" s="9"/>
      <c r="X6" s="9"/>
      <c r="Y6" s="9"/>
      <c r="Z6" s="9"/>
      <c r="AA6" s="9"/>
      <c r="AB6" s="9"/>
      <c r="AC6" s="9"/>
    </row>
    <row r="7" spans="1:31" x14ac:dyDescent="0.2">
      <c r="A7" s="9"/>
      <c r="B7" s="105"/>
      <c r="C7" s="106"/>
      <c r="D7" s="106"/>
      <c r="E7" s="106"/>
      <c r="F7" s="106"/>
      <c r="G7" s="106"/>
      <c r="H7" s="106"/>
      <c r="I7" s="107"/>
      <c r="J7" s="7"/>
      <c r="K7" s="7"/>
      <c r="L7" s="7"/>
      <c r="M7" s="7"/>
      <c r="N7" s="7"/>
      <c r="O7" s="7"/>
      <c r="P7" s="7"/>
      <c r="Q7" s="7"/>
      <c r="R7" s="7"/>
      <c r="S7" s="7"/>
      <c r="T7" s="9"/>
      <c r="U7" s="9"/>
      <c r="V7" s="9"/>
      <c r="W7" s="9"/>
      <c r="X7" s="9"/>
      <c r="Y7" s="9"/>
      <c r="Z7" s="9"/>
      <c r="AA7" s="9"/>
      <c r="AB7" s="9"/>
      <c r="AC7" s="9"/>
    </row>
    <row r="8" spans="1:31" ht="12.75" customHeight="1" x14ac:dyDescent="0.2">
      <c r="A8" s="9"/>
      <c r="B8" s="105"/>
      <c r="C8" s="106"/>
      <c r="D8" s="106"/>
      <c r="E8" s="106"/>
      <c r="F8" s="106"/>
      <c r="G8" s="106"/>
      <c r="H8" s="106"/>
      <c r="I8" s="107"/>
      <c r="J8" s="7"/>
      <c r="K8" s="7"/>
      <c r="L8" s="7"/>
      <c r="M8" s="7"/>
      <c r="N8" s="7"/>
      <c r="O8" s="7"/>
      <c r="P8" s="9"/>
      <c r="Q8" s="9"/>
      <c r="R8" s="7"/>
      <c r="S8" s="7"/>
      <c r="T8" s="9"/>
      <c r="U8" s="9"/>
      <c r="V8" s="9"/>
      <c r="W8" s="9"/>
      <c r="X8" s="9"/>
      <c r="Y8" s="9"/>
      <c r="Z8" s="9"/>
      <c r="AA8" s="9"/>
      <c r="AB8" s="9"/>
      <c r="AC8" s="9"/>
    </row>
    <row r="9" spans="1:31" x14ac:dyDescent="0.2">
      <c r="A9" s="9"/>
      <c r="B9" s="105"/>
      <c r="C9" s="106"/>
      <c r="D9" s="106"/>
      <c r="E9" s="106"/>
      <c r="F9" s="106"/>
      <c r="G9" s="106"/>
      <c r="H9" s="106"/>
      <c r="I9" s="107"/>
      <c r="J9" s="7"/>
      <c r="K9" s="10" t="s">
        <v>2</v>
      </c>
      <c r="L9" s="7"/>
      <c r="M9" s="7"/>
      <c r="N9" s="7"/>
      <c r="O9" s="7"/>
      <c r="P9" s="9"/>
      <c r="Q9" s="9"/>
      <c r="R9" s="7"/>
      <c r="S9" s="7"/>
      <c r="T9" s="9"/>
      <c r="U9" s="9"/>
      <c r="V9" s="9"/>
      <c r="W9" s="9"/>
      <c r="X9" s="9"/>
      <c r="Y9" s="9"/>
      <c r="Z9" s="9"/>
      <c r="AA9" s="9"/>
      <c r="AB9" s="9"/>
      <c r="AC9" s="9"/>
    </row>
    <row r="10" spans="1:31" x14ac:dyDescent="0.2">
      <c r="A10" s="9"/>
      <c r="B10" s="105"/>
      <c r="C10" s="106"/>
      <c r="D10" s="106"/>
      <c r="E10" s="106"/>
      <c r="F10" s="106"/>
      <c r="G10" s="106"/>
      <c r="H10" s="106"/>
      <c r="I10" s="107"/>
      <c r="J10" s="9"/>
      <c r="K10" s="9" t="s">
        <v>3</v>
      </c>
      <c r="L10" s="7"/>
      <c r="M10" s="98"/>
      <c r="N10" s="99"/>
      <c r="O10" s="7"/>
      <c r="P10" s="9"/>
      <c r="Q10" s="9"/>
      <c r="R10" s="9"/>
      <c r="S10" s="9"/>
      <c r="T10" s="9"/>
      <c r="U10" s="9"/>
      <c r="V10" s="9"/>
      <c r="W10" s="9"/>
      <c r="X10" s="9"/>
      <c r="Y10" s="9"/>
      <c r="Z10" s="9"/>
      <c r="AA10" s="9"/>
      <c r="AB10" s="9"/>
      <c r="AC10" s="9"/>
    </row>
    <row r="11" spans="1:31" ht="12.75" customHeight="1" x14ac:dyDescent="0.2">
      <c r="A11" s="9"/>
      <c r="B11" s="105"/>
      <c r="C11" s="106"/>
      <c r="D11" s="106"/>
      <c r="E11" s="106"/>
      <c r="F11" s="106"/>
      <c r="G11" s="106"/>
      <c r="H11" s="106"/>
      <c r="I11" s="107"/>
      <c r="J11" s="9"/>
      <c r="K11" s="11" t="s">
        <v>4</v>
      </c>
      <c r="L11" s="7"/>
      <c r="M11" s="100"/>
      <c r="N11" s="101"/>
      <c r="O11" s="7"/>
      <c r="P11" s="9"/>
      <c r="Q11" s="9"/>
      <c r="R11" s="9"/>
      <c r="S11" s="9"/>
      <c r="T11" s="9"/>
      <c r="U11" s="9"/>
      <c r="V11" s="9"/>
      <c r="W11" s="9"/>
      <c r="X11" s="9"/>
      <c r="Y11" s="9"/>
      <c r="Z11" s="9"/>
      <c r="AA11" s="9"/>
      <c r="AB11" s="9"/>
      <c r="AC11" s="9"/>
    </row>
    <row r="12" spans="1:31" ht="12.75" customHeight="1" x14ac:dyDescent="0.2">
      <c r="A12" s="9"/>
      <c r="B12" s="105"/>
      <c r="C12" s="106"/>
      <c r="D12" s="106"/>
      <c r="E12" s="106"/>
      <c r="F12" s="106"/>
      <c r="G12" s="106"/>
      <c r="H12" s="106"/>
      <c r="I12" s="107"/>
      <c r="J12" s="9"/>
      <c r="K12" s="11"/>
      <c r="L12" s="11"/>
      <c r="M12" s="11"/>
      <c r="N12" s="11"/>
      <c r="O12" s="7"/>
      <c r="P12" s="9"/>
      <c r="Q12" s="9"/>
      <c r="R12" s="9"/>
      <c r="S12" s="9"/>
      <c r="T12" s="9"/>
      <c r="U12" s="9"/>
      <c r="V12" s="9"/>
      <c r="W12" s="9"/>
      <c r="X12" s="9"/>
      <c r="Y12" s="9"/>
      <c r="Z12" s="9"/>
      <c r="AA12" s="9"/>
      <c r="AB12" s="9"/>
      <c r="AC12" s="9"/>
    </row>
    <row r="13" spans="1:31" ht="16.5" customHeight="1" thickBot="1" x14ac:dyDescent="0.25">
      <c r="A13" s="9"/>
      <c r="B13" s="105"/>
      <c r="C13" s="106"/>
      <c r="D13" s="106"/>
      <c r="E13" s="106"/>
      <c r="F13" s="106"/>
      <c r="G13" s="106"/>
      <c r="H13" s="106"/>
      <c r="I13" s="107"/>
      <c r="J13" s="9"/>
      <c r="K13" s="13" t="s">
        <v>5</v>
      </c>
      <c r="L13" s="9"/>
      <c r="M13" s="55" t="s">
        <v>32</v>
      </c>
      <c r="N13" s="48" t="s">
        <v>33</v>
      </c>
      <c r="O13" s="49" t="s">
        <v>34</v>
      </c>
      <c r="P13" s="9"/>
      <c r="Q13" s="9"/>
      <c r="R13" s="9"/>
      <c r="S13" s="9"/>
      <c r="T13" s="9"/>
      <c r="U13" s="9"/>
      <c r="V13" s="9"/>
      <c r="W13" s="9"/>
      <c r="X13" s="9"/>
      <c r="Y13" s="9"/>
      <c r="Z13" s="9"/>
      <c r="AA13" s="9"/>
      <c r="AB13" s="9"/>
      <c r="AC13" s="9"/>
    </row>
    <row r="14" spans="1:31" ht="12.75" customHeight="1" x14ac:dyDescent="0.2">
      <c r="A14" s="9"/>
      <c r="B14" s="105"/>
      <c r="C14" s="106"/>
      <c r="D14" s="106"/>
      <c r="E14" s="106"/>
      <c r="F14" s="106"/>
      <c r="G14" s="106"/>
      <c r="H14" s="106"/>
      <c r="I14" s="107"/>
      <c r="J14" s="9"/>
      <c r="K14" s="9" t="s">
        <v>35</v>
      </c>
      <c r="L14" s="9"/>
      <c r="M14" s="22"/>
      <c r="N14" s="39"/>
      <c r="O14" s="40"/>
      <c r="P14" s="9"/>
      <c r="Q14" s="9"/>
      <c r="R14" s="9"/>
      <c r="S14" s="9"/>
      <c r="T14" s="9"/>
      <c r="U14" s="9"/>
      <c r="V14" s="9"/>
      <c r="W14" s="9"/>
      <c r="X14" s="9"/>
      <c r="Y14" s="9"/>
      <c r="Z14" s="9"/>
      <c r="AA14" s="9"/>
      <c r="AB14" s="9"/>
      <c r="AC14" s="9"/>
    </row>
    <row r="15" spans="1:31" x14ac:dyDescent="0.2">
      <c r="A15" s="9"/>
      <c r="B15" s="105"/>
      <c r="C15" s="106"/>
      <c r="D15" s="106"/>
      <c r="E15" s="106"/>
      <c r="F15" s="106"/>
      <c r="G15" s="106"/>
      <c r="H15" s="106"/>
      <c r="I15" s="107"/>
      <c r="J15" s="11"/>
      <c r="K15" s="9"/>
      <c r="L15" s="9"/>
      <c r="M15" s="9"/>
      <c r="N15" s="9"/>
      <c r="O15" s="9"/>
      <c r="P15" s="9"/>
      <c r="Q15" s="9"/>
      <c r="R15" s="9"/>
      <c r="S15" s="9"/>
      <c r="T15" s="9"/>
      <c r="U15" s="9"/>
      <c r="V15" s="9"/>
      <c r="W15" s="33"/>
      <c r="X15" s="9"/>
      <c r="Y15" s="9"/>
      <c r="Z15" s="9"/>
      <c r="AA15" s="9"/>
      <c r="AB15" s="9"/>
      <c r="AC15" s="9"/>
    </row>
    <row r="16" spans="1:31" ht="16.5" customHeight="1" x14ac:dyDescent="0.2">
      <c r="A16" s="9"/>
      <c r="B16" s="105"/>
      <c r="C16" s="106"/>
      <c r="D16" s="106"/>
      <c r="E16" s="106"/>
      <c r="F16" s="106"/>
      <c r="G16" s="106"/>
      <c r="H16" s="106"/>
      <c r="I16" s="107"/>
      <c r="J16" s="11"/>
      <c r="K16" s="9"/>
      <c r="L16" s="9"/>
      <c r="M16" s="9"/>
      <c r="N16" s="9"/>
      <c r="O16" s="9"/>
      <c r="P16" s="9"/>
      <c r="Q16" s="9"/>
      <c r="R16" s="61" t="s">
        <v>36</v>
      </c>
      <c r="S16" s="61" t="s">
        <v>37</v>
      </c>
      <c r="T16" s="61" t="s">
        <v>38</v>
      </c>
      <c r="U16" s="61" t="s">
        <v>39</v>
      </c>
      <c r="V16" s="61" t="s">
        <v>40</v>
      </c>
      <c r="W16" s="61" t="s">
        <v>41</v>
      </c>
      <c r="X16" s="61"/>
      <c r="Y16" s="61"/>
      <c r="Z16" s="61"/>
      <c r="AA16" s="61"/>
      <c r="AB16" s="61"/>
      <c r="AC16" s="61"/>
      <c r="AD16" s="62"/>
      <c r="AE16" s="62"/>
    </row>
    <row r="17" spans="1:29" ht="12.75" customHeight="1" x14ac:dyDescent="0.2">
      <c r="A17" s="9"/>
      <c r="B17" s="105"/>
      <c r="C17" s="106"/>
      <c r="D17" s="106"/>
      <c r="E17" s="106"/>
      <c r="F17" s="106"/>
      <c r="G17" s="106"/>
      <c r="H17" s="106"/>
      <c r="I17" s="107"/>
      <c r="J17" s="11"/>
      <c r="K17" s="9"/>
      <c r="L17" s="9"/>
      <c r="M17" s="9"/>
      <c r="N17" s="9"/>
      <c r="O17" s="9"/>
      <c r="P17" s="9"/>
      <c r="Q17" s="61" t="s">
        <v>42</v>
      </c>
      <c r="R17" s="9">
        <f>M14*AchtergrondGas!C2*(1-N14)</f>
        <v>0</v>
      </c>
      <c r="S17" s="9">
        <f>M14*N14*AchtergrondGas!C4</f>
        <v>0</v>
      </c>
      <c r="T17" s="9">
        <f>O14*R17</f>
        <v>0</v>
      </c>
      <c r="U17" s="9">
        <f>M14*AchtergrondGas!C2</f>
        <v>0</v>
      </c>
      <c r="V17" s="9">
        <f>(U17-(S17+R17))*M11</f>
        <v>0</v>
      </c>
      <c r="W17" s="9">
        <f>(T17/1000)*M11</f>
        <v>0</v>
      </c>
      <c r="X17" s="9"/>
      <c r="Y17" s="9"/>
      <c r="Z17" s="9"/>
      <c r="AA17" s="9"/>
      <c r="AB17" s="9"/>
      <c r="AC17" s="9"/>
    </row>
    <row r="18" spans="1:29" ht="12.75" customHeight="1" x14ac:dyDescent="0.2">
      <c r="A18" s="9"/>
      <c r="B18" s="105"/>
      <c r="C18" s="106"/>
      <c r="D18" s="106"/>
      <c r="E18" s="106"/>
      <c r="F18" s="106"/>
      <c r="G18" s="106"/>
      <c r="H18" s="106"/>
      <c r="I18" s="107"/>
      <c r="J18" s="11"/>
      <c r="K18" s="9"/>
      <c r="L18" s="9"/>
      <c r="M18" s="9"/>
      <c r="N18" s="9"/>
      <c r="O18" s="9"/>
      <c r="P18" s="9"/>
      <c r="Q18" s="61" t="s">
        <v>43</v>
      </c>
      <c r="R18" s="9">
        <f>M14*AchtergrondGas!D14*(1-N14)</f>
        <v>0</v>
      </c>
      <c r="S18" s="9">
        <f>M14*N14*AchtergrondGas!C14</f>
        <v>0</v>
      </c>
      <c r="T18" s="9"/>
      <c r="U18" s="9">
        <f>M14*AchtergrondGas!D14</f>
        <v>0</v>
      </c>
      <c r="V18" s="9">
        <f>(U18-(S18+R18))*M11</f>
        <v>0</v>
      </c>
      <c r="W18" s="32"/>
      <c r="X18" s="9"/>
      <c r="Y18" s="9"/>
      <c r="Z18" s="9"/>
      <c r="AA18" s="9"/>
      <c r="AB18" s="9"/>
      <c r="AC18" s="9"/>
    </row>
    <row r="19" spans="1:29" ht="12.75" customHeight="1" thickBot="1" x14ac:dyDescent="0.25">
      <c r="A19" s="9"/>
      <c r="B19" s="105"/>
      <c r="C19" s="106"/>
      <c r="D19" s="106"/>
      <c r="E19" s="106"/>
      <c r="F19" s="106"/>
      <c r="G19" s="106"/>
      <c r="H19" s="106"/>
      <c r="I19" s="107"/>
      <c r="J19" s="11"/>
      <c r="K19" s="13" t="s">
        <v>25</v>
      </c>
      <c r="L19" s="9"/>
      <c r="M19" s="34" t="s">
        <v>26</v>
      </c>
      <c r="N19" s="9"/>
      <c r="O19" s="9"/>
      <c r="P19" s="9"/>
      <c r="Q19" s="9"/>
      <c r="R19" s="9"/>
      <c r="S19" s="9"/>
      <c r="T19" s="9"/>
      <c r="U19" s="9"/>
      <c r="V19" s="9"/>
      <c r="W19" s="32"/>
      <c r="X19" s="9"/>
      <c r="Y19" s="9"/>
      <c r="Z19" s="9"/>
      <c r="AA19" s="9"/>
      <c r="AB19" s="9"/>
      <c r="AC19" s="9"/>
    </row>
    <row r="20" spans="1:29" ht="12.75" customHeight="1" x14ac:dyDescent="0.2">
      <c r="A20" s="9"/>
      <c r="B20" s="105"/>
      <c r="C20" s="106"/>
      <c r="D20" s="106"/>
      <c r="E20" s="106"/>
      <c r="F20" s="106"/>
      <c r="G20" s="106"/>
      <c r="H20" s="106"/>
      <c r="I20" s="107"/>
      <c r="J20" s="11"/>
      <c r="K20" s="9" t="s">
        <v>44</v>
      </c>
      <c r="L20" s="9"/>
      <c r="M20" s="63">
        <f>V17/1000</f>
        <v>0</v>
      </c>
      <c r="N20" s="9"/>
      <c r="O20" s="9"/>
      <c r="P20" s="9"/>
      <c r="Q20" s="9"/>
      <c r="R20" s="9"/>
      <c r="S20" s="9"/>
      <c r="T20" s="9"/>
      <c r="U20" s="9"/>
      <c r="V20" s="9"/>
      <c r="W20" s="32"/>
      <c r="X20" s="9"/>
      <c r="Y20" s="9"/>
      <c r="Z20" s="9"/>
      <c r="AA20" s="9"/>
      <c r="AB20" s="9"/>
      <c r="AC20" s="9"/>
    </row>
    <row r="21" spans="1:29" ht="12.75" customHeight="1" x14ac:dyDescent="0.2">
      <c r="A21" s="9"/>
      <c r="B21" s="105"/>
      <c r="C21" s="106"/>
      <c r="D21" s="106"/>
      <c r="E21" s="106"/>
      <c r="F21" s="106"/>
      <c r="G21" s="106"/>
      <c r="H21" s="106"/>
      <c r="I21" s="107"/>
      <c r="J21" s="11"/>
      <c r="K21" s="9" t="s">
        <v>45</v>
      </c>
      <c r="L21" s="9"/>
      <c r="M21" s="63">
        <f>W17</f>
        <v>0</v>
      </c>
      <c r="N21" s="9"/>
      <c r="O21" s="9"/>
      <c r="P21" s="9"/>
      <c r="Q21" s="9"/>
      <c r="R21" s="9"/>
      <c r="S21" s="9"/>
      <c r="T21" s="9"/>
      <c r="U21" s="9"/>
      <c r="V21" s="9"/>
      <c r="W21" s="32"/>
      <c r="X21" s="9"/>
      <c r="Y21" s="9"/>
      <c r="Z21" s="9"/>
      <c r="AA21" s="9"/>
      <c r="AB21" s="9"/>
      <c r="AC21" s="9"/>
    </row>
    <row r="22" spans="1:29" ht="12.75" customHeight="1" x14ac:dyDescent="0.2">
      <c r="A22" s="9"/>
      <c r="B22" s="105"/>
      <c r="C22" s="106"/>
      <c r="D22" s="106"/>
      <c r="E22" s="106"/>
      <c r="F22" s="106"/>
      <c r="G22" s="106"/>
      <c r="H22" s="106"/>
      <c r="I22" s="107"/>
      <c r="J22" s="11"/>
      <c r="K22" s="11" t="s">
        <v>30</v>
      </c>
      <c r="L22" s="9"/>
      <c r="M22" s="64">
        <f>V18/1000</f>
        <v>0</v>
      </c>
      <c r="N22" s="9"/>
      <c r="O22" s="9"/>
      <c r="P22" s="9"/>
      <c r="Q22" s="9"/>
      <c r="R22" s="9"/>
      <c r="S22" s="9"/>
      <c r="T22" s="9"/>
      <c r="U22" s="32"/>
      <c r="V22" s="32"/>
      <c r="W22" s="32"/>
      <c r="X22" s="9"/>
      <c r="Y22" s="9"/>
      <c r="Z22" s="9"/>
      <c r="AA22" s="9"/>
      <c r="AB22" s="9"/>
      <c r="AC22" s="9"/>
    </row>
    <row r="23" spans="1:29" ht="12.75" customHeight="1" x14ac:dyDescent="0.2">
      <c r="A23" s="9"/>
      <c r="B23" s="105"/>
      <c r="C23" s="106"/>
      <c r="D23" s="106"/>
      <c r="E23" s="106"/>
      <c r="F23" s="106"/>
      <c r="G23" s="106"/>
      <c r="H23" s="106"/>
      <c r="I23" s="107"/>
      <c r="J23" s="9"/>
      <c r="K23" s="9"/>
      <c r="L23" s="9"/>
      <c r="M23" s="9"/>
      <c r="N23" s="9"/>
      <c r="O23" s="9"/>
      <c r="P23" s="9"/>
      <c r="Q23" s="9"/>
      <c r="R23" s="9"/>
      <c r="S23" s="9"/>
      <c r="T23" s="9"/>
      <c r="U23" s="9"/>
      <c r="V23" s="9"/>
      <c r="W23" s="9"/>
      <c r="X23" s="9"/>
      <c r="Y23" s="9"/>
      <c r="Z23" s="9"/>
      <c r="AA23" s="9"/>
      <c r="AB23" s="9"/>
      <c r="AC23" s="9"/>
    </row>
    <row r="24" spans="1:29" ht="12.75" customHeight="1" x14ac:dyDescent="0.2">
      <c r="A24" s="9"/>
      <c r="B24" s="105"/>
      <c r="C24" s="106"/>
      <c r="D24" s="106"/>
      <c r="E24" s="106"/>
      <c r="F24" s="106"/>
      <c r="G24" s="106"/>
      <c r="H24" s="106"/>
      <c r="I24" s="107"/>
      <c r="J24" s="9"/>
      <c r="K24" s="9"/>
      <c r="L24" s="9"/>
      <c r="M24" s="9"/>
      <c r="N24" s="9"/>
      <c r="O24" s="9"/>
      <c r="P24" s="9"/>
      <c r="Q24" s="9"/>
      <c r="R24" s="9"/>
      <c r="S24" s="9"/>
      <c r="T24" s="9"/>
      <c r="U24" s="9"/>
      <c r="V24" s="9"/>
      <c r="W24" s="9"/>
      <c r="X24" s="9"/>
      <c r="Y24" s="9"/>
      <c r="Z24" s="9"/>
      <c r="AA24" s="9"/>
      <c r="AB24" s="9"/>
      <c r="AC24" s="9"/>
    </row>
    <row r="25" spans="1:29" x14ac:dyDescent="0.2">
      <c r="A25" s="9"/>
      <c r="B25" s="105"/>
      <c r="C25" s="106"/>
      <c r="D25" s="106"/>
      <c r="E25" s="106"/>
      <c r="F25" s="106"/>
      <c r="G25" s="106"/>
      <c r="H25" s="106"/>
      <c r="I25" s="107"/>
      <c r="J25" s="9"/>
      <c r="K25" s="9"/>
      <c r="L25" s="9"/>
      <c r="M25" s="9"/>
      <c r="N25" s="9"/>
      <c r="O25" s="9"/>
      <c r="P25" s="9"/>
      <c r="Q25" s="9"/>
      <c r="R25" s="9"/>
      <c r="S25" s="9"/>
      <c r="T25" s="9"/>
      <c r="U25" s="9"/>
      <c r="V25" s="9"/>
      <c r="W25" s="9"/>
      <c r="X25" s="9"/>
      <c r="Y25" s="9"/>
      <c r="Z25" s="9"/>
      <c r="AA25" s="9"/>
      <c r="AB25" s="9"/>
      <c r="AC25" s="9"/>
    </row>
    <row r="26" spans="1:29" x14ac:dyDescent="0.2">
      <c r="A26" s="9"/>
      <c r="B26" s="105"/>
      <c r="C26" s="106"/>
      <c r="D26" s="106"/>
      <c r="E26" s="106"/>
      <c r="F26" s="106"/>
      <c r="G26" s="106"/>
      <c r="H26" s="106"/>
      <c r="I26" s="107"/>
      <c r="J26" s="9"/>
      <c r="K26" s="9"/>
      <c r="L26" s="9"/>
      <c r="M26" s="9"/>
      <c r="N26" s="9"/>
      <c r="O26" s="9"/>
      <c r="P26" s="9"/>
      <c r="Q26" s="9"/>
      <c r="R26" s="9"/>
      <c r="S26" s="9"/>
      <c r="T26" s="9"/>
      <c r="U26" s="9"/>
      <c r="V26" s="9"/>
      <c r="W26" s="9"/>
      <c r="X26" s="9"/>
      <c r="Y26" s="9"/>
      <c r="Z26" s="9"/>
      <c r="AA26" s="9"/>
      <c r="AB26" s="9"/>
      <c r="AC26" s="9"/>
    </row>
    <row r="27" spans="1:29" x14ac:dyDescent="0.2">
      <c r="A27" s="9"/>
      <c r="B27" s="105"/>
      <c r="C27" s="106"/>
      <c r="D27" s="106"/>
      <c r="E27" s="106"/>
      <c r="F27" s="106"/>
      <c r="G27" s="106"/>
      <c r="H27" s="106"/>
      <c r="I27" s="107"/>
      <c r="J27" s="9"/>
      <c r="K27" s="9"/>
      <c r="L27" s="9"/>
      <c r="M27" s="9"/>
      <c r="N27" s="9"/>
      <c r="O27" s="9"/>
      <c r="P27" s="9"/>
      <c r="Q27" s="9"/>
      <c r="R27" s="9"/>
      <c r="S27" s="9"/>
      <c r="T27" s="9"/>
      <c r="U27" s="9"/>
      <c r="V27" s="9"/>
      <c r="W27" s="9"/>
      <c r="X27" s="9"/>
      <c r="Y27" s="9"/>
      <c r="Z27" s="9"/>
      <c r="AA27" s="9"/>
      <c r="AB27" s="9"/>
      <c r="AC27" s="9"/>
    </row>
    <row r="28" spans="1:29" x14ac:dyDescent="0.2">
      <c r="A28" s="9"/>
      <c r="B28" s="105"/>
      <c r="C28" s="106"/>
      <c r="D28" s="106"/>
      <c r="E28" s="106"/>
      <c r="F28" s="106"/>
      <c r="G28" s="106"/>
      <c r="H28" s="106"/>
      <c r="I28" s="107"/>
      <c r="J28" s="9"/>
      <c r="K28" s="9"/>
      <c r="L28" s="9"/>
      <c r="M28" s="9"/>
      <c r="N28" s="9"/>
      <c r="O28" s="9"/>
      <c r="P28" s="9"/>
      <c r="Q28" s="9"/>
      <c r="R28" s="9"/>
      <c r="S28" s="9"/>
      <c r="T28" s="9"/>
      <c r="U28" s="9"/>
      <c r="V28" s="9"/>
      <c r="W28" s="9"/>
      <c r="X28" s="9"/>
      <c r="Y28" s="9"/>
      <c r="Z28" s="9"/>
      <c r="AA28" s="9"/>
      <c r="AB28" s="9"/>
      <c r="AC28" s="9"/>
    </row>
    <row r="29" spans="1:29" x14ac:dyDescent="0.2">
      <c r="A29" s="9"/>
      <c r="B29" s="105"/>
      <c r="C29" s="106"/>
      <c r="D29" s="106"/>
      <c r="E29" s="106"/>
      <c r="F29" s="106"/>
      <c r="G29" s="106"/>
      <c r="H29" s="106"/>
      <c r="I29" s="107"/>
      <c r="J29" s="9"/>
      <c r="K29" s="9"/>
      <c r="L29" s="9"/>
      <c r="M29" s="9"/>
      <c r="N29" s="9"/>
      <c r="O29" s="9"/>
      <c r="P29" s="9"/>
      <c r="Q29" s="9"/>
      <c r="R29" s="9"/>
      <c r="S29" s="9"/>
      <c r="T29" s="9"/>
      <c r="U29" s="9"/>
      <c r="V29" s="9"/>
      <c r="W29" s="9"/>
      <c r="X29" s="9"/>
      <c r="Y29" s="9"/>
      <c r="Z29" s="9"/>
      <c r="AA29" s="9"/>
      <c r="AB29" s="9"/>
      <c r="AC29" s="9"/>
    </row>
    <row r="30" spans="1:29" x14ac:dyDescent="0.2">
      <c r="A30" s="9"/>
      <c r="B30" s="105"/>
      <c r="C30" s="106"/>
      <c r="D30" s="106"/>
      <c r="E30" s="106"/>
      <c r="F30" s="106"/>
      <c r="G30" s="106"/>
      <c r="H30" s="106"/>
      <c r="I30" s="107"/>
      <c r="J30" s="9"/>
      <c r="K30" s="9"/>
      <c r="L30" s="9"/>
      <c r="M30" s="9"/>
      <c r="N30" s="9"/>
      <c r="O30" s="9"/>
      <c r="P30" s="9"/>
      <c r="Q30" s="9"/>
      <c r="R30" s="9"/>
      <c r="S30" s="9"/>
      <c r="T30" s="9"/>
      <c r="U30" s="9"/>
      <c r="V30" s="9"/>
      <c r="W30" s="9"/>
      <c r="X30" s="9"/>
      <c r="Y30" s="9"/>
      <c r="Z30" s="9"/>
      <c r="AA30" s="9"/>
      <c r="AB30" s="9"/>
      <c r="AC30" s="9"/>
    </row>
    <row r="31" spans="1:29" x14ac:dyDescent="0.2">
      <c r="A31" s="9"/>
      <c r="B31" s="105"/>
      <c r="C31" s="106"/>
      <c r="D31" s="106"/>
      <c r="E31" s="106"/>
      <c r="F31" s="106"/>
      <c r="G31" s="106"/>
      <c r="H31" s="106"/>
      <c r="I31" s="107"/>
      <c r="J31" s="9"/>
      <c r="K31" s="9"/>
      <c r="L31" s="9"/>
      <c r="M31" s="9"/>
      <c r="N31" s="9"/>
      <c r="O31" s="9"/>
      <c r="P31" s="9"/>
      <c r="Q31" s="9"/>
      <c r="R31" s="9"/>
      <c r="S31" s="9"/>
      <c r="T31" s="9"/>
      <c r="U31" s="9"/>
      <c r="V31" s="9"/>
      <c r="W31" s="9"/>
      <c r="X31" s="9"/>
      <c r="Y31" s="9"/>
      <c r="Z31" s="9"/>
      <c r="AA31" s="9"/>
      <c r="AB31" s="9"/>
      <c r="AC31" s="9"/>
    </row>
    <row r="32" spans="1:29" x14ac:dyDescent="0.2">
      <c r="A32" s="9"/>
      <c r="B32" s="105"/>
      <c r="C32" s="106"/>
      <c r="D32" s="106"/>
      <c r="E32" s="106"/>
      <c r="F32" s="106"/>
      <c r="G32" s="106"/>
      <c r="H32" s="106"/>
      <c r="I32" s="107"/>
      <c r="J32" s="9"/>
      <c r="K32" s="9"/>
      <c r="L32" s="9"/>
      <c r="M32" s="9"/>
      <c r="N32" s="9"/>
      <c r="O32" s="9"/>
      <c r="P32" s="9"/>
      <c r="Q32" s="9"/>
      <c r="R32" s="9"/>
      <c r="S32" s="9"/>
      <c r="T32" s="9"/>
      <c r="U32" s="9"/>
      <c r="V32" s="9"/>
      <c r="W32" s="9"/>
      <c r="X32" s="9"/>
      <c r="Y32" s="9"/>
      <c r="Z32" s="9"/>
      <c r="AA32" s="9"/>
      <c r="AB32" s="9"/>
      <c r="AC32" s="9"/>
    </row>
    <row r="33" spans="1:29" x14ac:dyDescent="0.2">
      <c r="A33" s="9"/>
      <c r="B33" s="105"/>
      <c r="C33" s="106"/>
      <c r="D33" s="106"/>
      <c r="E33" s="106"/>
      <c r="F33" s="106"/>
      <c r="G33" s="106"/>
      <c r="H33" s="106"/>
      <c r="I33" s="107"/>
      <c r="J33" s="9"/>
      <c r="K33" s="9"/>
      <c r="L33" s="9"/>
      <c r="M33" s="9"/>
      <c r="N33" s="9"/>
      <c r="O33" s="9"/>
      <c r="P33" s="9"/>
      <c r="Q33" s="9"/>
      <c r="R33" s="9"/>
      <c r="S33" s="9"/>
      <c r="T33" s="9"/>
      <c r="U33" s="9"/>
      <c r="V33" s="9"/>
      <c r="W33" s="9"/>
      <c r="X33" s="9"/>
      <c r="Y33" s="9"/>
      <c r="Z33" s="9"/>
      <c r="AA33" s="9"/>
      <c r="AB33" s="9"/>
      <c r="AC33" s="9"/>
    </row>
    <row r="34" spans="1:29" x14ac:dyDescent="0.2">
      <c r="A34" s="9"/>
      <c r="B34" s="108"/>
      <c r="C34" s="109"/>
      <c r="D34" s="109"/>
      <c r="E34" s="109"/>
      <c r="F34" s="109"/>
      <c r="G34" s="109"/>
      <c r="H34" s="109"/>
      <c r="I34" s="110"/>
      <c r="J34" s="9"/>
      <c r="K34" s="9"/>
      <c r="L34" s="9"/>
      <c r="M34" s="9"/>
      <c r="N34" s="9"/>
      <c r="O34" s="9"/>
      <c r="P34" s="9"/>
      <c r="Q34" s="9"/>
      <c r="R34" s="9"/>
      <c r="S34" s="9"/>
      <c r="T34" s="9"/>
      <c r="U34" s="9"/>
      <c r="V34" s="9"/>
      <c r="W34" s="9"/>
      <c r="X34" s="9"/>
      <c r="Y34" s="9"/>
      <c r="Z34" s="9"/>
      <c r="AA34" s="9"/>
      <c r="AB34" s="9"/>
      <c r="AC34" s="9"/>
    </row>
    <row r="35" spans="1:29" x14ac:dyDescent="0.2">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1:29" x14ac:dyDescent="0.2">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row>
    <row r="37" spans="1:29" x14ac:dyDescent="0.2">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row>
    <row r="38" spans="1:29"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row>
    <row r="39" spans="1:29" x14ac:dyDescent="0.2">
      <c r="A39" s="9"/>
      <c r="B39" s="9"/>
      <c r="C39" s="9"/>
      <c r="D39" s="9"/>
      <c r="E39" s="9"/>
      <c r="F39" s="9"/>
      <c r="G39" s="9"/>
      <c r="H39" s="9"/>
      <c r="I39" s="9"/>
      <c r="J39" s="9"/>
      <c r="K39" s="9"/>
      <c r="L39" s="36"/>
      <c r="M39" s="9"/>
      <c r="N39" s="9"/>
      <c r="O39" s="9"/>
      <c r="P39" s="9"/>
      <c r="Q39" s="9"/>
      <c r="R39" s="9"/>
      <c r="S39" s="9"/>
      <c r="T39" s="9"/>
      <c r="U39" s="9"/>
      <c r="V39" s="9"/>
      <c r="W39" s="9"/>
      <c r="X39" s="9"/>
      <c r="Y39" s="9"/>
      <c r="Z39" s="9"/>
      <c r="AA39" s="9"/>
      <c r="AB39" s="9"/>
      <c r="AC39" s="9"/>
    </row>
  </sheetData>
  <sheetProtection algorithmName="SHA-512" hashValue="KuTt/nXp5ut74oFBZqrgKn4795KuenMk92EaJBdS9LoQJD9Xg3E0CyCFG9tS85F/a3pkw6v6XWiKl2P5CKSBoQ==" saltValue="KzIbTaKr0hQfPiNCcKhHBA==" spinCount="100000" sheet="1" objects="1" scenarios="1"/>
  <mergeCells count="4">
    <mergeCell ref="B2:O2"/>
    <mergeCell ref="B5:I34"/>
    <mergeCell ref="M10:N10"/>
    <mergeCell ref="M11:N11"/>
  </mergeCells>
  <conditionalFormatting sqref="U19:V22 U15:V15">
    <cfRule type="cellIs" dxfId="10" priority="10" operator="lessThan">
      <formula>0</formula>
    </cfRule>
    <cfRule type="cellIs" dxfId="9" priority="11" operator="greaterThan">
      <formula>0</formula>
    </cfRule>
  </conditionalFormatting>
  <conditionalFormatting sqref="W18:W22 M20">
    <cfRule type="cellIs" dxfId="8" priority="9" operator="greaterThan">
      <formula>0</formula>
    </cfRule>
  </conditionalFormatting>
  <conditionalFormatting sqref="M21">
    <cfRule type="cellIs" dxfId="7" priority="4" operator="greaterThan">
      <formula>0</formula>
    </cfRule>
  </conditionalFormatting>
  <conditionalFormatting sqref="M22">
    <cfRule type="cellIs" dxfId="6" priority="1" operator="lessThan">
      <formula>0</formula>
    </cfRule>
    <cfRule type="cellIs" dxfId="5" priority="2" operator="greaterThan">
      <formula>0</formula>
    </cfRule>
    <cfRule type="cellIs" dxfId="4" priority="3" operator="greaterThan">
      <formula>0</formula>
    </cfRule>
  </conditionalFormatting>
  <dataValidations count="3">
    <dataValidation type="whole" operator="equal" allowBlank="1" showInputMessage="1" sqref="W15" xr:uid="{00000000-0002-0000-0100-000000000000}">
      <formula1>1</formula1>
    </dataValidation>
    <dataValidation type="decimal" operator="greaterThan" allowBlank="1" showInputMessage="1" showErrorMessage="1" error="Alleen getallen toegestaan" sqref="M11" xr:uid="{00000000-0002-0000-0100-000001000000}">
      <formula1>0</formula1>
    </dataValidation>
    <dataValidation allowBlank="1" showInputMessage="1" showErrorMessage="1" promptTitle="Alleen aardgas" prompt="CO2 compensatie vindt alleen plaats op aardgas, compensatie van biogas is hier niet in meegenomen." sqref="K21" xr:uid="{D41AA5C5-4F2F-4A1C-8E68-A225F82326A0}"/>
  </dataValidation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E9DA2-B83C-40C8-8624-731FF76B9D8C}">
  <sheetPr codeName="Sheet5"/>
  <dimension ref="A1:AG56"/>
  <sheetViews>
    <sheetView topLeftCell="A7" zoomScaleNormal="100" workbookViewId="0">
      <selection activeCell="M13" sqref="M13:N13"/>
    </sheetView>
  </sheetViews>
  <sheetFormatPr defaultColWidth="0" defaultRowHeight="0" customHeight="1" zeroHeight="1" x14ac:dyDescent="0.2"/>
  <cols>
    <col min="1" max="1" width="3.83203125" style="8" customWidth="1"/>
    <col min="2" max="7" width="9.33203125" style="8" customWidth="1"/>
    <col min="8" max="8" width="9.1640625" style="8" customWidth="1"/>
    <col min="9" max="9" width="31.6640625" style="8" customWidth="1"/>
    <col min="10" max="10" width="13.5" style="8" customWidth="1"/>
    <col min="11" max="11" width="88.1640625" style="8" customWidth="1"/>
    <col min="12" max="12" width="6.6640625" style="8" customWidth="1"/>
    <col min="13" max="13" width="42.83203125" style="8" customWidth="1"/>
    <col min="14" max="14" width="18.1640625" style="8" bestFit="1" customWidth="1"/>
    <col min="15" max="16" width="18.1640625" style="8" customWidth="1"/>
    <col min="17" max="17" width="21.33203125" style="8" hidden="1" customWidth="1"/>
    <col min="18" max="22" width="23" style="8" hidden="1" customWidth="1"/>
    <col min="23" max="24" width="27.33203125" style="8" hidden="1" customWidth="1"/>
    <col min="25" max="25" width="10.1640625" style="8" hidden="1" customWidth="1"/>
    <col min="26" max="26" width="25.1640625" style="8" hidden="1" customWidth="1"/>
    <col min="27" max="27" width="30.5" style="8" hidden="1" customWidth="1"/>
    <col min="28" max="28" width="9.33203125" style="8" hidden="1" customWidth="1"/>
    <col min="29" max="29" width="20.1640625" style="8" hidden="1" customWidth="1"/>
    <col min="30" max="16384" width="9.33203125" style="8" hidden="1"/>
  </cols>
  <sheetData>
    <row r="1" spans="1:33" ht="12.75" x14ac:dyDescent="0.2">
      <c r="A1" s="7"/>
      <c r="B1" s="7"/>
      <c r="C1" s="7"/>
      <c r="D1" s="7"/>
      <c r="E1" s="7"/>
      <c r="F1" s="7"/>
      <c r="G1" s="7"/>
      <c r="H1" s="7"/>
      <c r="I1" s="7"/>
      <c r="J1" s="7"/>
      <c r="K1" s="7"/>
      <c r="L1" s="7"/>
      <c r="M1" s="7"/>
      <c r="N1" s="7"/>
      <c r="O1" s="7"/>
      <c r="P1" s="7"/>
      <c r="Q1" s="7"/>
      <c r="R1" s="7"/>
      <c r="S1" s="7"/>
      <c r="T1" s="7"/>
      <c r="U1" s="7"/>
      <c r="V1" s="7"/>
    </row>
    <row r="2" spans="1:33" ht="24" customHeight="1" x14ac:dyDescent="0.2">
      <c r="A2" s="9"/>
      <c r="B2" s="111" t="s">
        <v>46</v>
      </c>
      <c r="C2" s="111"/>
      <c r="D2" s="111"/>
      <c r="E2" s="111"/>
      <c r="F2" s="111"/>
      <c r="G2" s="111"/>
      <c r="H2" s="111"/>
      <c r="I2" s="111"/>
      <c r="J2" s="111"/>
      <c r="K2" s="111"/>
      <c r="L2" s="111"/>
      <c r="M2" s="111"/>
      <c r="N2" s="111"/>
      <c r="O2" s="111"/>
      <c r="P2" s="7"/>
      <c r="Q2" s="7"/>
      <c r="R2" s="7"/>
      <c r="S2" s="7"/>
      <c r="T2" s="7"/>
      <c r="U2" s="7"/>
      <c r="V2" s="7"/>
      <c r="W2" s="7"/>
      <c r="X2" s="7"/>
      <c r="Y2" s="9"/>
      <c r="Z2" s="9"/>
      <c r="AA2" s="9"/>
      <c r="AB2" s="9"/>
      <c r="AC2" s="9"/>
      <c r="AD2" s="9"/>
      <c r="AE2" s="9"/>
      <c r="AF2" s="9"/>
      <c r="AG2" s="9"/>
    </row>
    <row r="3" spans="1:33" ht="12.75" x14ac:dyDescent="0.2">
      <c r="A3" s="9"/>
      <c r="B3" s="9"/>
      <c r="C3" s="9"/>
      <c r="D3" s="9"/>
      <c r="E3" s="9"/>
      <c r="F3" s="7"/>
      <c r="G3" s="7"/>
      <c r="H3" s="7"/>
      <c r="I3" s="7"/>
      <c r="J3" s="7"/>
      <c r="K3" s="7"/>
      <c r="L3" s="7"/>
      <c r="M3" s="37" t="s">
        <v>194</v>
      </c>
      <c r="N3" s="7"/>
      <c r="O3" s="7"/>
      <c r="P3" s="7"/>
      <c r="Q3" s="7"/>
      <c r="R3" s="7"/>
      <c r="S3" s="7"/>
      <c r="T3" s="7"/>
      <c r="U3" s="7"/>
      <c r="V3" s="7"/>
      <c r="W3" s="7"/>
      <c r="X3" s="7"/>
      <c r="Y3" s="9"/>
      <c r="Z3" s="9"/>
      <c r="AA3" s="9"/>
      <c r="AB3" s="9"/>
      <c r="AC3" s="9"/>
      <c r="AD3" s="9"/>
      <c r="AE3" s="9"/>
      <c r="AF3" s="9"/>
      <c r="AG3" s="9"/>
    </row>
    <row r="4" spans="1:33" ht="12.75" x14ac:dyDescent="0.2">
      <c r="A4" s="9"/>
      <c r="B4" s="9"/>
      <c r="C4" s="9"/>
      <c r="D4" s="9"/>
      <c r="E4" s="9"/>
      <c r="F4" s="7"/>
      <c r="G4" s="7"/>
      <c r="H4" s="7"/>
      <c r="I4" s="7"/>
      <c r="J4" s="7"/>
      <c r="K4" s="7"/>
      <c r="L4" s="7"/>
      <c r="M4" s="38">
        <v>44837</v>
      </c>
      <c r="N4" s="7"/>
      <c r="O4" s="7"/>
      <c r="P4" s="7"/>
      <c r="Q4" s="7"/>
      <c r="R4" s="7"/>
      <c r="S4" s="7"/>
      <c r="T4" s="7"/>
      <c r="U4" s="7"/>
      <c r="V4" s="7"/>
      <c r="W4" s="7"/>
      <c r="X4" s="7"/>
      <c r="Y4" s="9"/>
      <c r="Z4" s="9"/>
      <c r="AA4" s="9"/>
      <c r="AB4" s="9"/>
      <c r="AC4" s="9"/>
      <c r="AD4" s="9"/>
      <c r="AE4" s="9"/>
      <c r="AF4" s="9"/>
      <c r="AG4" s="9"/>
    </row>
    <row r="5" spans="1:33" ht="12.75" customHeight="1" x14ac:dyDescent="0.2">
      <c r="A5" s="9"/>
      <c r="B5" s="102" t="s">
        <v>207</v>
      </c>
      <c r="C5" s="103"/>
      <c r="D5" s="103"/>
      <c r="E5" s="103"/>
      <c r="F5" s="103"/>
      <c r="G5" s="103"/>
      <c r="H5" s="103"/>
      <c r="I5" s="104"/>
      <c r="J5" s="7"/>
      <c r="K5" s="7"/>
      <c r="L5" s="7"/>
      <c r="M5" s="37" t="s">
        <v>1</v>
      </c>
      <c r="N5" s="7"/>
      <c r="O5" s="7"/>
      <c r="P5" s="7"/>
      <c r="Q5" s="7"/>
      <c r="R5" s="7"/>
      <c r="S5" s="7"/>
      <c r="T5" s="7"/>
      <c r="U5" s="7"/>
      <c r="V5" s="7"/>
      <c r="W5" s="7"/>
      <c r="X5" s="7"/>
      <c r="Y5" s="9"/>
      <c r="Z5" s="9"/>
      <c r="AA5" s="9"/>
      <c r="AB5" s="9"/>
      <c r="AC5" s="9"/>
      <c r="AD5" s="9"/>
      <c r="AE5" s="9"/>
      <c r="AF5" s="9"/>
      <c r="AG5" s="9"/>
    </row>
    <row r="6" spans="1:33" ht="12.75" x14ac:dyDescent="0.2">
      <c r="A6" s="9"/>
      <c r="B6" s="105"/>
      <c r="C6" s="106"/>
      <c r="D6" s="106"/>
      <c r="E6" s="106"/>
      <c r="F6" s="106"/>
      <c r="G6" s="106"/>
      <c r="H6" s="106"/>
      <c r="I6" s="107"/>
      <c r="J6" s="7"/>
      <c r="K6" s="7"/>
      <c r="L6" s="7"/>
      <c r="M6" s="7"/>
      <c r="N6" s="7"/>
      <c r="O6" s="7"/>
      <c r="P6" s="7"/>
      <c r="Q6" s="7"/>
      <c r="R6" s="7"/>
      <c r="S6" s="7"/>
      <c r="T6" s="7"/>
      <c r="U6" s="7"/>
      <c r="V6" s="7"/>
      <c r="W6" s="7"/>
      <c r="X6" s="7"/>
      <c r="Y6" s="9"/>
      <c r="Z6" s="9"/>
      <c r="AA6" s="9"/>
      <c r="AB6" s="9"/>
      <c r="AC6" s="9"/>
      <c r="AD6" s="9"/>
      <c r="AE6" s="9"/>
      <c r="AF6" s="9"/>
      <c r="AG6" s="9"/>
    </row>
    <row r="7" spans="1:33" ht="12.75" x14ac:dyDescent="0.2">
      <c r="A7" s="9"/>
      <c r="B7" s="105"/>
      <c r="C7" s="106"/>
      <c r="D7" s="106"/>
      <c r="E7" s="106"/>
      <c r="F7" s="106"/>
      <c r="G7" s="106"/>
      <c r="H7" s="106"/>
      <c r="I7" s="107"/>
      <c r="J7" s="7"/>
      <c r="K7" s="7"/>
      <c r="L7" s="7"/>
      <c r="M7" s="7"/>
      <c r="N7" s="7"/>
      <c r="O7" s="7"/>
      <c r="P7" s="7"/>
      <c r="Q7" s="7"/>
      <c r="R7" s="7"/>
      <c r="S7" s="7"/>
      <c r="T7" s="7"/>
      <c r="U7" s="7"/>
      <c r="V7" s="7"/>
      <c r="W7" s="7"/>
      <c r="X7" s="7"/>
      <c r="Y7" s="9"/>
      <c r="Z7" s="9"/>
      <c r="AA7" s="9"/>
      <c r="AB7" s="9"/>
      <c r="AC7" s="9"/>
      <c r="AD7" s="9"/>
      <c r="AE7" s="9"/>
      <c r="AF7" s="9"/>
      <c r="AG7" s="9"/>
    </row>
    <row r="8" spans="1:33" ht="12.75" customHeight="1" x14ac:dyDescent="0.2">
      <c r="A8" s="9"/>
      <c r="B8" s="105"/>
      <c r="C8" s="106"/>
      <c r="D8" s="106"/>
      <c r="E8" s="106"/>
      <c r="F8" s="106"/>
      <c r="G8" s="106"/>
      <c r="H8" s="106"/>
      <c r="I8" s="107"/>
      <c r="J8" s="7"/>
      <c r="K8" s="7"/>
      <c r="L8" s="7"/>
      <c r="M8" s="7"/>
      <c r="N8" s="7"/>
      <c r="O8" s="7"/>
      <c r="P8" s="7"/>
      <c r="Q8" s="7"/>
      <c r="R8" s="9"/>
      <c r="S8" s="9"/>
      <c r="T8" s="9"/>
      <c r="U8" s="9"/>
      <c r="V8" s="9"/>
      <c r="W8" s="7"/>
      <c r="X8" s="7"/>
      <c r="Y8" s="9"/>
      <c r="Z8" s="9"/>
      <c r="AA8" s="9"/>
      <c r="AB8" s="9"/>
      <c r="AC8" s="9"/>
      <c r="AD8" s="9"/>
      <c r="AE8" s="9"/>
      <c r="AF8" s="9"/>
      <c r="AG8" s="9"/>
    </row>
    <row r="9" spans="1:33" ht="38.25" x14ac:dyDescent="0.2">
      <c r="A9" s="9"/>
      <c r="B9" s="105"/>
      <c r="C9" s="106"/>
      <c r="D9" s="106"/>
      <c r="E9" s="106"/>
      <c r="F9" s="106"/>
      <c r="G9" s="106"/>
      <c r="H9" s="106"/>
      <c r="I9" s="107"/>
      <c r="J9" s="7"/>
      <c r="K9" s="74" t="s">
        <v>2</v>
      </c>
      <c r="L9" s="7"/>
      <c r="M9" s="74" t="s">
        <v>154</v>
      </c>
      <c r="N9" s="7"/>
      <c r="O9" s="75" t="s">
        <v>155</v>
      </c>
      <c r="P9" s="7"/>
      <c r="Q9" s="7"/>
      <c r="R9" s="9"/>
      <c r="S9" s="9"/>
      <c r="T9" s="9"/>
      <c r="U9" s="9"/>
      <c r="V9" s="9"/>
      <c r="W9" s="7"/>
      <c r="X9" s="7"/>
      <c r="Y9" s="9"/>
      <c r="Z9" s="9"/>
      <c r="AA9" s="9"/>
      <c r="AB9" s="9"/>
      <c r="AC9" s="9"/>
      <c r="AD9" s="9"/>
      <c r="AE9" s="9"/>
      <c r="AF9" s="9"/>
      <c r="AG9" s="9"/>
    </row>
    <row r="10" spans="1:33" ht="12.75" x14ac:dyDescent="0.2">
      <c r="A10" s="9"/>
      <c r="B10" s="105"/>
      <c r="C10" s="106"/>
      <c r="D10" s="106"/>
      <c r="E10" s="106"/>
      <c r="F10" s="106"/>
      <c r="G10" s="106"/>
      <c r="H10" s="106"/>
      <c r="I10" s="107"/>
      <c r="J10" s="9"/>
      <c r="K10" s="9" t="s">
        <v>3</v>
      </c>
      <c r="L10" s="7"/>
      <c r="M10" s="98"/>
      <c r="N10" s="99"/>
      <c r="O10" s="7"/>
      <c r="P10" s="7"/>
      <c r="Q10" s="7"/>
      <c r="R10" s="9"/>
      <c r="S10" s="9"/>
      <c r="T10" s="9"/>
      <c r="U10" s="9"/>
      <c r="V10" s="9"/>
      <c r="W10" s="9"/>
      <c r="X10" s="9"/>
      <c r="Y10" s="9"/>
      <c r="Z10" s="9"/>
      <c r="AA10" s="9"/>
      <c r="AB10" s="9"/>
      <c r="AC10" s="9"/>
      <c r="AD10" s="9"/>
      <c r="AE10" s="9"/>
      <c r="AF10" s="9"/>
      <c r="AG10" s="9"/>
    </row>
    <row r="11" spans="1:33" ht="12.75" customHeight="1" x14ac:dyDescent="0.2">
      <c r="A11" s="9"/>
      <c r="B11" s="105"/>
      <c r="C11" s="106"/>
      <c r="D11" s="106"/>
      <c r="E11" s="106"/>
      <c r="F11" s="106"/>
      <c r="G11" s="106"/>
      <c r="H11" s="106"/>
      <c r="I11" s="107"/>
      <c r="J11" s="9"/>
      <c r="K11" s="11" t="s">
        <v>47</v>
      </c>
      <c r="L11" s="7"/>
      <c r="M11" s="100"/>
      <c r="N11" s="101"/>
      <c r="O11" s="73">
        <f>IF(ISBLANK(M11), 30,0)</f>
        <v>30</v>
      </c>
      <c r="P11" s="7"/>
      <c r="Q11" s="7"/>
      <c r="R11" s="9"/>
      <c r="S11" s="9"/>
      <c r="T11" s="9"/>
      <c r="U11" s="9"/>
      <c r="V11" s="9"/>
      <c r="W11" s="9"/>
      <c r="X11" s="9"/>
      <c r="Y11" s="9"/>
      <c r="Z11" s="9"/>
      <c r="AA11" s="9"/>
      <c r="AB11" s="9"/>
      <c r="AC11" s="9"/>
      <c r="AD11" s="9"/>
      <c r="AE11" s="9"/>
      <c r="AF11" s="9"/>
      <c r="AG11" s="9"/>
    </row>
    <row r="12" spans="1:33" ht="12.75" customHeight="1" x14ac:dyDescent="0.2">
      <c r="A12" s="9"/>
      <c r="B12" s="105"/>
      <c r="C12" s="106"/>
      <c r="D12" s="106"/>
      <c r="E12" s="106"/>
      <c r="F12" s="106"/>
      <c r="G12" s="106"/>
      <c r="H12" s="106"/>
      <c r="I12" s="107"/>
      <c r="J12" s="9"/>
      <c r="K12" s="11" t="s">
        <v>48</v>
      </c>
      <c r="L12" s="7"/>
      <c r="M12" s="100"/>
      <c r="N12" s="101"/>
      <c r="O12" s="73">
        <f>IF(AND(M12=0,M14=0),0,IF(ISBLANK(M12),(M14+O14)/(M13+O13)/0.933*1000,0))</f>
        <v>0</v>
      </c>
      <c r="P12" s="7"/>
      <c r="Q12" s="7"/>
      <c r="R12" s="9"/>
      <c r="S12" s="9"/>
      <c r="T12" s="9"/>
      <c r="U12" s="9"/>
      <c r="V12" s="9"/>
      <c r="W12" s="9"/>
      <c r="X12" s="9"/>
      <c r="Y12" s="9"/>
      <c r="Z12" s="9"/>
      <c r="AA12" s="9"/>
      <c r="AB12" s="9"/>
      <c r="AC12" s="9"/>
      <c r="AD12" s="9"/>
      <c r="AE12" s="9"/>
      <c r="AF12" s="9"/>
      <c r="AG12" s="9"/>
    </row>
    <row r="13" spans="1:33" ht="12.75" customHeight="1" x14ac:dyDescent="0.2">
      <c r="A13" s="9"/>
      <c r="B13" s="105"/>
      <c r="C13" s="106"/>
      <c r="D13" s="106"/>
      <c r="E13" s="106"/>
      <c r="F13" s="106"/>
      <c r="G13" s="106"/>
      <c r="H13" s="106"/>
      <c r="I13" s="107"/>
      <c r="J13" s="9"/>
      <c r="K13" s="11" t="s">
        <v>49</v>
      </c>
      <c r="L13" s="7"/>
      <c r="M13" s="100"/>
      <c r="N13" s="101"/>
      <c r="O13" s="73">
        <f>IF(ISBLANK(M13), 400,0)</f>
        <v>400</v>
      </c>
      <c r="P13" s="7"/>
      <c r="Q13" s="7"/>
      <c r="R13" s="9"/>
      <c r="S13" s="9"/>
      <c r="T13" s="9"/>
      <c r="U13" s="9"/>
      <c r="V13" s="9"/>
      <c r="W13" s="9"/>
      <c r="X13" s="9"/>
      <c r="Y13" s="9"/>
      <c r="Z13" s="9"/>
      <c r="AA13" s="9"/>
      <c r="AB13" s="9"/>
      <c r="AC13" s="9"/>
      <c r="AD13" s="9"/>
      <c r="AE13" s="9"/>
      <c r="AF13" s="9"/>
      <c r="AG13" s="9"/>
    </row>
    <row r="14" spans="1:33" ht="12.75" customHeight="1" x14ac:dyDescent="0.2">
      <c r="A14" s="9"/>
      <c r="B14" s="105"/>
      <c r="C14" s="106"/>
      <c r="D14" s="106"/>
      <c r="E14" s="106"/>
      <c r="F14" s="106"/>
      <c r="G14" s="106"/>
      <c r="H14" s="106"/>
      <c r="I14" s="107"/>
      <c r="J14" s="9"/>
      <c r="K14" s="11" t="s">
        <v>199</v>
      </c>
      <c r="L14" s="7"/>
      <c r="M14" s="112"/>
      <c r="N14" s="113"/>
      <c r="O14" s="73">
        <f>IF(ISBLANK(M14), (M12+O12)*(M13+O13)*0.933/1000,0)</f>
        <v>0</v>
      </c>
      <c r="P14" s="7"/>
      <c r="Q14" s="7"/>
      <c r="R14" s="9"/>
      <c r="S14" s="9"/>
      <c r="T14" s="9"/>
      <c r="U14" s="9"/>
      <c r="V14" s="9"/>
      <c r="W14" s="9"/>
      <c r="X14" s="9"/>
      <c r="Y14" s="9"/>
      <c r="Z14" s="9"/>
      <c r="AA14" s="9"/>
      <c r="AB14" s="9"/>
      <c r="AC14" s="9"/>
      <c r="AD14" s="9"/>
      <c r="AE14" s="9"/>
      <c r="AF14" s="9"/>
      <c r="AG14" s="9"/>
    </row>
    <row r="15" spans="1:33" ht="12.75" customHeight="1" x14ac:dyDescent="0.2">
      <c r="A15" s="9"/>
      <c r="B15" s="105"/>
      <c r="C15" s="106"/>
      <c r="D15" s="106"/>
      <c r="E15" s="106"/>
      <c r="F15" s="106"/>
      <c r="G15" s="106"/>
      <c r="H15" s="106"/>
      <c r="I15" s="107"/>
      <c r="J15" s="9"/>
      <c r="K15" s="11" t="s">
        <v>196</v>
      </c>
      <c r="L15" s="7"/>
      <c r="M15" s="117">
        <f>(M14+O14)*(M11+O11)-((M14+O14)*(M11+O11)*(1-0.993^(M11+O11))/2)</f>
        <v>0</v>
      </c>
      <c r="N15" s="117"/>
      <c r="O15" s="89"/>
      <c r="P15" s="7"/>
      <c r="Q15" s="7"/>
      <c r="R15" s="9"/>
      <c r="S15" s="9"/>
      <c r="T15" s="9"/>
      <c r="U15" s="9"/>
      <c r="V15" s="9"/>
      <c r="W15" s="9"/>
      <c r="X15" s="9"/>
      <c r="Y15" s="9"/>
      <c r="Z15" s="9"/>
      <c r="AA15" s="9"/>
      <c r="AB15" s="9"/>
      <c r="AC15" s="9"/>
      <c r="AD15" s="9"/>
      <c r="AE15" s="9"/>
      <c r="AF15" s="9"/>
      <c r="AG15" s="9"/>
    </row>
    <row r="16" spans="1:33" ht="12.75" customHeight="1" x14ac:dyDescent="0.2">
      <c r="A16" s="9"/>
      <c r="B16" s="105"/>
      <c r="C16" s="106"/>
      <c r="D16" s="106"/>
      <c r="E16" s="106"/>
      <c r="F16" s="106"/>
      <c r="G16" s="106"/>
      <c r="H16" s="106"/>
      <c r="I16" s="107"/>
      <c r="J16" s="9"/>
      <c r="K16" s="11"/>
      <c r="L16" s="7"/>
      <c r="M16" s="116"/>
      <c r="N16" s="116"/>
      <c r="O16" s="89"/>
      <c r="P16" s="7"/>
      <c r="Q16" s="7"/>
      <c r="R16" s="9"/>
      <c r="S16" s="9"/>
      <c r="T16" s="9"/>
      <c r="U16" s="9"/>
      <c r="V16" s="9"/>
      <c r="W16" s="9"/>
      <c r="X16" s="9"/>
      <c r="Y16" s="9"/>
      <c r="Z16" s="9"/>
      <c r="AA16" s="9"/>
      <c r="AB16" s="9"/>
      <c r="AC16" s="9"/>
      <c r="AD16" s="9"/>
      <c r="AE16" s="9"/>
      <c r="AF16" s="9"/>
      <c r="AG16" s="9"/>
    </row>
    <row r="17" spans="1:33" ht="12.75" customHeight="1" x14ac:dyDescent="0.2">
      <c r="A17" s="9"/>
      <c r="B17" s="105"/>
      <c r="C17" s="106"/>
      <c r="D17" s="106"/>
      <c r="E17" s="106"/>
      <c r="F17" s="106"/>
      <c r="G17" s="106"/>
      <c r="H17" s="106"/>
      <c r="I17" s="107"/>
      <c r="J17" s="9"/>
      <c r="K17" s="9"/>
      <c r="L17" s="9"/>
      <c r="M17" s="9"/>
      <c r="N17" s="9"/>
      <c r="O17" s="7"/>
      <c r="P17" s="7"/>
      <c r="Q17" s="7"/>
      <c r="R17" s="9" t="s">
        <v>197</v>
      </c>
      <c r="S17" s="9" t="s">
        <v>179</v>
      </c>
      <c r="T17" s="9" t="s">
        <v>180</v>
      </c>
      <c r="U17" s="9" t="s">
        <v>181</v>
      </c>
      <c r="V17" s="9" t="s">
        <v>182</v>
      </c>
      <c r="W17" s="9" t="s">
        <v>183</v>
      </c>
      <c r="X17" s="9"/>
      <c r="Y17" s="9"/>
      <c r="Z17" s="9"/>
      <c r="AA17" s="9"/>
      <c r="AB17" s="9"/>
      <c r="AC17" s="9"/>
      <c r="AD17" s="9"/>
      <c r="AE17" s="9"/>
      <c r="AF17" s="9"/>
      <c r="AG17" s="9"/>
    </row>
    <row r="18" spans="1:33" ht="13.5" customHeight="1" thickBot="1" x14ac:dyDescent="0.25">
      <c r="A18" s="9"/>
      <c r="B18" s="105"/>
      <c r="C18" s="106"/>
      <c r="D18" s="106"/>
      <c r="E18" s="106"/>
      <c r="F18" s="106"/>
      <c r="G18" s="106"/>
      <c r="H18" s="106"/>
      <c r="I18" s="107"/>
      <c r="J18" s="9"/>
      <c r="K18" s="12"/>
      <c r="L18" s="9"/>
      <c r="M18" s="14" t="s">
        <v>50</v>
      </c>
      <c r="N18" s="15" t="s">
        <v>7</v>
      </c>
      <c r="O18" s="7"/>
      <c r="P18" s="7"/>
      <c r="Q18" s="7"/>
      <c r="R18" s="14" t="s">
        <v>198</v>
      </c>
      <c r="S18" s="14" t="s">
        <v>51</v>
      </c>
      <c r="T18" s="14" t="s">
        <v>186</v>
      </c>
      <c r="U18" s="14" t="s">
        <v>171</v>
      </c>
      <c r="V18" s="14" t="s">
        <v>173</v>
      </c>
      <c r="W18" s="14" t="s">
        <v>52</v>
      </c>
      <c r="X18" s="14" t="s">
        <v>53</v>
      </c>
      <c r="Y18" s="15" t="s">
        <v>54</v>
      </c>
      <c r="Z18" s="15" t="s">
        <v>55</v>
      </c>
      <c r="AA18" s="16" t="s">
        <v>13</v>
      </c>
      <c r="AB18" s="9" t="s">
        <v>14</v>
      </c>
      <c r="AC18" s="9" t="s">
        <v>15</v>
      </c>
      <c r="AD18" s="9"/>
      <c r="AE18" s="9"/>
      <c r="AF18" s="9"/>
      <c r="AG18" s="9"/>
    </row>
    <row r="19" spans="1:33" ht="13.5" customHeight="1" x14ac:dyDescent="0.2">
      <c r="A19" s="9"/>
      <c r="B19" s="105"/>
      <c r="C19" s="106"/>
      <c r="D19" s="106"/>
      <c r="E19" s="106"/>
      <c r="F19" s="106"/>
      <c r="G19" s="106"/>
      <c r="H19" s="106"/>
      <c r="I19" s="107"/>
      <c r="J19" s="9"/>
      <c r="K19" s="9" t="s">
        <v>56</v>
      </c>
      <c r="L19" s="9"/>
      <c r="M19" s="17" t="s">
        <v>20</v>
      </c>
      <c r="N19" s="18">
        <f>1 - SUM(N20:N24)</f>
        <v>1</v>
      </c>
      <c r="O19" s="7"/>
      <c r="P19" s="7"/>
      <c r="Q19" s="19"/>
      <c r="R19" s="9">
        <f>$M$15*N19*AchtergrondZonnepanelen!C9*1000</f>
        <v>0</v>
      </c>
      <c r="S19" s="68">
        <f>$M$15*N19*AchtergrondZonnepanelen!H36*1000</f>
        <v>0</v>
      </c>
      <c r="T19" s="68">
        <f>$M$15*N19*AchtergrondZonnepanelen!E9*1000/1000000000</f>
        <v>0</v>
      </c>
      <c r="U19" s="68">
        <f>$M$15*N19*AchtergrondZonnepanelen!F9*1000</f>
        <v>0</v>
      </c>
      <c r="V19" s="68">
        <f>$M$15*N19*AchtergrondZonnepanelen!G9*1000</f>
        <v>0</v>
      </c>
      <c r="W19" s="9">
        <f>AchtergrondZonnepanelen!B9*N19</f>
        <v>41.927450099999994</v>
      </c>
      <c r="X19" s="9">
        <f>(N19*AchtergrondElektra!$B$7*1000)-W19</f>
        <v>482.07254990000001</v>
      </c>
      <c r="Y19" s="17"/>
      <c r="Z19" s="20"/>
      <c r="AA19" s="9"/>
      <c r="AB19" s="9"/>
      <c r="AC19" s="9"/>
      <c r="AD19" s="9"/>
      <c r="AE19" s="9"/>
      <c r="AF19" s="9"/>
      <c r="AG19" s="9"/>
    </row>
    <row r="20" spans="1:33" ht="12.75" customHeight="1" x14ac:dyDescent="0.2">
      <c r="A20" s="9"/>
      <c r="B20" s="105"/>
      <c r="C20" s="106"/>
      <c r="D20" s="106"/>
      <c r="E20" s="106"/>
      <c r="F20" s="106"/>
      <c r="G20" s="106"/>
      <c r="H20" s="106"/>
      <c r="I20" s="107"/>
      <c r="J20" s="11"/>
      <c r="K20" s="21"/>
      <c r="L20" s="9"/>
      <c r="M20" s="22" t="s">
        <v>24</v>
      </c>
      <c r="N20" s="23"/>
      <c r="O20" s="7"/>
      <c r="P20" s="7"/>
      <c r="Q20" s="9"/>
      <c r="R20" s="9">
        <f>VLOOKUP(M20,AchtergrondZonnepanelen!$A$1:$H$36,3,FALSE)*N20*1000*$M$15</f>
        <v>0</v>
      </c>
      <c r="S20" s="9">
        <f>VLOOKUP(M20,AchtergrondZonnepanelen!$A$29:$H$36,8,FALSE)*N20*1000*$M$15</f>
        <v>0</v>
      </c>
      <c r="T20" s="9">
        <f>VLOOKUP(M20,AchtergrondZonnepanelen!$A$1:$H$10,5,FALSE)*N20*$M$15*1000/1000000000</f>
        <v>0</v>
      </c>
      <c r="U20" s="9">
        <f>VLOOKUP(M20,AchtergrondZonnepanelen!$A$1:$H$10,6,FALSE)*N20*$M$15*1000</f>
        <v>0</v>
      </c>
      <c r="V20" s="9">
        <f>VLOOKUP(M20,AchtergrondZonnepanelen!$A$1:$H$10,7,FALSE)*N20*$M$15*1000</f>
        <v>0</v>
      </c>
      <c r="W20" s="9">
        <f>VLOOKUP(M20,AchtergrondZonnepanelen!$A$2:$B$16,2,FALSE)*N20</f>
        <v>0</v>
      </c>
      <c r="X20" s="9">
        <f>(N20*AchtergrondElektra!$B$7*1000)-W20</f>
        <v>0</v>
      </c>
      <c r="Y20" s="17"/>
      <c r="Z20" s="20"/>
      <c r="AA20" s="9"/>
      <c r="AB20" s="9"/>
      <c r="AC20" s="9"/>
      <c r="AD20" s="9"/>
      <c r="AE20" s="9"/>
      <c r="AF20" s="9"/>
      <c r="AG20" s="9"/>
    </row>
    <row r="21" spans="1:33" ht="12.75" customHeight="1" x14ac:dyDescent="0.2">
      <c r="A21" s="9"/>
      <c r="B21" s="105"/>
      <c r="C21" s="106"/>
      <c r="D21" s="106"/>
      <c r="E21" s="106"/>
      <c r="F21" s="106"/>
      <c r="G21" s="106"/>
      <c r="H21" s="106"/>
      <c r="I21" s="107"/>
      <c r="J21" s="11"/>
      <c r="K21" s="21"/>
      <c r="L21" s="9"/>
      <c r="M21" s="22" t="s">
        <v>24</v>
      </c>
      <c r="N21" s="23"/>
      <c r="O21" s="7"/>
      <c r="P21" s="7"/>
      <c r="Q21" s="9"/>
      <c r="R21" s="9">
        <f>VLOOKUP(M21,AchtergrondZonnepanelen!$A$1:$H$36,3,FALSE)*N21*1000*$M$15</f>
        <v>0</v>
      </c>
      <c r="S21" s="9">
        <f>VLOOKUP(M21,AchtergrondZonnepanelen!$A$29:$H$36,8,FALSE)*N21*1000*$M$15</f>
        <v>0</v>
      </c>
      <c r="T21" s="9">
        <f>VLOOKUP(M21,AchtergrondZonnepanelen!$A$1:$H$10,5,FALSE)*N21*$M$15*1000/1000000000</f>
        <v>0</v>
      </c>
      <c r="U21" s="9">
        <f>VLOOKUP(M21,AchtergrondZonnepanelen!$A$1:$H$10,6,FALSE)*N21*$M$15*1000</f>
        <v>0</v>
      </c>
      <c r="V21" s="9">
        <f>VLOOKUP(M21,AchtergrondZonnepanelen!$A$1:$H$10,7,FALSE)*N21*$M$15*1000</f>
        <v>0</v>
      </c>
      <c r="W21" s="9">
        <f>VLOOKUP(M21,AchtergrondZonnepanelen!$A$2:$B$16,2,FALSE)*N21</f>
        <v>0</v>
      </c>
      <c r="X21" s="9">
        <f>(N21*AchtergrondElektra!$B$7*1000)-W21</f>
        <v>0</v>
      </c>
      <c r="Y21" s="17"/>
      <c r="Z21" s="20"/>
      <c r="AA21" s="9"/>
      <c r="AB21" s="9"/>
      <c r="AC21" s="9"/>
      <c r="AD21" s="9"/>
      <c r="AE21" s="9"/>
      <c r="AF21" s="9"/>
      <c r="AG21" s="9"/>
    </row>
    <row r="22" spans="1:33" ht="12.75" customHeight="1" x14ac:dyDescent="0.2">
      <c r="A22" s="9"/>
      <c r="B22" s="105"/>
      <c r="C22" s="106"/>
      <c r="D22" s="106"/>
      <c r="E22" s="106"/>
      <c r="F22" s="106"/>
      <c r="G22" s="106"/>
      <c r="H22" s="106"/>
      <c r="I22" s="107"/>
      <c r="J22" s="11"/>
      <c r="K22" s="9"/>
      <c r="L22" s="9"/>
      <c r="M22" s="22" t="s">
        <v>24</v>
      </c>
      <c r="N22" s="23"/>
      <c r="O22" s="7"/>
      <c r="P22" s="7"/>
      <c r="Q22" s="9"/>
      <c r="R22" s="9">
        <f>VLOOKUP(M22,AchtergrondZonnepanelen!$A$1:$H$36,3,FALSE)*N22*1000*$M$15</f>
        <v>0</v>
      </c>
      <c r="S22" s="9">
        <f>VLOOKUP(M22,AchtergrondZonnepanelen!$A$29:$H$36,8,FALSE)*N22*1000*$M$15</f>
        <v>0</v>
      </c>
      <c r="T22" s="9">
        <f>VLOOKUP(M22,AchtergrondZonnepanelen!$A$1:$H$10,5,FALSE)*N22*$M$15*1000/1000000000</f>
        <v>0</v>
      </c>
      <c r="U22" s="9">
        <f>VLOOKUP(M22,AchtergrondZonnepanelen!$A$1:$H$10,6,FALSE)*N22*$M$15*1000</f>
        <v>0</v>
      </c>
      <c r="V22" s="9">
        <f>VLOOKUP(M22,AchtergrondZonnepanelen!$A$1:$H$10,7,FALSE)*N22*$M$15*1000</f>
        <v>0</v>
      </c>
      <c r="W22" s="9">
        <f>VLOOKUP(M22,AchtergrondZonnepanelen!$A$2:$B$16,2,FALSE)*N22</f>
        <v>0</v>
      </c>
      <c r="X22" s="9">
        <f>(N22*AchtergrondElektra!$B$7*1000)-W22</f>
        <v>0</v>
      </c>
      <c r="Y22" s="17"/>
      <c r="Z22" s="20"/>
      <c r="AA22" s="9"/>
      <c r="AB22" s="9"/>
      <c r="AC22" s="9"/>
      <c r="AD22" s="9"/>
      <c r="AE22" s="9"/>
      <c r="AF22" s="9"/>
      <c r="AG22" s="9"/>
    </row>
    <row r="23" spans="1:33" ht="12.75" customHeight="1" x14ac:dyDescent="0.2">
      <c r="A23" s="9"/>
      <c r="B23" s="105"/>
      <c r="C23" s="106"/>
      <c r="D23" s="106"/>
      <c r="E23" s="106"/>
      <c r="F23" s="106"/>
      <c r="G23" s="106"/>
      <c r="H23" s="106"/>
      <c r="I23" s="107"/>
      <c r="J23" s="11"/>
      <c r="K23" s="9"/>
      <c r="L23" s="9"/>
      <c r="M23" s="22" t="s">
        <v>24</v>
      </c>
      <c r="N23" s="23"/>
      <c r="O23" s="7"/>
      <c r="P23" s="7"/>
      <c r="Q23" s="9"/>
      <c r="R23" s="9">
        <f>VLOOKUP(M23,AchtergrondZonnepanelen!$A$1:$H$36,3,FALSE)*N23*1000*$M$15</f>
        <v>0</v>
      </c>
      <c r="S23" s="9">
        <f>VLOOKUP(M23,AchtergrondZonnepanelen!$A$29:$H$36,8,FALSE)*N23*1000*$M$15</f>
        <v>0</v>
      </c>
      <c r="T23" s="9">
        <f>VLOOKUP(M23,AchtergrondZonnepanelen!$A$1:$H$10,5,FALSE)*N23*$M$15*1000/1000000000</f>
        <v>0</v>
      </c>
      <c r="U23" s="9">
        <f>VLOOKUP(M23,AchtergrondZonnepanelen!$A$1:$H$10,6,FALSE)*N23*$M$15*1000</f>
        <v>0</v>
      </c>
      <c r="V23" s="9">
        <f>VLOOKUP(M23,AchtergrondZonnepanelen!$A$1:$H$10,7,FALSE)*N23*$M$15*1000</f>
        <v>0</v>
      </c>
      <c r="W23" s="9">
        <f>VLOOKUP(M23,AchtergrondZonnepanelen!$A$2:$B$16,2,FALSE)*N23</f>
        <v>0</v>
      </c>
      <c r="X23" s="9">
        <f>(N23*AchtergrondElektra!$B$7*1000)-W23</f>
        <v>0</v>
      </c>
      <c r="Y23" s="17"/>
      <c r="Z23" s="20"/>
      <c r="AA23" s="9"/>
      <c r="AB23" s="9"/>
      <c r="AC23" s="9"/>
      <c r="AD23" s="9"/>
      <c r="AE23" s="9"/>
      <c r="AF23" s="9"/>
      <c r="AG23" s="9"/>
    </row>
    <row r="24" spans="1:33" ht="12.75" customHeight="1" thickBot="1" x14ac:dyDescent="0.25">
      <c r="A24" s="9"/>
      <c r="B24" s="105"/>
      <c r="C24" s="106"/>
      <c r="D24" s="106"/>
      <c r="E24" s="106"/>
      <c r="F24" s="106"/>
      <c r="G24" s="106"/>
      <c r="H24" s="106"/>
      <c r="I24" s="107"/>
      <c r="J24" s="11"/>
      <c r="K24" s="9"/>
      <c r="L24" s="9"/>
      <c r="M24" s="26" t="s">
        <v>24</v>
      </c>
      <c r="N24" s="27"/>
      <c r="O24" s="7"/>
      <c r="P24" s="7"/>
      <c r="Q24" s="9"/>
      <c r="R24" s="31">
        <f>VLOOKUP(M24,AchtergrondZonnepanelen!$A$1:$H$36,3,FALSE)*N24*1000*$M$15</f>
        <v>0</v>
      </c>
      <c r="S24" s="31">
        <f>VLOOKUP(M24,AchtergrondZonnepanelen!$A$29:$H$36,8,FALSE)*N24*1000*$M$15</f>
        <v>0</v>
      </c>
      <c r="T24" s="31">
        <f>VLOOKUP(M24,AchtergrondZonnepanelen!$A$1:$H$10,5,FALSE)*N24*$M$15*1000/1000000000</f>
        <v>0</v>
      </c>
      <c r="U24" s="31">
        <f>VLOOKUP(M24,AchtergrondZonnepanelen!$A$1:$H$10,6,FALSE)*N24*$M$15*1000</f>
        <v>0</v>
      </c>
      <c r="V24" s="31">
        <f>VLOOKUP(M24,AchtergrondZonnepanelen!$A$1:$H$10,7,FALSE)*N24*$M$15*1000</f>
        <v>0</v>
      </c>
      <c r="W24" s="29">
        <f>VLOOKUP(M24,AchtergrondZonnepanelen!$A$2:$B$16,2,FALSE)*N24</f>
        <v>0</v>
      </c>
      <c r="X24" s="54">
        <f>(N24*AchtergrondElektra!$B$7*1000)-W24</f>
        <v>0</v>
      </c>
      <c r="Y24" s="30"/>
      <c r="Z24" s="31"/>
      <c r="AA24" s="29"/>
      <c r="AB24" s="9"/>
      <c r="AC24" s="9"/>
      <c r="AD24" s="9"/>
      <c r="AE24" s="9"/>
      <c r="AF24" s="9"/>
      <c r="AG24" s="9"/>
    </row>
    <row r="25" spans="1:33" ht="12.75" customHeight="1" thickTop="1" x14ac:dyDescent="0.2">
      <c r="A25" s="9"/>
      <c r="B25" s="105"/>
      <c r="C25" s="106"/>
      <c r="D25" s="106"/>
      <c r="E25" s="106"/>
      <c r="F25" s="106"/>
      <c r="G25" s="106"/>
      <c r="H25" s="106"/>
      <c r="I25" s="107"/>
      <c r="J25" s="11"/>
      <c r="K25" s="9"/>
      <c r="L25" s="9"/>
      <c r="M25" s="9"/>
      <c r="N25" s="9"/>
      <c r="O25" s="7"/>
      <c r="P25" s="7"/>
      <c r="Q25" s="9"/>
      <c r="R25" s="9">
        <f>SUM(R19:R24)</f>
        <v>0</v>
      </c>
      <c r="S25" s="9">
        <f t="shared" ref="S25:W25" si="0">SUM(S19:S24)</f>
        <v>0</v>
      </c>
      <c r="T25" s="68">
        <f t="shared" si="0"/>
        <v>0</v>
      </c>
      <c r="U25" s="68">
        <f t="shared" si="0"/>
        <v>0</v>
      </c>
      <c r="V25" s="68">
        <f t="shared" si="0"/>
        <v>0</v>
      </c>
      <c r="W25" s="9">
        <f t="shared" si="0"/>
        <v>41.927450099999994</v>
      </c>
      <c r="X25" s="9">
        <f>SUM(X19:X24)</f>
        <v>482.07254990000001</v>
      </c>
      <c r="Y25" s="17">
        <f>AchtergrondElektra!B7*1000</f>
        <v>524</v>
      </c>
      <c r="Z25" s="20">
        <f>Y25-W25</f>
        <v>482.07254990000001</v>
      </c>
      <c r="AA25" s="43">
        <f>Z25*$M$15</f>
        <v>0</v>
      </c>
      <c r="AB25" s="9">
        <f>AA25/1000</f>
        <v>0</v>
      </c>
      <c r="AC25" s="9">
        <f>X25*$M$15*1000</f>
        <v>0</v>
      </c>
      <c r="AD25" s="9"/>
      <c r="AE25" s="9"/>
      <c r="AF25" s="9"/>
      <c r="AG25" s="9"/>
    </row>
    <row r="26" spans="1:33" ht="12.75" customHeight="1" x14ac:dyDescent="0.2">
      <c r="A26" s="9"/>
      <c r="B26" s="105"/>
      <c r="C26" s="106"/>
      <c r="D26" s="106"/>
      <c r="E26" s="106"/>
      <c r="F26" s="106"/>
      <c r="G26" s="106"/>
      <c r="H26" s="106"/>
      <c r="I26" s="107"/>
      <c r="J26" s="11"/>
      <c r="K26" s="9"/>
      <c r="L26" s="9"/>
      <c r="M26" s="9"/>
      <c r="N26" s="9"/>
      <c r="O26" s="7"/>
      <c r="P26" s="7"/>
      <c r="Q26" s="61" t="s">
        <v>202</v>
      </c>
      <c r="R26" s="93">
        <v>2.3884589662750001E-5</v>
      </c>
      <c r="S26" s="9" t="s">
        <v>203</v>
      </c>
      <c r="T26" s="9"/>
      <c r="U26" s="9"/>
      <c r="V26" s="9"/>
      <c r="W26" s="9"/>
      <c r="X26" s="9"/>
      <c r="Y26" s="9"/>
      <c r="Z26" s="9"/>
      <c r="AA26" s="43"/>
      <c r="AB26" s="9"/>
      <c r="AC26" s="9"/>
      <c r="AD26" s="9"/>
      <c r="AE26" s="9"/>
      <c r="AF26" s="9"/>
      <c r="AG26" s="9"/>
    </row>
    <row r="27" spans="1:33" ht="45" customHeight="1" x14ac:dyDescent="0.2">
      <c r="A27" s="9"/>
      <c r="B27" s="105"/>
      <c r="C27" s="106"/>
      <c r="D27" s="106"/>
      <c r="E27" s="106"/>
      <c r="F27" s="106"/>
      <c r="G27" s="106"/>
      <c r="H27" s="106"/>
      <c r="I27" s="107"/>
      <c r="J27" s="77" t="s">
        <v>158</v>
      </c>
      <c r="K27" s="12" t="s">
        <v>156</v>
      </c>
      <c r="L27" s="9"/>
      <c r="M27" s="79" t="s">
        <v>157</v>
      </c>
      <c r="N27" s="76" t="s">
        <v>188</v>
      </c>
      <c r="O27" s="91" t="s">
        <v>201</v>
      </c>
      <c r="P27" s="7"/>
      <c r="Q27" s="9"/>
      <c r="R27" s="92">
        <f>R25*R26</f>
        <v>0</v>
      </c>
      <c r="S27" s="7" t="s">
        <v>203</v>
      </c>
      <c r="T27" s="9"/>
      <c r="U27" s="9"/>
      <c r="V27" s="9"/>
      <c r="W27" s="9"/>
      <c r="X27" s="9"/>
      <c r="Y27" s="9"/>
      <c r="Z27" s="32"/>
      <c r="AA27" s="32"/>
      <c r="AB27" s="9"/>
      <c r="AC27" s="9"/>
      <c r="AD27" s="9"/>
      <c r="AE27" s="9"/>
      <c r="AF27" s="9"/>
      <c r="AG27" s="9"/>
    </row>
    <row r="28" spans="1:33" ht="12.75" customHeight="1" x14ac:dyDescent="0.2">
      <c r="A28" s="9"/>
      <c r="B28" s="105"/>
      <c r="C28" s="106"/>
      <c r="D28" s="106"/>
      <c r="E28" s="106"/>
      <c r="F28" s="106"/>
      <c r="G28" s="106"/>
      <c r="H28" s="106"/>
      <c r="I28" s="107"/>
      <c r="J28" s="114" t="s">
        <v>159</v>
      </c>
      <c r="K28" s="11" t="s">
        <v>205</v>
      </c>
      <c r="L28" s="11"/>
      <c r="M28" s="94">
        <f>IF(OR(M12 &lt;&gt; 0, M14 &lt;&gt; 0),Z25,0)/1000</f>
        <v>0</v>
      </c>
      <c r="N28" s="95">
        <v>0.52400000000000002</v>
      </c>
      <c r="O28" s="90">
        <f>IF(M28=0,0,M28/N28)</f>
        <v>0</v>
      </c>
      <c r="P28" s="82"/>
      <c r="Q28" s="69" t="s">
        <v>195</v>
      </c>
      <c r="R28" s="9"/>
      <c r="S28" s="9"/>
      <c r="T28" s="9"/>
      <c r="U28" s="9"/>
      <c r="V28" s="9"/>
      <c r="W28" s="9"/>
      <c r="X28" s="9"/>
      <c r="Y28" s="9"/>
      <c r="Z28" s="9"/>
      <c r="AA28" s="9"/>
      <c r="AB28" s="9"/>
      <c r="AC28" s="9"/>
      <c r="AD28" s="9"/>
      <c r="AE28" s="9"/>
      <c r="AF28" s="9"/>
      <c r="AG28" s="9"/>
    </row>
    <row r="29" spans="1:33" ht="12.75" x14ac:dyDescent="0.2">
      <c r="A29" s="9"/>
      <c r="B29" s="105"/>
      <c r="C29" s="106"/>
      <c r="D29" s="106"/>
      <c r="E29" s="106"/>
      <c r="F29" s="106"/>
      <c r="G29" s="106"/>
      <c r="H29" s="106"/>
      <c r="I29" s="107"/>
      <c r="J29" s="114"/>
      <c r="K29" s="9" t="s">
        <v>160</v>
      </c>
      <c r="L29" s="9"/>
      <c r="M29" s="83">
        <f>AB25</f>
        <v>0</v>
      </c>
      <c r="N29" s="82">
        <f>Y25*$M$15/1000</f>
        <v>0</v>
      </c>
      <c r="O29" s="90">
        <f t="shared" ref="O29:O37" si="1">IF(M29=0,0,M29/N29)</f>
        <v>0</v>
      </c>
      <c r="P29" s="82"/>
      <c r="Q29" s="87">
        <f>N29-M29</f>
        <v>0</v>
      </c>
      <c r="R29" s="9"/>
      <c r="S29" s="9"/>
      <c r="T29" s="9"/>
      <c r="U29" s="9"/>
      <c r="V29" s="9"/>
      <c r="W29" s="9"/>
      <c r="X29" s="9"/>
      <c r="Y29" s="9"/>
      <c r="Z29" s="9"/>
      <c r="AA29" s="9"/>
      <c r="AB29" s="9"/>
      <c r="AC29" s="9"/>
      <c r="AD29" s="9"/>
      <c r="AE29" s="9"/>
      <c r="AF29" s="9"/>
      <c r="AG29" s="9"/>
    </row>
    <row r="30" spans="1:33" ht="38.25" x14ac:dyDescent="0.2">
      <c r="A30" s="9"/>
      <c r="B30" s="105"/>
      <c r="C30" s="106"/>
      <c r="D30" s="106"/>
      <c r="E30" s="106"/>
      <c r="F30" s="106"/>
      <c r="G30" s="106"/>
      <c r="H30" s="106"/>
      <c r="I30" s="107"/>
      <c r="J30" s="114"/>
      <c r="K30" s="85" t="s">
        <v>193</v>
      </c>
      <c r="L30" s="84"/>
      <c r="M30" s="86">
        <f>M29/4.2</f>
        <v>0</v>
      </c>
      <c r="N30" s="70" t="s">
        <v>192</v>
      </c>
      <c r="O30" s="90"/>
      <c r="P30" s="70"/>
      <c r="Q30" s="87"/>
      <c r="R30" s="9"/>
      <c r="S30" s="9"/>
      <c r="T30" s="9"/>
      <c r="U30" s="9"/>
      <c r="V30" s="9"/>
      <c r="W30" s="9"/>
      <c r="X30" s="9"/>
      <c r="Y30" s="9"/>
      <c r="Z30" s="9"/>
      <c r="AA30" s="9"/>
      <c r="AB30" s="9"/>
      <c r="AC30" s="9"/>
      <c r="AD30" s="9"/>
      <c r="AE30" s="9"/>
      <c r="AF30" s="9"/>
      <c r="AG30" s="9"/>
    </row>
    <row r="31" spans="1:33" ht="12.75" x14ac:dyDescent="0.2">
      <c r="A31" s="9"/>
      <c r="B31" s="105"/>
      <c r="C31" s="106"/>
      <c r="D31" s="106"/>
      <c r="E31" s="106"/>
      <c r="F31" s="106"/>
      <c r="G31" s="106"/>
      <c r="H31" s="106"/>
      <c r="I31" s="107"/>
      <c r="J31" s="9"/>
      <c r="K31" s="70"/>
      <c r="L31" s="9"/>
      <c r="M31" s="82"/>
      <c r="N31" s="82"/>
      <c r="O31" s="90"/>
      <c r="P31" s="82"/>
      <c r="Q31" s="87">
        <f>N31-M31</f>
        <v>0</v>
      </c>
      <c r="R31" s="9"/>
      <c r="S31" s="9"/>
      <c r="T31" s="9"/>
      <c r="U31" s="9"/>
      <c r="V31" s="9"/>
      <c r="W31" s="9"/>
      <c r="X31" s="9"/>
      <c r="Y31" s="9"/>
      <c r="Z31" s="9"/>
      <c r="AA31" s="9"/>
      <c r="AB31" s="9"/>
      <c r="AC31" s="9"/>
      <c r="AD31" s="9"/>
      <c r="AE31" s="9"/>
      <c r="AF31" s="9"/>
      <c r="AG31" s="9"/>
    </row>
    <row r="32" spans="1:33" ht="12.75" x14ac:dyDescent="0.2">
      <c r="A32" s="9"/>
      <c r="B32" s="105"/>
      <c r="C32" s="106"/>
      <c r="D32" s="106"/>
      <c r="E32" s="106"/>
      <c r="F32" s="106"/>
      <c r="G32" s="106"/>
      <c r="H32" s="106"/>
      <c r="I32" s="107"/>
      <c r="J32" s="114" t="s">
        <v>161</v>
      </c>
      <c r="K32" s="11" t="s">
        <v>163</v>
      </c>
      <c r="L32" s="11"/>
      <c r="M32" s="82">
        <f>N32-R27</f>
        <v>0</v>
      </c>
      <c r="N32" s="82">
        <f>AchtergrondElektra!F7/1000*$M$15</f>
        <v>0</v>
      </c>
      <c r="O32" s="90">
        <f t="shared" si="1"/>
        <v>0</v>
      </c>
      <c r="P32" s="82"/>
      <c r="Q32" s="87">
        <f>N32-M32</f>
        <v>0</v>
      </c>
      <c r="R32" s="9"/>
      <c r="S32" s="9"/>
      <c r="T32" s="9"/>
      <c r="U32" s="9"/>
      <c r="V32" s="9"/>
      <c r="W32" s="9"/>
      <c r="X32" s="9"/>
      <c r="Y32" s="9"/>
      <c r="Z32" s="9"/>
      <c r="AA32" s="9"/>
      <c r="AB32" s="9"/>
      <c r="AC32" s="9"/>
      <c r="AD32" s="9"/>
      <c r="AE32" s="9"/>
      <c r="AF32" s="9"/>
      <c r="AG32" s="9"/>
    </row>
    <row r="33" spans="1:33" ht="25.5" x14ac:dyDescent="0.2">
      <c r="A33" s="9"/>
      <c r="B33" s="105"/>
      <c r="C33" s="106"/>
      <c r="D33" s="106"/>
      <c r="E33" s="106"/>
      <c r="F33" s="106"/>
      <c r="G33" s="106"/>
      <c r="H33" s="106"/>
      <c r="I33" s="107"/>
      <c r="J33" s="114"/>
      <c r="K33" s="11" t="s">
        <v>164</v>
      </c>
      <c r="L33" s="11"/>
      <c r="M33" s="72">
        <f>N33-S25</f>
        <v>0</v>
      </c>
      <c r="N33" s="88">
        <f>AchtergrondElektra!G14*1000*$M$15</f>
        <v>0</v>
      </c>
      <c r="O33" s="90"/>
      <c r="P33" s="88"/>
      <c r="Q33" s="87">
        <f>N33-M33</f>
        <v>0</v>
      </c>
      <c r="R33" s="9"/>
      <c r="S33" s="9"/>
      <c r="T33" s="9"/>
      <c r="U33" s="9"/>
      <c r="V33" s="9"/>
      <c r="W33" s="9"/>
      <c r="X33" s="9"/>
      <c r="Y33" s="9"/>
      <c r="Z33" s="9"/>
      <c r="AA33" s="9"/>
      <c r="AB33" s="9"/>
      <c r="AC33" s="9"/>
      <c r="AD33" s="9"/>
      <c r="AE33" s="9"/>
      <c r="AF33" s="9"/>
      <c r="AG33" s="9"/>
    </row>
    <row r="34" spans="1:33" ht="12.75" x14ac:dyDescent="0.2">
      <c r="A34" s="9"/>
      <c r="B34" s="105"/>
      <c r="C34" s="106"/>
      <c r="D34" s="106"/>
      <c r="E34" s="106"/>
      <c r="F34" s="106"/>
      <c r="G34" s="106"/>
      <c r="H34" s="106"/>
      <c r="I34" s="107"/>
      <c r="J34" s="9"/>
      <c r="K34" s="11"/>
      <c r="L34" s="11"/>
      <c r="M34" s="81"/>
      <c r="N34" s="81"/>
      <c r="O34" s="90">
        <f t="shared" si="1"/>
        <v>0</v>
      </c>
      <c r="P34" s="81"/>
      <c r="Q34" s="87">
        <f t="shared" ref="Q34:Q37" si="2">N34-M34</f>
        <v>0</v>
      </c>
      <c r="R34" s="9"/>
      <c r="S34" s="9"/>
      <c r="T34" s="9"/>
      <c r="U34" s="9"/>
      <c r="V34" s="9"/>
      <c r="W34" s="9"/>
      <c r="X34" s="9"/>
      <c r="Y34" s="9"/>
      <c r="Z34" s="9"/>
      <c r="AA34" s="9"/>
      <c r="AB34" s="9"/>
      <c r="AC34" s="9"/>
      <c r="AD34" s="9"/>
      <c r="AE34" s="9"/>
      <c r="AF34" s="9"/>
      <c r="AG34" s="9"/>
    </row>
    <row r="35" spans="1:33" ht="12.75" x14ac:dyDescent="0.2">
      <c r="A35" s="9"/>
      <c r="B35" s="105"/>
      <c r="C35" s="106"/>
      <c r="D35" s="106"/>
      <c r="E35" s="106"/>
      <c r="F35" s="106"/>
      <c r="G35" s="106"/>
      <c r="H35" s="106"/>
      <c r="I35" s="107"/>
      <c r="J35" s="115" t="s">
        <v>162</v>
      </c>
      <c r="K35" s="11" t="s">
        <v>187</v>
      </c>
      <c r="L35" s="11"/>
      <c r="M35" s="80">
        <f>N35-T25</f>
        <v>0</v>
      </c>
      <c r="N35" s="81">
        <f>AchtergrondElektra!C14*$M$15*1000</f>
        <v>0</v>
      </c>
      <c r="O35" s="90">
        <f t="shared" si="1"/>
        <v>0</v>
      </c>
      <c r="P35" s="81"/>
      <c r="Q35" s="87">
        <f t="shared" si="2"/>
        <v>0</v>
      </c>
      <c r="R35" s="9"/>
      <c r="S35" s="9"/>
      <c r="T35" s="9"/>
      <c r="U35" s="9"/>
      <c r="V35" s="9"/>
      <c r="W35" s="9"/>
      <c r="X35" s="9"/>
      <c r="Y35" s="9"/>
      <c r="Z35" s="9"/>
      <c r="AA35" s="9"/>
      <c r="AB35" s="9"/>
      <c r="AC35" s="9"/>
      <c r="AD35" s="9"/>
      <c r="AE35" s="9"/>
      <c r="AF35" s="9"/>
      <c r="AG35" s="9"/>
    </row>
    <row r="36" spans="1:33" ht="12.75" x14ac:dyDescent="0.2">
      <c r="A36" s="9"/>
      <c r="B36" s="105"/>
      <c r="C36" s="106"/>
      <c r="D36" s="106"/>
      <c r="E36" s="106"/>
      <c r="F36" s="106"/>
      <c r="G36" s="106"/>
      <c r="H36" s="106"/>
      <c r="I36" s="107"/>
      <c r="J36" s="115"/>
      <c r="K36" s="11" t="s">
        <v>189</v>
      </c>
      <c r="L36" s="11"/>
      <c r="M36" s="72">
        <f>N36-(U25/1000)</f>
        <v>0</v>
      </c>
      <c r="N36" s="82">
        <f>AchtergrondElektra!D14*$M$15*1000/1000</f>
        <v>0</v>
      </c>
      <c r="O36" s="90">
        <f t="shared" si="1"/>
        <v>0</v>
      </c>
      <c r="P36" s="82"/>
      <c r="Q36" s="87">
        <f t="shared" si="2"/>
        <v>0</v>
      </c>
      <c r="R36" s="9"/>
      <c r="S36" s="9"/>
      <c r="T36" s="9"/>
      <c r="U36" s="9"/>
      <c r="V36" s="9"/>
      <c r="W36" s="9"/>
      <c r="X36" s="9"/>
      <c r="Y36" s="9"/>
      <c r="Z36" s="9"/>
      <c r="AA36" s="9"/>
      <c r="AB36" s="9"/>
      <c r="AC36" s="9"/>
      <c r="AD36" s="9"/>
      <c r="AE36" s="9"/>
      <c r="AF36" s="9"/>
      <c r="AG36" s="9"/>
    </row>
    <row r="37" spans="1:33" ht="12.75" x14ac:dyDescent="0.2">
      <c r="A37" s="9"/>
      <c r="B37" s="105"/>
      <c r="C37" s="106"/>
      <c r="D37" s="106"/>
      <c r="E37" s="106"/>
      <c r="F37" s="106"/>
      <c r="G37" s="106"/>
      <c r="H37" s="106"/>
      <c r="I37" s="107"/>
      <c r="J37" s="115"/>
      <c r="K37" s="9" t="s">
        <v>191</v>
      </c>
      <c r="L37" s="11"/>
      <c r="M37" s="72">
        <f>N37-(V25/1000)</f>
        <v>0</v>
      </c>
      <c r="N37" s="82">
        <f>AchtergrondElektra!E14*$M$15*1000/1000</f>
        <v>0</v>
      </c>
      <c r="O37" s="90">
        <f t="shared" si="1"/>
        <v>0</v>
      </c>
      <c r="P37" s="82"/>
      <c r="Q37" s="87">
        <f t="shared" si="2"/>
        <v>0</v>
      </c>
      <c r="R37" s="9"/>
      <c r="S37" s="9"/>
      <c r="T37" s="9"/>
      <c r="U37" s="9"/>
      <c r="V37" s="9"/>
      <c r="W37" s="9"/>
      <c r="X37" s="9"/>
      <c r="Y37" s="9"/>
      <c r="Z37" s="9"/>
      <c r="AA37" s="9"/>
      <c r="AB37" s="9"/>
      <c r="AC37" s="9"/>
      <c r="AD37" s="9"/>
      <c r="AE37" s="9"/>
      <c r="AF37" s="9"/>
      <c r="AG37" s="9"/>
    </row>
    <row r="38" spans="1:33" ht="12.75" x14ac:dyDescent="0.2">
      <c r="A38" s="9"/>
      <c r="B38" s="105"/>
      <c r="C38" s="106"/>
      <c r="D38" s="106"/>
      <c r="E38" s="106"/>
      <c r="F38" s="106"/>
      <c r="G38" s="106"/>
      <c r="H38" s="106"/>
      <c r="I38" s="107"/>
      <c r="J38" s="9"/>
      <c r="K38" s="9"/>
      <c r="L38" s="11"/>
      <c r="M38" s="82"/>
      <c r="N38" s="82"/>
      <c r="O38" s="82"/>
      <c r="P38" s="82"/>
      <c r="Q38" s="9"/>
      <c r="R38" s="9"/>
      <c r="S38" s="9"/>
      <c r="T38" s="9"/>
      <c r="U38" s="9"/>
      <c r="V38" s="9"/>
      <c r="W38" s="9"/>
      <c r="X38" s="9"/>
      <c r="Y38" s="9"/>
      <c r="Z38" s="9"/>
      <c r="AA38" s="9"/>
      <c r="AB38" s="9"/>
      <c r="AC38" s="9"/>
      <c r="AD38" s="9"/>
      <c r="AE38" s="9"/>
      <c r="AF38" s="9"/>
      <c r="AG38" s="9"/>
    </row>
    <row r="39" spans="1:33" ht="12.75" x14ac:dyDescent="0.2">
      <c r="A39" s="9"/>
      <c r="B39" s="105"/>
      <c r="C39" s="106"/>
      <c r="D39" s="106"/>
      <c r="E39" s="106"/>
      <c r="F39" s="106"/>
      <c r="G39" s="106"/>
      <c r="H39" s="106"/>
      <c r="I39" s="107"/>
      <c r="J39" s="9"/>
      <c r="K39" s="9"/>
      <c r="L39" s="9"/>
      <c r="M39" s="9"/>
      <c r="N39" s="9"/>
      <c r="O39" s="9"/>
      <c r="P39" s="9"/>
      <c r="Q39" s="9"/>
      <c r="R39" s="9"/>
      <c r="S39" s="9"/>
      <c r="T39" s="9"/>
      <c r="U39" s="9"/>
      <c r="V39" s="9"/>
      <c r="W39" s="9"/>
      <c r="X39" s="9"/>
      <c r="Y39" s="9"/>
      <c r="Z39" s="9"/>
      <c r="AA39" s="9"/>
      <c r="AB39" s="9"/>
      <c r="AC39" s="9"/>
      <c r="AD39" s="9"/>
      <c r="AE39" s="9"/>
      <c r="AF39" s="9"/>
      <c r="AG39" s="9"/>
    </row>
    <row r="40" spans="1:33" ht="12.75" x14ac:dyDescent="0.2">
      <c r="A40" s="9"/>
      <c r="B40" s="105"/>
      <c r="C40" s="106"/>
      <c r="D40" s="106"/>
      <c r="E40" s="106"/>
      <c r="F40" s="106"/>
      <c r="G40" s="106"/>
      <c r="H40" s="106"/>
      <c r="I40" s="107"/>
      <c r="J40" s="9"/>
      <c r="K40" s="9"/>
      <c r="L40" s="9"/>
      <c r="M40" s="9"/>
      <c r="N40" s="9"/>
      <c r="O40" s="9"/>
      <c r="P40" s="9"/>
      <c r="Q40" s="9"/>
      <c r="R40" s="9"/>
      <c r="S40" s="9"/>
      <c r="T40" s="9"/>
      <c r="U40" s="9"/>
      <c r="V40" s="9"/>
      <c r="W40" s="9"/>
      <c r="X40" s="9"/>
      <c r="Y40" s="9"/>
      <c r="Z40" s="9"/>
      <c r="AA40" s="9"/>
      <c r="AB40" s="9"/>
      <c r="AC40" s="9"/>
      <c r="AD40" s="9"/>
      <c r="AE40" s="9"/>
      <c r="AF40" s="9"/>
      <c r="AG40" s="9"/>
    </row>
    <row r="41" spans="1:33" ht="12.75" x14ac:dyDescent="0.2">
      <c r="A41" s="9"/>
      <c r="B41" s="105"/>
      <c r="C41" s="106"/>
      <c r="D41" s="106"/>
      <c r="E41" s="106"/>
      <c r="F41" s="106"/>
      <c r="G41" s="106"/>
      <c r="H41" s="106"/>
      <c r="I41" s="107"/>
      <c r="J41" s="9"/>
      <c r="K41" s="9"/>
      <c r="L41" s="9"/>
      <c r="M41" s="9"/>
      <c r="N41" s="9"/>
      <c r="O41" s="9"/>
      <c r="P41" s="9"/>
      <c r="Q41" s="9"/>
      <c r="R41" s="9"/>
      <c r="S41" s="9"/>
      <c r="T41" s="9"/>
      <c r="U41" s="9"/>
      <c r="V41" s="9"/>
      <c r="W41" s="9"/>
      <c r="X41" s="9"/>
      <c r="Y41" s="9"/>
      <c r="Z41" s="9"/>
      <c r="AA41" s="9"/>
      <c r="AB41" s="9"/>
      <c r="AC41" s="9"/>
      <c r="AD41" s="9"/>
      <c r="AE41" s="9"/>
      <c r="AF41" s="9"/>
      <c r="AG41" s="9"/>
    </row>
    <row r="42" spans="1:33" ht="12.75" x14ac:dyDescent="0.2">
      <c r="A42" s="9"/>
      <c r="B42" s="105"/>
      <c r="C42" s="106"/>
      <c r="D42" s="106"/>
      <c r="E42" s="106"/>
      <c r="F42" s="106"/>
      <c r="G42" s="106"/>
      <c r="H42" s="106"/>
      <c r="I42" s="107"/>
      <c r="J42" s="9"/>
      <c r="K42" s="9"/>
      <c r="L42" s="9"/>
      <c r="M42" s="9"/>
      <c r="N42" s="9"/>
      <c r="O42" s="9"/>
      <c r="P42" s="9"/>
      <c r="Q42" s="9"/>
      <c r="R42" s="9"/>
      <c r="S42" s="9"/>
      <c r="T42" s="9"/>
      <c r="U42" s="9"/>
      <c r="V42" s="9"/>
      <c r="W42" s="9"/>
      <c r="X42" s="9"/>
      <c r="Y42" s="9"/>
      <c r="Z42" s="9"/>
      <c r="AA42" s="9"/>
      <c r="AB42" s="9"/>
      <c r="AC42" s="9"/>
      <c r="AD42" s="9"/>
      <c r="AE42" s="9"/>
      <c r="AF42" s="9"/>
      <c r="AG42" s="9"/>
    </row>
    <row r="43" spans="1:33" ht="12.75" x14ac:dyDescent="0.2">
      <c r="A43" s="9"/>
      <c r="B43" s="105"/>
      <c r="C43" s="106"/>
      <c r="D43" s="106"/>
      <c r="E43" s="106"/>
      <c r="F43" s="106"/>
      <c r="G43" s="106"/>
      <c r="H43" s="106"/>
      <c r="I43" s="107"/>
      <c r="J43" s="9"/>
      <c r="K43" s="9"/>
      <c r="L43" s="9"/>
      <c r="M43" s="9"/>
      <c r="N43" s="9"/>
      <c r="O43" s="9"/>
      <c r="P43" s="9"/>
      <c r="Q43" s="9"/>
      <c r="R43" s="9"/>
      <c r="S43" s="9"/>
      <c r="T43" s="9"/>
      <c r="U43" s="9"/>
      <c r="V43" s="9"/>
      <c r="W43" s="9"/>
      <c r="X43" s="9"/>
      <c r="Y43" s="9"/>
      <c r="Z43" s="9"/>
      <c r="AA43" s="9"/>
      <c r="AB43" s="9"/>
      <c r="AC43" s="9"/>
      <c r="AD43" s="9"/>
      <c r="AE43" s="9"/>
      <c r="AF43" s="9"/>
      <c r="AG43" s="9"/>
    </row>
    <row r="44" spans="1:33" ht="12.75" x14ac:dyDescent="0.2">
      <c r="A44" s="9"/>
      <c r="B44" s="105"/>
      <c r="C44" s="106"/>
      <c r="D44" s="106"/>
      <c r="E44" s="106"/>
      <c r="F44" s="106"/>
      <c r="G44" s="106"/>
      <c r="H44" s="106"/>
      <c r="I44" s="107"/>
      <c r="J44" s="9"/>
      <c r="K44" s="9"/>
      <c r="L44" s="9"/>
      <c r="M44" s="9"/>
      <c r="N44" s="9"/>
      <c r="O44" s="9"/>
      <c r="P44" s="9"/>
      <c r="Q44" s="9"/>
      <c r="R44" s="9"/>
      <c r="S44" s="9"/>
      <c r="T44" s="9"/>
      <c r="U44" s="9"/>
      <c r="V44" s="9"/>
      <c r="W44" s="9"/>
      <c r="X44" s="9"/>
      <c r="Y44" s="9"/>
      <c r="Z44" s="9"/>
      <c r="AA44" s="9"/>
      <c r="AB44" s="9"/>
      <c r="AC44" s="9"/>
      <c r="AD44" s="9"/>
      <c r="AE44" s="9"/>
      <c r="AF44" s="9"/>
      <c r="AG44" s="9"/>
    </row>
    <row r="45" spans="1:33" ht="12.75" x14ac:dyDescent="0.2">
      <c r="A45" s="9"/>
      <c r="B45" s="105"/>
      <c r="C45" s="106"/>
      <c r="D45" s="106"/>
      <c r="E45" s="106"/>
      <c r="F45" s="106"/>
      <c r="G45" s="106"/>
      <c r="H45" s="106"/>
      <c r="I45" s="107"/>
      <c r="J45" s="9"/>
      <c r="K45" s="9"/>
      <c r="L45" s="9"/>
      <c r="M45" s="9"/>
      <c r="N45" s="9"/>
      <c r="O45" s="9"/>
      <c r="P45" s="9"/>
      <c r="Q45" s="9"/>
      <c r="R45" s="9"/>
      <c r="S45" s="9"/>
      <c r="T45" s="9"/>
      <c r="U45" s="9"/>
      <c r="V45" s="9"/>
      <c r="W45" s="9"/>
      <c r="X45" s="9"/>
      <c r="Y45" s="9"/>
      <c r="Z45" s="9"/>
      <c r="AA45" s="9"/>
      <c r="AB45" s="9"/>
      <c r="AC45" s="9"/>
      <c r="AD45" s="9"/>
      <c r="AE45" s="9"/>
      <c r="AF45" s="9"/>
      <c r="AG45" s="9"/>
    </row>
    <row r="46" spans="1:33" ht="12.75" x14ac:dyDescent="0.2">
      <c r="A46" s="9"/>
      <c r="B46" s="105"/>
      <c r="C46" s="106"/>
      <c r="D46" s="106"/>
      <c r="E46" s="106"/>
      <c r="F46" s="106"/>
      <c r="G46" s="106"/>
      <c r="H46" s="106"/>
      <c r="I46" s="107"/>
      <c r="J46" s="9"/>
      <c r="K46" s="9"/>
      <c r="L46" s="9"/>
      <c r="M46" s="9"/>
      <c r="N46" s="9"/>
      <c r="O46" s="9"/>
      <c r="P46" s="9"/>
      <c r="Q46" s="9"/>
      <c r="R46" s="9"/>
      <c r="S46" s="9"/>
      <c r="T46" s="9"/>
      <c r="U46" s="9"/>
      <c r="V46" s="9"/>
      <c r="W46" s="9"/>
      <c r="X46" s="9"/>
      <c r="Y46" s="9"/>
      <c r="Z46" s="9"/>
      <c r="AA46" s="9"/>
      <c r="AB46" s="9"/>
      <c r="AC46" s="9"/>
      <c r="AD46" s="9"/>
      <c r="AE46" s="9"/>
      <c r="AF46" s="9"/>
      <c r="AG46" s="9"/>
    </row>
    <row r="47" spans="1:33" ht="12.75" x14ac:dyDescent="0.2">
      <c r="A47" s="9"/>
      <c r="B47" s="105"/>
      <c r="C47" s="106"/>
      <c r="D47" s="106"/>
      <c r="E47" s="106"/>
      <c r="F47" s="106"/>
      <c r="G47" s="106"/>
      <c r="H47" s="106"/>
      <c r="I47" s="107"/>
      <c r="J47" s="9"/>
      <c r="K47" s="9"/>
      <c r="L47" s="9"/>
      <c r="M47" s="9"/>
      <c r="N47" s="9"/>
      <c r="O47" s="9"/>
      <c r="P47" s="9"/>
      <c r="Q47" s="9"/>
      <c r="R47" s="9"/>
      <c r="S47" s="9"/>
      <c r="T47" s="9"/>
      <c r="U47" s="9"/>
      <c r="V47" s="9"/>
      <c r="W47" s="9"/>
      <c r="X47" s="9"/>
      <c r="Y47" s="9"/>
      <c r="Z47" s="9"/>
      <c r="AA47" s="9"/>
      <c r="AB47" s="9"/>
      <c r="AC47" s="9"/>
      <c r="AD47" s="9"/>
      <c r="AE47" s="9"/>
      <c r="AF47" s="9"/>
      <c r="AG47" s="9"/>
    </row>
    <row r="48" spans="1:33" ht="12.75" x14ac:dyDescent="0.2">
      <c r="A48" s="9"/>
      <c r="B48" s="105"/>
      <c r="C48" s="106"/>
      <c r="D48" s="106"/>
      <c r="E48" s="106"/>
      <c r="F48" s="106"/>
      <c r="G48" s="106"/>
      <c r="H48" s="106"/>
      <c r="I48" s="107"/>
      <c r="J48" s="9"/>
      <c r="K48" s="9"/>
      <c r="L48" s="9"/>
      <c r="M48" s="9"/>
      <c r="N48" s="9"/>
      <c r="O48" s="9"/>
      <c r="P48" s="9"/>
      <c r="Q48" s="9"/>
      <c r="R48" s="9"/>
      <c r="S48" s="9"/>
      <c r="T48" s="9"/>
      <c r="U48" s="9"/>
      <c r="V48" s="9"/>
      <c r="W48" s="9"/>
      <c r="X48" s="9"/>
      <c r="Y48" s="9"/>
      <c r="Z48" s="9"/>
      <c r="AA48" s="9"/>
      <c r="AB48" s="9"/>
      <c r="AC48" s="9"/>
      <c r="AD48" s="9"/>
      <c r="AE48" s="9"/>
      <c r="AF48" s="9"/>
      <c r="AG48" s="9"/>
    </row>
    <row r="49" spans="1:33" ht="12.75" x14ac:dyDescent="0.2">
      <c r="A49" s="9"/>
      <c r="B49" s="108"/>
      <c r="C49" s="109"/>
      <c r="D49" s="109"/>
      <c r="E49" s="109"/>
      <c r="F49" s="109"/>
      <c r="G49" s="109"/>
      <c r="H49" s="109"/>
      <c r="I49" s="110"/>
      <c r="J49" s="9"/>
      <c r="K49" s="9"/>
      <c r="L49" s="9"/>
      <c r="M49" s="9"/>
      <c r="N49" s="9"/>
      <c r="O49" s="9"/>
      <c r="P49" s="9"/>
      <c r="Q49" s="9"/>
      <c r="R49" s="9"/>
      <c r="S49" s="9"/>
      <c r="T49" s="9"/>
      <c r="U49" s="9"/>
      <c r="V49" s="9"/>
      <c r="W49" s="9"/>
      <c r="X49" s="9"/>
      <c r="Y49" s="9"/>
      <c r="Z49" s="9"/>
      <c r="AA49" s="9"/>
      <c r="AB49" s="9"/>
      <c r="AC49" s="9"/>
      <c r="AD49" s="9"/>
      <c r="AE49" s="9"/>
      <c r="AF49" s="9"/>
      <c r="AG49" s="9"/>
    </row>
    <row r="50" spans="1:33" ht="12.75" x14ac:dyDescent="0.2">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row>
    <row r="51" spans="1:33" ht="12.75" hidden="1" x14ac:dyDescent="0.2">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row>
    <row r="52" spans="1:33" ht="12.75" hidden="1" x14ac:dyDescent="0.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row>
    <row r="53" spans="1:33" ht="12.75" hidden="1" x14ac:dyDescent="0.2">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row>
    <row r="54" spans="1:33" ht="12.75" hidden="1" x14ac:dyDescent="0.2">
      <c r="A54" s="9"/>
      <c r="B54" s="9"/>
      <c r="C54" s="9"/>
      <c r="D54" s="9"/>
      <c r="E54" s="9"/>
      <c r="F54" s="9"/>
      <c r="G54" s="9"/>
      <c r="H54" s="9"/>
      <c r="I54" s="9"/>
      <c r="J54" s="9"/>
      <c r="K54" s="9"/>
      <c r="L54" s="36"/>
      <c r="M54" s="9"/>
      <c r="N54" s="9"/>
      <c r="O54" s="9"/>
      <c r="P54" s="9"/>
      <c r="Q54" s="9"/>
      <c r="R54" s="9"/>
      <c r="S54" s="9"/>
      <c r="T54" s="9"/>
      <c r="U54" s="9"/>
      <c r="V54" s="9"/>
      <c r="W54" s="9"/>
      <c r="X54" s="9"/>
      <c r="Y54" s="9"/>
      <c r="Z54" s="9"/>
      <c r="AA54" s="9"/>
      <c r="AB54" s="9"/>
      <c r="AC54" s="9"/>
      <c r="AD54" s="9"/>
      <c r="AE54" s="9"/>
      <c r="AF54" s="9"/>
      <c r="AG54" s="9"/>
    </row>
    <row r="55" spans="1:33" ht="12.75" hidden="1" customHeight="1" x14ac:dyDescent="0.2"/>
    <row r="56" spans="1:33" ht="12.75" hidden="1" customHeight="1" x14ac:dyDescent="0.2"/>
  </sheetData>
  <sheetProtection algorithmName="SHA-512" hashValue="1igzLI9ODdSws8myoCAcZtzczCeJZTLCiEnayPHsbyssMT2ra3EZXdZAgv1902N/j0diu7YA8eHC7hJiQypMrw==" saltValue="KKQ/h6+xiW9WS78YvzPx0A==" spinCount="100000" sheet="1" objects="1" scenarios="1"/>
  <mergeCells count="12">
    <mergeCell ref="B2:O2"/>
    <mergeCell ref="B5:I49"/>
    <mergeCell ref="M10:N10"/>
    <mergeCell ref="M11:N11"/>
    <mergeCell ref="M14:N14"/>
    <mergeCell ref="M12:N12"/>
    <mergeCell ref="M13:N13"/>
    <mergeCell ref="J32:J33"/>
    <mergeCell ref="J35:J37"/>
    <mergeCell ref="J28:J30"/>
    <mergeCell ref="M16:N16"/>
    <mergeCell ref="M15:N15"/>
  </mergeCells>
  <conditionalFormatting sqref="AA25:AA27">
    <cfRule type="cellIs" dxfId="3" priority="10" operator="greaterThan">
      <formula>0</formula>
    </cfRule>
  </conditionalFormatting>
  <conditionalFormatting sqref="M28:M37 Z25:Z27">
    <cfRule type="cellIs" dxfId="2" priority="11" operator="lessThan">
      <formula>0</formula>
    </cfRule>
    <cfRule type="cellIs" dxfId="1" priority="12" operator="greaterThan">
      <formula>0</formula>
    </cfRule>
  </conditionalFormatting>
  <conditionalFormatting sqref="N19">
    <cfRule type="cellIs" dxfId="0" priority="1" operator="lessThan">
      <formula>0</formula>
    </cfRule>
  </conditionalFormatting>
  <dataValidations xWindow="1436" yWindow="585" count="13">
    <dataValidation type="decimal" operator="greaterThan" allowBlank="1" showInputMessage="1" showErrorMessage="1" error="Totaal moet op 100% uitkomen" sqref="N19 Q19" xr:uid="{03AA862B-08A6-487E-A576-77D95535D873}">
      <formula1>0</formula1>
    </dataValidation>
    <dataValidation type="decimal" allowBlank="1" showInputMessage="1" showErrorMessage="1" error="Alleen getallen tussen 0% en 100% toegestaan" sqref="N20:N24" xr:uid="{95926320-F54F-45C2-9F0F-40F6B75EF6EF}">
      <formula1>0</formula1>
      <formula2>1</formula2>
    </dataValidation>
    <dataValidation type="decimal" operator="greaterThan" allowBlank="1" showInputMessage="1" showErrorMessage="1" error="Alleen getallen toegestaan" promptTitle="Standaardwaarde = 30 jaar" prompt="Vul hier de verwachte levensduur van de panelen in. Wanneer u de verwachte levensduur niet weet, houden we automatisch  een gemiddelde levensduur van 30 jaar aan (bron: IEA, 2021)." sqref="M11:N11" xr:uid="{162C0586-99D9-4039-8BCA-A42A88046C76}">
      <formula1>0</formula1>
    </dataValidation>
    <dataValidation type="decimal" operator="greaterThan" allowBlank="1" showInputMessage="1" showErrorMessage="1" error="Alleen getallen toegestaan" prompt="Vul hier de verwachte jaarproductie in het eerste volledige jaar na installatie in. Vult u niets in, dan berekenen we de verwachte jaarproductie op basis van het vermogen per paneel en het aantal geplaatste panelen." sqref="M14:N14" xr:uid="{B71AE9C8-21D5-4DB0-940E-59B2FE33CDB0}">
      <formula1>0</formula1>
    </dataValidation>
    <dataValidation type="decimal" operator="greaterThan" allowBlank="1" showInputMessage="1" showErrorMessage="1" error="Alleen getallen toegestaan" promptTitle="Standaardwaarde = 400 Wp" prompt="Vul hier het geïnstalleerde vermogen per paneel in. Wanneer u niet weet hoe groot het vermogen per zonnepaneel zal zijn, houden we automatisch 400 Wp (watt-piek) per paneel aan (bron: CE Delft, 2021)" sqref="M13:N13" xr:uid="{9ABB108B-A8F4-4CC1-BAD6-6F6EDC9D0F9B}">
      <formula1>0</formula1>
    </dataValidation>
    <dataValidation type="decimal" operator="greaterThan" allowBlank="1" showInputMessage="1" showErrorMessage="1" error="Alleen getallen toegestaan" prompt="Geef hiet het aantal te plaatsen zonnepanelen uit deze aanbesteding op. Vult u niets in, dan berekenen we de aantallen op basis van de verwachte jaarproductie en het vermogen per paneel." sqref="M12:N12" xr:uid="{BCFB4033-C169-49FB-B213-C486E3FD7729}">
      <formula1>0</formula1>
    </dataValidation>
    <dataValidation allowBlank="1" showInputMessage="1" showErrorMessage="1" promptTitle="Sb-eq" prompt="Sb-eq staat voor het aantal antimoon equivalenten. Antimoon, ook wel Stibium genaamd, is een zilvergrijs metalloide. De keuze voor Antimoon als referentie-materiaal om uitputting van abiotische grondstoffen te berekenen is arbitrair (Guinée et al. 1995). " sqref="K34" xr:uid="{446F7ED9-779D-4111-9D0C-34B9F0A79ABE}"/>
    <dataValidation allowBlank="1" showInputMessage="1" showErrorMessage="1" promptTitle="Inclusief degradatie" prompt="De opbrengst van een zonnepaneel neemt gemiddeld 0.7% per jaar af door slijtage (IEA, 2021). De totale opbrengst is hier automatisch berekend met de formule:_x000a_totale productie zonder degradatie - afname door degradate" sqref="M15:N15" xr:uid="{D10F3338-DB4A-439A-80A2-45A521B964EA}"/>
    <dataValidation allowBlank="1" showInputMessage="1" showErrorMessage="1" prompt="Vul het totale oppervlak in m2 aan zonnepanelen in om de vermeden uitputting van fossiele grondstoffen te kunnen berekenen" sqref="M32" xr:uid="{E2D9A804-AE86-4B2C-9E83-C05CCAC32BC6}"/>
    <dataValidation allowBlank="1" showInputMessage="1" showErrorMessage="1" promptTitle="Abiotische grondstoffen" prompt="zijn metalen en mineralen. Sb-eq staat voor antimoon-equivalenten. Antimoon, ook Stibium genaamd, is een zilvergrijs metalloide. De keuze voor dit referentie-materiaal voor uitputting van abiotische grondstoffen is arbitrair (Guinée et al. 1995). " sqref="K33" xr:uid="{49C049AC-FBCA-42AA-A3AA-82C098227F7E}"/>
    <dataValidation allowBlank="1" showInputMessage="1" showErrorMessage="1" prompt="Disease incidences is een eenheidsmaat van de mogelijke ziektegevallen ten gevolge van fijnstofemissies." sqref="K35" xr:uid="{991B968C-0C65-4943-99B7-FF8CE52A6CA4}"/>
    <dataValidation allowBlank="1" showInputMessage="1" showErrorMessage="1" promptTitle="Hoe komen we tot dit getal?" prompt="Een zonnepaneel met een vermogen van ca. 400 Wattpiek (Wp) levert ongeveer 0,4 MWh per jaar._x000a__x000a_De jaarlijkse Nederlandse productie van een PV paneel is ca. 933 kWh/kWp. We vermenigvuldigen de totale Wp dus met 0,933 om tot kWh te komen. 1 kWh = 0,001 MWh" sqref="O14" xr:uid="{D25FC4F8-947A-4B4A-90C0-0CC153B10AD3}"/>
    <dataValidation allowBlank="1" showInputMessage="1" showErrorMessage="1" prompt="Deze waardes worden alleen gebruikt als u niets invult in de vorige kolom." sqref="O9" xr:uid="{A4CB2D53-D92C-4E11-96C9-76CD81BB547C}"/>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xWindow="1436" yWindow="585" count="1">
        <x14:dataValidation type="list" allowBlank="1" showInputMessage="1" showErrorMessage="1" xr:uid="{4B71D7DD-100B-4B48-937A-F6A220A63024}">
          <x14:formula1>
            <xm:f>AchtergrondZonnepanelen!$A$4:$A$9</xm:f>
          </x14:formula1>
          <xm:sqref>M20:M24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8DEAD-E4A1-4C86-AEA5-F3B92254A47E}">
  <sheetPr codeName="Sheet8"/>
  <dimension ref="A2:K44"/>
  <sheetViews>
    <sheetView topLeftCell="A10" workbookViewId="0">
      <selection activeCell="A25" sqref="A25"/>
    </sheetView>
  </sheetViews>
  <sheetFormatPr defaultRowHeight="12.75" x14ac:dyDescent="0.2"/>
  <cols>
    <col min="1" max="1" width="37.33203125" customWidth="1"/>
    <col min="2" max="2" width="13.5" customWidth="1"/>
    <col min="3" max="3" width="12.83203125" customWidth="1"/>
    <col min="4" max="4" width="12.6640625" customWidth="1"/>
    <col min="5" max="5" width="14.33203125" customWidth="1"/>
    <col min="6" max="6" width="12.83203125" customWidth="1"/>
    <col min="7" max="7" width="12.1640625" customWidth="1"/>
    <col min="8" max="8" width="16.6640625" customWidth="1"/>
    <col min="9" max="9" width="13.6640625" customWidth="1"/>
  </cols>
  <sheetData>
    <row r="2" spans="1:11" x14ac:dyDescent="0.2">
      <c r="A2" t="s">
        <v>60</v>
      </c>
    </row>
    <row r="3" spans="1:11" s="57" customFormat="1" ht="63.75" x14ac:dyDescent="0.2">
      <c r="A3" s="59" t="s">
        <v>61</v>
      </c>
      <c r="B3" s="59" t="s">
        <v>62</v>
      </c>
      <c r="C3" s="59" t="s">
        <v>63</v>
      </c>
      <c r="D3" s="59" t="s">
        <v>64</v>
      </c>
      <c r="E3" s="59" t="s">
        <v>65</v>
      </c>
      <c r="F3" s="59" t="s">
        <v>66</v>
      </c>
      <c r="G3" s="59" t="s">
        <v>67</v>
      </c>
      <c r="H3" s="59" t="s">
        <v>68</v>
      </c>
      <c r="I3" s="59" t="s">
        <v>69</v>
      </c>
      <c r="J3" s="59" t="s">
        <v>70</v>
      </c>
      <c r="K3" s="59" t="s">
        <v>71</v>
      </c>
    </row>
    <row r="4" spans="1:11" x14ac:dyDescent="0.2">
      <c r="A4" s="1" t="s">
        <v>24</v>
      </c>
      <c r="B4" s="1"/>
      <c r="C4" s="1"/>
      <c r="D4" s="1"/>
      <c r="E4" s="1"/>
      <c r="F4" s="1"/>
      <c r="G4" s="1"/>
      <c r="H4" s="1"/>
      <c r="I4" s="1"/>
      <c r="J4" s="1"/>
      <c r="K4" s="1"/>
    </row>
    <row r="5" spans="1:11" x14ac:dyDescent="0.2">
      <c r="A5" t="s">
        <v>72</v>
      </c>
      <c r="B5">
        <v>42.5</v>
      </c>
      <c r="C5">
        <v>0.54</v>
      </c>
      <c r="D5">
        <v>5.28</v>
      </c>
      <c r="E5">
        <v>3.63</v>
      </c>
      <c r="F5">
        <v>0.36</v>
      </c>
      <c r="G5">
        <v>7.49</v>
      </c>
      <c r="H5">
        <v>19.5</v>
      </c>
      <c r="I5">
        <f>0.00181+0.00181+0.0271+0.0543+0.00362+0.0603+0.00134+0.0223+0.158</f>
        <v>0.33057999999999998</v>
      </c>
      <c r="J5" t="s">
        <v>73</v>
      </c>
      <c r="K5" s="53" t="s">
        <v>74</v>
      </c>
    </row>
    <row r="6" spans="1:11" x14ac:dyDescent="0.2">
      <c r="A6" t="s">
        <v>58</v>
      </c>
      <c r="B6">
        <v>42.5</v>
      </c>
      <c r="C6">
        <v>0.54</v>
      </c>
      <c r="D6">
        <v>5.35</v>
      </c>
      <c r="E6">
        <v>3.51</v>
      </c>
      <c r="F6">
        <v>0.36</v>
      </c>
      <c r="G6">
        <v>6.71</v>
      </c>
      <c r="H6">
        <v>18</v>
      </c>
      <c r="I6">
        <f>0.00342+0.00342+0.0513+0.103+0.00683+0.114+0.00252+0.0421+0.298</f>
        <v>0.62458999999999998</v>
      </c>
      <c r="J6" t="s">
        <v>73</v>
      </c>
      <c r="K6" s="53" t="s">
        <v>74</v>
      </c>
    </row>
    <row r="7" spans="1:11" x14ac:dyDescent="0.2">
      <c r="A7" t="s">
        <v>59</v>
      </c>
      <c r="B7">
        <v>36.299999999999997</v>
      </c>
      <c r="C7">
        <v>0.54</v>
      </c>
      <c r="D7">
        <v>4.6500000000000004</v>
      </c>
      <c r="E7">
        <v>1.38</v>
      </c>
      <c r="F7">
        <v>0.23</v>
      </c>
      <c r="G7">
        <v>4.88</v>
      </c>
      <c r="H7">
        <v>16</v>
      </c>
      <c r="I7">
        <f>0.000577+0.00961+0.0093</f>
        <v>1.9486999999999997E-2</v>
      </c>
      <c r="J7">
        <v>2010</v>
      </c>
      <c r="K7" s="53" t="s">
        <v>74</v>
      </c>
    </row>
    <row r="8" spans="1:11" x14ac:dyDescent="0.2">
      <c r="A8" t="s">
        <v>57</v>
      </c>
      <c r="B8">
        <v>26.5</v>
      </c>
      <c r="C8">
        <v>0.38</v>
      </c>
      <c r="D8">
        <v>5.26</v>
      </c>
      <c r="E8">
        <v>1.08</v>
      </c>
      <c r="F8">
        <v>0.19</v>
      </c>
      <c r="G8">
        <v>3.08</v>
      </c>
      <c r="H8">
        <v>18</v>
      </c>
      <c r="I8">
        <f>0.000698+0.0116+0.0113</f>
        <v>2.3598000000000001E-2</v>
      </c>
      <c r="J8" t="s">
        <v>75</v>
      </c>
      <c r="K8" s="53" t="s">
        <v>74</v>
      </c>
    </row>
    <row r="9" spans="1:11" x14ac:dyDescent="0.2">
      <c r="A9" t="s">
        <v>20</v>
      </c>
      <c r="B9" s="56">
        <f>B5*$I$5+B6*$I$6+B7*$I$7+B8*$I$8</f>
        <v>41.927450099999994</v>
      </c>
      <c r="C9" s="56">
        <f t="shared" ref="C9:H9" si="0">C5*$I$5+C6*$I$6+C7*$I$7+C8*$I$8</f>
        <v>0.53528202000000003</v>
      </c>
      <c r="D9" s="56">
        <f t="shared" si="0"/>
        <v>5.3017589300000001</v>
      </c>
      <c r="E9" s="56">
        <f t="shared" si="0"/>
        <v>3.4446941999999998</v>
      </c>
      <c r="F9" s="56">
        <f>F5*$I$5+F6*$I$6+F7*$I$7+F8*$I$8</f>
        <v>0.35282682999999998</v>
      </c>
      <c r="G9" s="56">
        <f t="shared" si="0"/>
        <v>6.8348214999999994</v>
      </c>
      <c r="H9" s="56">
        <f t="shared" si="0"/>
        <v>18.425485999999999</v>
      </c>
      <c r="I9">
        <f>SUM(I5:I8)</f>
        <v>0.998255</v>
      </c>
      <c r="K9" s="53" t="s">
        <v>76</v>
      </c>
    </row>
    <row r="12" spans="1:11" x14ac:dyDescent="0.2">
      <c r="A12" t="s">
        <v>77</v>
      </c>
    </row>
    <row r="13" spans="1:11" x14ac:dyDescent="0.2">
      <c r="C13" t="s">
        <v>71</v>
      </c>
    </row>
    <row r="14" spans="1:11" x14ac:dyDescent="0.2">
      <c r="A14" t="s">
        <v>78</v>
      </c>
      <c r="B14">
        <v>30</v>
      </c>
      <c r="C14" s="53" t="s">
        <v>79</v>
      </c>
    </row>
    <row r="15" spans="1:11" x14ac:dyDescent="0.2">
      <c r="A15" t="s">
        <v>80</v>
      </c>
      <c r="B15">
        <v>400</v>
      </c>
      <c r="C15" s="67" t="s">
        <v>81</v>
      </c>
    </row>
    <row r="16" spans="1:11" x14ac:dyDescent="0.2">
      <c r="A16" t="s">
        <v>82</v>
      </c>
      <c r="B16">
        <v>975</v>
      </c>
      <c r="C16" s="53" t="s">
        <v>74</v>
      </c>
    </row>
    <row r="17" spans="1:10" x14ac:dyDescent="0.2">
      <c r="A17" t="s">
        <v>204</v>
      </c>
      <c r="B17">
        <v>0.7</v>
      </c>
      <c r="C17" s="53" t="s">
        <v>74</v>
      </c>
      <c r="I17" s="53" t="s">
        <v>211</v>
      </c>
    </row>
    <row r="19" spans="1:10" x14ac:dyDescent="0.2">
      <c r="A19" s="96" t="s">
        <v>212</v>
      </c>
    </row>
    <row r="20" spans="1:10" x14ac:dyDescent="0.2">
      <c r="A20" t="s">
        <v>213</v>
      </c>
    </row>
    <row r="21" spans="1:10" x14ac:dyDescent="0.2">
      <c r="A21" t="s">
        <v>214</v>
      </c>
    </row>
    <row r="22" spans="1:10" x14ac:dyDescent="0.2">
      <c r="A22">
        <f>0.993^30</f>
        <v>0.80998589252029551</v>
      </c>
      <c r="B22" t="s">
        <v>116</v>
      </c>
    </row>
    <row r="23" spans="1:10" x14ac:dyDescent="0.2">
      <c r="A23" t="s">
        <v>215</v>
      </c>
    </row>
    <row r="24" spans="1:10" x14ac:dyDescent="0.2">
      <c r="A24">
        <f>1-A22</f>
        <v>0.19001410747970449</v>
      </c>
      <c r="B24" t="s">
        <v>116</v>
      </c>
    </row>
    <row r="25" spans="1:10" x14ac:dyDescent="0.2">
      <c r="A25" t="s">
        <v>216</v>
      </c>
    </row>
    <row r="28" spans="1:10" x14ac:dyDescent="0.2">
      <c r="A28" s="58" t="s">
        <v>83</v>
      </c>
      <c r="B28" s="57"/>
      <c r="C28" s="57"/>
      <c r="D28" s="57"/>
      <c r="E28" s="57"/>
      <c r="F28" s="57"/>
      <c r="G28" s="57"/>
      <c r="H28" s="57"/>
      <c r="I28" s="57"/>
      <c r="J28" s="57"/>
    </row>
    <row r="29" spans="1:10" x14ac:dyDescent="0.2">
      <c r="B29" t="s">
        <v>84</v>
      </c>
      <c r="C29" t="s">
        <v>71</v>
      </c>
      <c r="G29" s="65"/>
      <c r="H29" t="s">
        <v>84</v>
      </c>
      <c r="I29" t="s">
        <v>71</v>
      </c>
    </row>
    <row r="30" spans="1:10" x14ac:dyDescent="0.2">
      <c r="B30" t="s">
        <v>85</v>
      </c>
      <c r="C30" t="s">
        <v>86</v>
      </c>
      <c r="G30" s="65"/>
      <c r="H30" t="s">
        <v>87</v>
      </c>
      <c r="I30" s="53" t="s">
        <v>88</v>
      </c>
    </row>
    <row r="31" spans="1:10" x14ac:dyDescent="0.2">
      <c r="A31" s="1" t="s">
        <v>24</v>
      </c>
      <c r="G31" s="65"/>
    </row>
    <row r="32" spans="1:10" x14ac:dyDescent="0.2">
      <c r="A32" t="s">
        <v>72</v>
      </c>
      <c r="B32">
        <v>71.099999999999994</v>
      </c>
      <c r="C32" t="s">
        <v>89</v>
      </c>
      <c r="H32" s="45">
        <v>5.2900000000000002E-6</v>
      </c>
    </row>
    <row r="33" spans="1:9" x14ac:dyDescent="0.2">
      <c r="A33" t="s">
        <v>58</v>
      </c>
      <c r="B33">
        <v>55.2</v>
      </c>
      <c r="C33" t="s">
        <v>90</v>
      </c>
      <c r="H33" s="45">
        <v>5.3600000000000004E-6</v>
      </c>
    </row>
    <row r="34" spans="1:9" x14ac:dyDescent="0.2">
      <c r="A34" t="s">
        <v>59</v>
      </c>
      <c r="B34">
        <v>31.8</v>
      </c>
      <c r="C34" s="66" t="s">
        <v>91</v>
      </c>
      <c r="H34" s="45">
        <f>H36</f>
        <v>5.2206960800000009E-6</v>
      </c>
      <c r="I34" t="s">
        <v>92</v>
      </c>
    </row>
    <row r="35" spans="1:9" x14ac:dyDescent="0.2">
      <c r="A35" t="s">
        <v>57</v>
      </c>
      <c r="B35">
        <v>17.7</v>
      </c>
      <c r="C35" s="66" t="s">
        <v>93</v>
      </c>
      <c r="H35" s="45">
        <v>5.2599999999999996E-6</v>
      </c>
    </row>
    <row r="36" spans="1:9" x14ac:dyDescent="0.2">
      <c r="A36" t="s">
        <v>20</v>
      </c>
      <c r="B36" s="65">
        <f>B32*I5+B33*I6+B34*I7+B35*I8</f>
        <v>59.018977200000002</v>
      </c>
      <c r="H36" s="45">
        <f>H32*I5+H33*I6+H35*I8</f>
        <v>5.2206960800000009E-6</v>
      </c>
    </row>
    <row r="38" spans="1:9" x14ac:dyDescent="0.2">
      <c r="A38" t="s">
        <v>94</v>
      </c>
    </row>
    <row r="41" spans="1:9" x14ac:dyDescent="0.2">
      <c r="A41" t="s">
        <v>147</v>
      </c>
      <c r="G41" t="s">
        <v>153</v>
      </c>
    </row>
    <row r="42" spans="1:9" x14ac:dyDescent="0.2">
      <c r="A42" s="71">
        <v>7900000</v>
      </c>
      <c r="B42" t="s">
        <v>148</v>
      </c>
      <c r="G42" s="53" t="s">
        <v>149</v>
      </c>
    </row>
    <row r="43" spans="1:9" x14ac:dyDescent="0.2">
      <c r="A43" s="71">
        <v>32878000</v>
      </c>
      <c r="B43" t="s">
        <v>150</v>
      </c>
      <c r="G43" s="53" t="s">
        <v>152</v>
      </c>
    </row>
    <row r="44" spans="1:9" x14ac:dyDescent="0.2">
      <c r="A44" s="65">
        <f>A43/A42</f>
        <v>4.1617721518987345</v>
      </c>
      <c r="B44" t="s">
        <v>151</v>
      </c>
    </row>
  </sheetData>
  <hyperlinks>
    <hyperlink ref="K9" r:id="rId1" xr:uid="{F641FD19-C192-4257-99FC-D605F362D5E8}"/>
    <hyperlink ref="C16" r:id="rId2" xr:uid="{99195A67-06FF-4756-80FF-B7B32C4967B6}"/>
    <hyperlink ref="K5" r:id="rId3" xr:uid="{B281A76B-A811-4A6B-B581-8F26862CE717}"/>
    <hyperlink ref="K6" r:id="rId4" xr:uid="{FFBF5230-296A-4BF2-BDA4-73B2D89DDBD8}"/>
    <hyperlink ref="K7" r:id="rId5" xr:uid="{52C90EC7-3AE6-4453-84F1-A7A2C7571DCA}"/>
    <hyperlink ref="K8" r:id="rId6" xr:uid="{2A2CC4EA-F652-4B39-9FDA-E377B85CDDF2}"/>
    <hyperlink ref="C14" r:id="rId7" xr:uid="{FE3E604F-18AA-4AE9-80CC-F393CFFA25D3}"/>
    <hyperlink ref="C15" r:id="rId8" xr:uid="{7C7B7C77-9830-4F27-8F9E-13E83346C379}"/>
    <hyperlink ref="I30" r:id="rId9" display="https://iea-pvps.org/wp-content/uploads/2022/03/Report_IEA_PVPS_T12-22-2022-ResourceUseFootprintsResidentialPV.pdf" xr:uid="{3880A26E-4972-4DF0-843E-9D061EE32DD4}"/>
    <hyperlink ref="G42" r:id="rId10" display="https://www.cbs.nl/nl-nl/visualisaties/dashboard-bevolking/woonsituatie/huishoudens-nu" xr:uid="{7A1417E8-CA3C-4724-A01B-D7FE48AEFFCF}"/>
    <hyperlink ref="G43" r:id="rId11" location="/CBS/nl/dataset/83300NED/table" display="https://opendata.cbs.nl/ - /CBS/nl/dataset/83300NED/table" xr:uid="{A7D6D76F-CB66-4D0A-895C-1E417991969C}"/>
    <hyperlink ref="C17" r:id="rId12" xr:uid="{790F73E1-0044-49A4-8DB9-26604C454391}"/>
    <hyperlink ref="I17" r:id="rId13" display="https://iea-pvps.org/wp-content/uploads/2020/07/IEA_Task12_LCA_Guidelines.pdf" xr:uid="{D292D767-655E-4099-9083-F471FB730B9D}"/>
  </hyperlinks>
  <pageMargins left="0.7" right="0.7" top="0.75" bottom="0.75" header="0.3" footer="0.3"/>
  <pageSetup paperSize="9" orientation="portrait" r:id="rId14"/>
  <legacy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5"/>
  <sheetViews>
    <sheetView workbookViewId="0">
      <selection activeCell="A6" sqref="A6"/>
    </sheetView>
  </sheetViews>
  <sheetFormatPr defaultRowHeight="12.75" x14ac:dyDescent="0.2"/>
  <cols>
    <col min="2" max="2" width="10.5" bestFit="1" customWidth="1"/>
    <col min="3" max="3" width="131.6640625" bestFit="1" customWidth="1"/>
  </cols>
  <sheetData>
    <row r="1" spans="1:3" x14ac:dyDescent="0.2">
      <c r="A1" t="s">
        <v>95</v>
      </c>
      <c r="B1" t="s">
        <v>96</v>
      </c>
      <c r="C1" t="s">
        <v>97</v>
      </c>
    </row>
    <row r="2" spans="1:3" ht="51" x14ac:dyDescent="0.2">
      <c r="A2" t="s">
        <v>98</v>
      </c>
      <c r="B2" s="46">
        <v>43565</v>
      </c>
      <c r="C2" s="1" t="s">
        <v>99</v>
      </c>
    </row>
    <row r="3" spans="1:3" ht="25.5" x14ac:dyDescent="0.2">
      <c r="A3">
        <v>1.1200000000000001</v>
      </c>
      <c r="B3" s="46">
        <v>44662</v>
      </c>
      <c r="C3" s="1" t="s">
        <v>100</v>
      </c>
    </row>
    <row r="4" spans="1:3" x14ac:dyDescent="0.2">
      <c r="A4">
        <v>1.1299999999999999</v>
      </c>
      <c r="B4" s="46">
        <v>44671</v>
      </c>
      <c r="C4" t="s">
        <v>101</v>
      </c>
    </row>
    <row r="5" spans="1:3" x14ac:dyDescent="0.2">
      <c r="A5" t="s">
        <v>209</v>
      </c>
      <c r="B5" s="46">
        <v>44837</v>
      </c>
      <c r="C5" t="s">
        <v>210</v>
      </c>
    </row>
  </sheetData>
  <sheetProtection algorithmName="SHA-512" hashValue="Akl0CRGHhiawlHK3u7F8XFQD4NF2sLzvxBerISIVIoydhma3TU2f9DNUfuLxl7eS5gLWB4bYZF9OO9FJn7vnHQ==" saltValue="l7wc7uq0O5a+mUcfGuR3A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V56"/>
  <sheetViews>
    <sheetView workbookViewId="0">
      <selection activeCell="E14" sqref="E14"/>
    </sheetView>
  </sheetViews>
  <sheetFormatPr defaultRowHeight="12.75" x14ac:dyDescent="0.2"/>
  <cols>
    <col min="1" max="1" width="42" customWidth="1"/>
    <col min="2" max="2" width="16.83203125" customWidth="1"/>
    <col min="3" max="3" width="17.5" customWidth="1"/>
    <col min="4" max="4" width="17.6640625" customWidth="1"/>
    <col min="5" max="5" width="18.5" customWidth="1"/>
    <col min="6" max="7" width="15.83203125" customWidth="1"/>
    <col min="8" max="8" width="14.5" customWidth="1"/>
    <col min="12" max="12" width="10" customWidth="1"/>
  </cols>
  <sheetData>
    <row r="1" spans="1:11" ht="25.5" x14ac:dyDescent="0.2">
      <c r="A1" t="s">
        <v>102</v>
      </c>
      <c r="B1" s="1" t="s">
        <v>103</v>
      </c>
      <c r="C1" s="1" t="s">
        <v>104</v>
      </c>
      <c r="D1" s="1" t="s">
        <v>105</v>
      </c>
      <c r="E1" s="1" t="s">
        <v>106</v>
      </c>
      <c r="F1" t="s">
        <v>107</v>
      </c>
      <c r="G1" t="s">
        <v>70</v>
      </c>
      <c r="H1" t="s">
        <v>108</v>
      </c>
    </row>
    <row r="2" spans="1:11" x14ac:dyDescent="0.2">
      <c r="A2" t="s">
        <v>24</v>
      </c>
      <c r="E2" s="1"/>
    </row>
    <row r="3" spans="1:11" x14ac:dyDescent="0.2">
      <c r="A3" t="s">
        <v>109</v>
      </c>
      <c r="B3">
        <f>C3+D3</f>
        <v>4.4999999999999998E-2</v>
      </c>
      <c r="C3">
        <v>4.3999999999999997E-2</v>
      </c>
      <c r="D3">
        <v>1E-3</v>
      </c>
      <c r="E3" s="50">
        <v>7.5000000000000002E-4</v>
      </c>
      <c r="F3">
        <f>E3*1000</f>
        <v>0.75</v>
      </c>
      <c r="G3" s="47">
        <v>44562</v>
      </c>
      <c r="H3" t="s">
        <v>110</v>
      </c>
    </row>
    <row r="4" spans="1:11" x14ac:dyDescent="0.2">
      <c r="A4" t="s">
        <v>23</v>
      </c>
      <c r="B4">
        <f t="shared" ref="B4:B6" si="0">C4+D4</f>
        <v>9.2999999999999999E-2</v>
      </c>
      <c r="C4">
        <v>0</v>
      </c>
      <c r="D4">
        <v>9.2999999999999999E-2</v>
      </c>
      <c r="E4" s="51">
        <v>2.4299999999999999E-7</v>
      </c>
      <c r="F4">
        <f t="shared" ref="F4:F5" si="1">E4*1000</f>
        <v>2.43E-4</v>
      </c>
      <c r="G4" s="47">
        <v>44562</v>
      </c>
      <c r="H4" t="s">
        <v>110</v>
      </c>
    </row>
    <row r="5" spans="1:11" x14ac:dyDescent="0.2">
      <c r="A5" t="s">
        <v>111</v>
      </c>
      <c r="B5">
        <f t="shared" si="0"/>
        <v>4.0000000000000001E-3</v>
      </c>
      <c r="C5">
        <v>0</v>
      </c>
      <c r="D5">
        <v>4.0000000000000001E-3</v>
      </c>
      <c r="E5" s="51">
        <v>1.15E-5</v>
      </c>
      <c r="F5">
        <f t="shared" si="1"/>
        <v>1.15E-2</v>
      </c>
      <c r="G5" s="47">
        <v>43831</v>
      </c>
      <c r="H5" t="s">
        <v>110</v>
      </c>
    </row>
    <row r="6" spans="1:11" x14ac:dyDescent="0.2">
      <c r="A6" t="s">
        <v>21</v>
      </c>
      <c r="B6">
        <f t="shared" si="0"/>
        <v>1.4E-2</v>
      </c>
      <c r="C6">
        <v>0</v>
      </c>
      <c r="D6">
        <v>1.4E-2</v>
      </c>
      <c r="E6" s="51">
        <v>7.5799999999999998E-7</v>
      </c>
      <c r="F6" s="45">
        <f>E6*1000</f>
        <v>7.5799999999999999E-4</v>
      </c>
      <c r="G6" s="47">
        <v>43831</v>
      </c>
      <c r="H6" t="s">
        <v>110</v>
      </c>
    </row>
    <row r="7" spans="1:11" x14ac:dyDescent="0.2">
      <c r="A7" t="s">
        <v>22</v>
      </c>
      <c r="B7">
        <f>C7+D7</f>
        <v>0.52400000000000002</v>
      </c>
      <c r="C7">
        <v>0.52300000000000002</v>
      </c>
      <c r="D7">
        <v>1E-3</v>
      </c>
      <c r="E7" s="4">
        <f>F7/1000</f>
        <v>0.17024692275680819</v>
      </c>
      <c r="F7">
        <f>L24</f>
        <v>170.2469227568082</v>
      </c>
      <c r="G7" s="47">
        <v>44562</v>
      </c>
      <c r="H7" t="s">
        <v>110</v>
      </c>
    </row>
    <row r="8" spans="1:11" x14ac:dyDescent="0.2">
      <c r="A8" t="s">
        <v>20</v>
      </c>
      <c r="B8">
        <f>C8+D8</f>
        <v>0.432</v>
      </c>
      <c r="C8">
        <v>0.42699999999999999</v>
      </c>
      <c r="D8">
        <v>5.0000000000000001E-3</v>
      </c>
      <c r="E8" s="4">
        <f>H13</f>
        <v>0.13863653623035399</v>
      </c>
      <c r="F8">
        <f>E8*1000</f>
        <v>138.63653623035398</v>
      </c>
      <c r="G8" s="47">
        <v>44562</v>
      </c>
      <c r="H8" t="s">
        <v>110</v>
      </c>
    </row>
    <row r="9" spans="1:11" x14ac:dyDescent="0.2">
      <c r="E9" s="4"/>
    </row>
    <row r="11" spans="1:11" x14ac:dyDescent="0.2">
      <c r="A11" t="s">
        <v>165</v>
      </c>
      <c r="C11" t="s">
        <v>168</v>
      </c>
      <c r="D11" t="s">
        <v>170</v>
      </c>
      <c r="E11" t="s">
        <v>172</v>
      </c>
      <c r="F11" t="s">
        <v>167</v>
      </c>
      <c r="G11" t="s">
        <v>175</v>
      </c>
      <c r="H11" t="s">
        <v>177</v>
      </c>
    </row>
    <row r="12" spans="1:11" x14ac:dyDescent="0.2">
      <c r="B12" t="s">
        <v>112</v>
      </c>
      <c r="C12" t="s">
        <v>169</v>
      </c>
      <c r="D12" t="s">
        <v>171</v>
      </c>
      <c r="E12" t="s">
        <v>173</v>
      </c>
      <c r="F12" t="s">
        <v>174</v>
      </c>
      <c r="G12" t="s">
        <v>176</v>
      </c>
      <c r="H12" t="s">
        <v>178</v>
      </c>
      <c r="I12" t="s">
        <v>71</v>
      </c>
      <c r="K12" t="s">
        <v>166</v>
      </c>
    </row>
    <row r="13" spans="1:11" x14ac:dyDescent="0.2">
      <c r="A13" s="4" t="s">
        <v>114</v>
      </c>
      <c r="C13" s="4"/>
      <c r="D13" s="4"/>
      <c r="E13" s="4"/>
      <c r="F13" s="4">
        <v>0.496</v>
      </c>
      <c r="G13" s="4"/>
      <c r="H13" s="4">
        <v>0.13863653623035399</v>
      </c>
      <c r="I13" t="s">
        <v>184</v>
      </c>
      <c r="K13" t="s">
        <v>113</v>
      </c>
    </row>
    <row r="14" spans="1:11" x14ac:dyDescent="0.2">
      <c r="A14" s="4" t="s">
        <v>114</v>
      </c>
      <c r="C14" s="45">
        <v>6.856754E-9</v>
      </c>
      <c r="D14">
        <f>0.0008337381*1000</f>
        <v>0.83373810000000004</v>
      </c>
      <c r="E14" s="4">
        <f>0.00728*1000</f>
        <v>7.28</v>
      </c>
      <c r="F14" s="4">
        <f>0.138*3.6</f>
        <v>0.49680000000000007</v>
      </c>
      <c r="G14" s="4">
        <f>0.00000000166*3.6</f>
        <v>5.976E-9</v>
      </c>
      <c r="H14" s="4">
        <f>0.0385*3.6</f>
        <v>0.1386</v>
      </c>
      <c r="I14" t="s">
        <v>185</v>
      </c>
      <c r="K14" t="s">
        <v>190</v>
      </c>
    </row>
    <row r="23" spans="1:12" x14ac:dyDescent="0.2">
      <c r="A23" t="s">
        <v>115</v>
      </c>
      <c r="J23" t="s">
        <v>116</v>
      </c>
      <c r="K23" t="s">
        <v>117</v>
      </c>
      <c r="L23" t="s">
        <v>118</v>
      </c>
    </row>
    <row r="24" spans="1:12" x14ac:dyDescent="0.2">
      <c r="A24" s="52" t="s">
        <v>119</v>
      </c>
      <c r="B24" s="5" t="s">
        <v>116</v>
      </c>
      <c r="C24" s="5"/>
      <c r="D24" s="5"/>
      <c r="I24" t="s">
        <v>120</v>
      </c>
      <c r="J24">
        <f>100-J26</f>
        <v>81.430000000000007</v>
      </c>
      <c r="K24">
        <f>B7</f>
        <v>0.52400000000000002</v>
      </c>
      <c r="L24" s="45">
        <f>(L25-L26)/(J24/100)</f>
        <v>170.2469227568082</v>
      </c>
    </row>
    <row r="25" spans="1:12" x14ac:dyDescent="0.2">
      <c r="A25" s="6" t="s">
        <v>121</v>
      </c>
      <c r="B25" s="6">
        <v>18.57</v>
      </c>
      <c r="C25" s="6"/>
      <c r="D25" s="6"/>
      <c r="I25" t="s">
        <v>20</v>
      </c>
      <c r="J25">
        <v>100</v>
      </c>
      <c r="K25">
        <f>B8</f>
        <v>0.432</v>
      </c>
      <c r="L25">
        <f>F8</f>
        <v>138.63653623035398</v>
      </c>
    </row>
    <row r="26" spans="1:12" x14ac:dyDescent="0.2">
      <c r="A26" s="6" t="s">
        <v>122</v>
      </c>
      <c r="B26" s="6">
        <v>0.06</v>
      </c>
      <c r="C26" s="6"/>
      <c r="D26" s="6"/>
      <c r="I26" t="s">
        <v>123</v>
      </c>
      <c r="J26">
        <f>B25</f>
        <v>18.57</v>
      </c>
      <c r="K26">
        <f>(B26*B5+B27*B6+B28*B4+B3*B29)*(J26/100)</f>
        <v>0.13941427499999998</v>
      </c>
      <c r="L26" s="45">
        <f>(B26*F5+B27*F6+B28*F4+F3*B29)*(K26/100)</f>
        <v>4.4670294850606409E-3</v>
      </c>
    </row>
    <row r="27" spans="1:12" x14ac:dyDescent="0.2">
      <c r="A27" s="6" t="s">
        <v>124</v>
      </c>
      <c r="B27" s="6">
        <v>9.69</v>
      </c>
      <c r="C27" s="6"/>
      <c r="D27" s="6"/>
    </row>
    <row r="28" spans="1:12" x14ac:dyDescent="0.2">
      <c r="A28" s="6" t="s">
        <v>125</v>
      </c>
      <c r="B28" s="6">
        <v>4.55</v>
      </c>
      <c r="C28" s="6"/>
      <c r="D28" s="6"/>
    </row>
    <row r="29" spans="1:12" x14ac:dyDescent="0.2">
      <c r="A29" s="6" t="s">
        <v>126</v>
      </c>
      <c r="B29" s="6">
        <v>4.26</v>
      </c>
      <c r="C29" s="6"/>
      <c r="D29" s="6"/>
    </row>
    <row r="33" spans="21:22" x14ac:dyDescent="0.2">
      <c r="U33" s="45"/>
      <c r="V33" s="45"/>
    </row>
    <row r="36" spans="21:22" x14ac:dyDescent="0.2">
      <c r="U36" s="45"/>
      <c r="V36" s="45"/>
    </row>
    <row r="37" spans="21:22" x14ac:dyDescent="0.2">
      <c r="U37" s="45"/>
      <c r="V37" s="45"/>
    </row>
    <row r="38" spans="21:22" x14ac:dyDescent="0.2">
      <c r="U38" s="45"/>
      <c r="V38" s="45"/>
    </row>
    <row r="40" spans="21:22" x14ac:dyDescent="0.2">
      <c r="U40" s="45"/>
      <c r="V40" s="45"/>
    </row>
    <row r="43" spans="21:22" x14ac:dyDescent="0.2">
      <c r="U43" s="78"/>
      <c r="V43" s="78"/>
    </row>
    <row r="46" spans="21:22" x14ac:dyDescent="0.2">
      <c r="U46" s="78"/>
      <c r="V46" s="78"/>
    </row>
    <row r="47" spans="21:22" x14ac:dyDescent="0.2">
      <c r="U47" s="45"/>
      <c r="V47" s="45"/>
    </row>
    <row r="51" spans="21:22" x14ac:dyDescent="0.2">
      <c r="U51" s="45"/>
      <c r="V51" s="45"/>
    </row>
    <row r="52" spans="21:22" x14ac:dyDescent="0.2">
      <c r="U52" s="45"/>
      <c r="V52" s="45"/>
    </row>
    <row r="53" spans="21:22" x14ac:dyDescent="0.2">
      <c r="U53" s="45"/>
      <c r="V53" s="45"/>
    </row>
    <row r="54" spans="21:22" x14ac:dyDescent="0.2">
      <c r="U54" s="45"/>
      <c r="V54" s="45"/>
    </row>
    <row r="56" spans="21:22" x14ac:dyDescent="0.2">
      <c r="U56" s="45"/>
      <c r="V56" s="45"/>
    </row>
  </sheetData>
  <hyperlinks>
    <hyperlink ref="A24" r:id="rId1" display="Groene stroom (netto productie CBS, 2020)" xr:uid="{733292C7-2E25-4483-B944-16A1AA556377}"/>
  </hyperlinks>
  <pageMargins left="0.7" right="0.7" top="0.75" bottom="0.75" header="0.3" footer="0.3"/>
  <pageSetup orientation="portrait" horizontalDpi="1200" verticalDpi="1200"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42"/>
  <sheetViews>
    <sheetView workbookViewId="0">
      <selection activeCell="D14" sqref="D14"/>
    </sheetView>
  </sheetViews>
  <sheetFormatPr defaultRowHeight="12.75" x14ac:dyDescent="0.2"/>
  <cols>
    <col min="1" max="1" width="23.33203125" customWidth="1"/>
    <col min="3" max="3" width="35" customWidth="1"/>
    <col min="4" max="4" width="32.33203125" bestFit="1" customWidth="1"/>
    <col min="5" max="5" width="44.33203125" bestFit="1" customWidth="1"/>
    <col min="6" max="6" width="11.5" customWidth="1"/>
  </cols>
  <sheetData>
    <row r="1" spans="1:7" s="57" customFormat="1" x14ac:dyDescent="0.2">
      <c r="A1" s="57" t="s">
        <v>127</v>
      </c>
      <c r="B1" s="57" t="s">
        <v>84</v>
      </c>
      <c r="C1" s="57" t="s">
        <v>128</v>
      </c>
      <c r="D1" s="57" t="s">
        <v>129</v>
      </c>
      <c r="E1" s="57" t="s">
        <v>130</v>
      </c>
      <c r="F1" s="57" t="s">
        <v>70</v>
      </c>
      <c r="G1" s="57" t="s">
        <v>108</v>
      </c>
    </row>
    <row r="2" spans="1:7" x14ac:dyDescent="0.2">
      <c r="A2" t="s">
        <v>131</v>
      </c>
      <c r="B2" t="s">
        <v>132</v>
      </c>
      <c r="C2">
        <v>1.8839999999999999</v>
      </c>
      <c r="D2">
        <v>1.7849999999999999</v>
      </c>
      <c r="E2">
        <v>9.9000000000000005E-2</v>
      </c>
      <c r="F2" s="47">
        <v>43831</v>
      </c>
      <c r="G2" t="s">
        <v>133</v>
      </c>
    </row>
    <row r="3" spans="1:7" x14ac:dyDescent="0.2">
      <c r="A3" t="s">
        <v>134</v>
      </c>
      <c r="B3" t="s">
        <v>132</v>
      </c>
      <c r="C3">
        <v>1.26</v>
      </c>
      <c r="D3">
        <v>0</v>
      </c>
      <c r="E3">
        <v>1.26</v>
      </c>
      <c r="G3" t="s">
        <v>133</v>
      </c>
    </row>
    <row r="4" spans="1:7" x14ac:dyDescent="0.2">
      <c r="A4" t="s">
        <v>135</v>
      </c>
      <c r="B4" t="s">
        <v>132</v>
      </c>
      <c r="C4">
        <v>0.72299999999999998</v>
      </c>
      <c r="D4">
        <v>0</v>
      </c>
      <c r="E4">
        <v>0.72299999999999998</v>
      </c>
      <c r="F4" s="47">
        <v>43831</v>
      </c>
      <c r="G4" t="s">
        <v>133</v>
      </c>
    </row>
    <row r="11" spans="1:7" s="57" customFormat="1" ht="15" x14ac:dyDescent="0.25">
      <c r="A11" s="58" t="s">
        <v>83</v>
      </c>
      <c r="C11" s="60"/>
    </row>
    <row r="12" spans="1:7" x14ac:dyDescent="0.2">
      <c r="A12" t="s">
        <v>136</v>
      </c>
      <c r="B12" t="s">
        <v>84</v>
      </c>
      <c r="C12" s="50" t="s">
        <v>137</v>
      </c>
      <c r="D12" s="50" t="s">
        <v>138</v>
      </c>
      <c r="E12" t="s">
        <v>71</v>
      </c>
    </row>
    <row r="13" spans="1:7" x14ac:dyDescent="0.2">
      <c r="A13" t="s">
        <v>139</v>
      </c>
      <c r="B13" t="s">
        <v>140</v>
      </c>
      <c r="C13" s="50">
        <v>2.4749633E-2</v>
      </c>
      <c r="D13" s="50">
        <v>0.93515839999999995</v>
      </c>
      <c r="E13" t="s">
        <v>141</v>
      </c>
    </row>
    <row r="14" spans="1:7" x14ac:dyDescent="0.2">
      <c r="A14" t="s">
        <v>139</v>
      </c>
      <c r="B14" t="s">
        <v>140</v>
      </c>
      <c r="C14">
        <v>3.4000000000000002E-2</v>
      </c>
      <c r="D14">
        <v>0.84</v>
      </c>
      <c r="E14" t="s">
        <v>86</v>
      </c>
    </row>
    <row r="31" spans="3:4" x14ac:dyDescent="0.2">
      <c r="C31" s="45"/>
      <c r="D31" s="45"/>
    </row>
    <row r="37" spans="3:4" x14ac:dyDescent="0.2">
      <c r="C37" s="45"/>
      <c r="D37" s="45"/>
    </row>
    <row r="38" spans="3:4" x14ac:dyDescent="0.2">
      <c r="C38" s="45"/>
      <c r="D38" s="45"/>
    </row>
    <row r="42" spans="3:4" x14ac:dyDescent="0.2">
      <c r="C42" s="45"/>
      <c r="D42" s="45"/>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F7"/>
  <sheetViews>
    <sheetView workbookViewId="0">
      <selection activeCell="H9" sqref="H9"/>
    </sheetView>
  </sheetViews>
  <sheetFormatPr defaultColWidth="9.33203125" defaultRowHeight="12.75" x14ac:dyDescent="0.2"/>
  <cols>
    <col min="1" max="3" width="9.33203125" style="2"/>
    <col min="4" max="4" width="21.33203125" style="2" bestFit="1" customWidth="1"/>
    <col min="5" max="5" width="11" style="2" bestFit="1" customWidth="1"/>
    <col min="6" max="16384" width="9.33203125" style="2"/>
  </cols>
  <sheetData>
    <row r="1" spans="1:6" x14ac:dyDescent="0.2">
      <c r="A1" s="2" t="s">
        <v>142</v>
      </c>
      <c r="B1" s="2" t="s">
        <v>143</v>
      </c>
      <c r="C1" s="2" t="s">
        <v>144</v>
      </c>
      <c r="D1" s="2" t="s">
        <v>145</v>
      </c>
      <c r="E1" s="2" t="s">
        <v>7</v>
      </c>
      <c r="F1" s="2" t="s">
        <v>146</v>
      </c>
    </row>
    <row r="2" spans="1:6" x14ac:dyDescent="0.2">
      <c r="A2" s="2">
        <f>'Invulsheet Elektriciteit'!$M$10</f>
        <v>0</v>
      </c>
      <c r="B2" s="2">
        <f>'Invulsheet Elektriciteit'!$M$12*Inleesegevens!E2</f>
        <v>0</v>
      </c>
      <c r="C2" s="2">
        <f>'Invulsheet Elektriciteit'!$M$11</f>
        <v>0</v>
      </c>
      <c r="D2" s="3" t="str">
        <f>'Invulsheet Elektriciteit'!M17</f>
        <v>Onbekend</v>
      </c>
      <c r="E2" s="3">
        <f>'Invulsheet Elektriciteit'!N17</f>
        <v>1</v>
      </c>
      <c r="F2" s="3">
        <f>'Invulsheet Elektriciteit'!O17</f>
        <v>0</v>
      </c>
    </row>
    <row r="3" spans="1:6" x14ac:dyDescent="0.2">
      <c r="A3" s="2">
        <f>'Invulsheet Elektriciteit'!$M$10</f>
        <v>0</v>
      </c>
      <c r="B3" s="2">
        <f>'Invulsheet Elektriciteit'!$M$12*Inleesegevens!E3</f>
        <v>0</v>
      </c>
      <c r="C3" s="2">
        <f>'Invulsheet Elektriciteit'!$M$11</f>
        <v>0</v>
      </c>
      <c r="D3" s="3" t="str">
        <f>'Invulsheet Elektriciteit'!M18</f>
        <v>-</v>
      </c>
      <c r="E3" s="3">
        <f>'Invulsheet Elektriciteit'!N18</f>
        <v>0</v>
      </c>
      <c r="F3" s="3">
        <f>'Invulsheet Elektriciteit'!O18</f>
        <v>0</v>
      </c>
    </row>
    <row r="4" spans="1:6" x14ac:dyDescent="0.2">
      <c r="A4" s="2">
        <f>'Invulsheet Elektriciteit'!$M$10</f>
        <v>0</v>
      </c>
      <c r="B4" s="2">
        <f>'Invulsheet Elektriciteit'!$M$12*Inleesegevens!E4</f>
        <v>0</v>
      </c>
      <c r="C4" s="2">
        <f>'Invulsheet Elektriciteit'!$M$11</f>
        <v>0</v>
      </c>
      <c r="D4" s="3" t="str">
        <f>'Invulsheet Elektriciteit'!M19</f>
        <v>-</v>
      </c>
      <c r="E4" s="3">
        <f>'Invulsheet Elektriciteit'!N19</f>
        <v>0</v>
      </c>
      <c r="F4" s="3">
        <f>'Invulsheet Elektriciteit'!O19</f>
        <v>0</v>
      </c>
    </row>
    <row r="5" spans="1:6" x14ac:dyDescent="0.2">
      <c r="A5" s="2">
        <f>'Invulsheet Elektriciteit'!$M$10</f>
        <v>0</v>
      </c>
      <c r="B5" s="2">
        <f>'Invulsheet Elektriciteit'!$M$12*Inleesegevens!E5</f>
        <v>0</v>
      </c>
      <c r="C5" s="2">
        <f>'Invulsheet Elektriciteit'!$M$11</f>
        <v>0</v>
      </c>
      <c r="D5" s="3" t="str">
        <f>'Invulsheet Elektriciteit'!M20</f>
        <v>-</v>
      </c>
      <c r="E5" s="3">
        <f>'Invulsheet Elektriciteit'!N20</f>
        <v>0</v>
      </c>
      <c r="F5" s="3">
        <f>'Invulsheet Elektriciteit'!O20</f>
        <v>0</v>
      </c>
    </row>
    <row r="6" spans="1:6" x14ac:dyDescent="0.2">
      <c r="A6" s="2">
        <f>'Invulsheet Elektriciteit'!$M$10</f>
        <v>0</v>
      </c>
      <c r="B6" s="2">
        <f>'Invulsheet Elektriciteit'!$M$12*Inleesegevens!E6</f>
        <v>0</v>
      </c>
      <c r="C6" s="2">
        <f>'Invulsheet Elektriciteit'!$M$11</f>
        <v>0</v>
      </c>
      <c r="D6" s="3" t="str">
        <f>'Invulsheet Elektriciteit'!M21</f>
        <v>-</v>
      </c>
      <c r="E6" s="3">
        <f>'Invulsheet Elektriciteit'!N21</f>
        <v>0</v>
      </c>
      <c r="F6" s="3">
        <f>'Invulsheet Elektriciteit'!O21</f>
        <v>0</v>
      </c>
    </row>
    <row r="7" spans="1:6" x14ac:dyDescent="0.2">
      <c r="A7" s="2">
        <f>'Invulsheet Elektriciteit'!$M$10</f>
        <v>0</v>
      </c>
      <c r="B7" s="2">
        <f>'Invulsheet Elektriciteit'!$M$12*Inleesegevens!E7</f>
        <v>0</v>
      </c>
      <c r="C7" s="2">
        <f>'Invulsheet Elektriciteit'!$M$11</f>
        <v>0</v>
      </c>
      <c r="D7" s="3" t="str">
        <f>'Invulsheet Elektriciteit'!M22</f>
        <v>-</v>
      </c>
      <c r="E7" s="3">
        <f>'Invulsheet Elektriciteit'!N22</f>
        <v>0</v>
      </c>
      <c r="F7" s="3">
        <f>'Invulsheet Elektriciteit'!O22</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AchtergrondElektra!$A$2:$A$14</xm:f>
          </x14:formula1>
          <xm:sqref>D2:E7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2BCE8D8782A04DA58F8A9AC4AE0D53" ma:contentTypeVersion="2" ma:contentTypeDescription="Een nieuw document maken." ma:contentTypeScope="" ma:versionID="211cadf3d5c9a5e2fd10e76a63235900">
  <xsd:schema xmlns:xsd="http://www.w3.org/2001/XMLSchema" xmlns:xs="http://www.w3.org/2001/XMLSchema" xmlns:p="http://schemas.microsoft.com/office/2006/metadata/properties" xmlns:ns2="d0a41051-f746-4ab9-b3a5-6c47d7579953" targetNamespace="http://schemas.microsoft.com/office/2006/metadata/properties" ma:root="true" ma:fieldsID="050dbd516c2ff1f25e8885e238a0d299" ns2:_="">
    <xsd:import namespace="d0a41051-f746-4ab9-b3a5-6c47d757995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a41051-f746-4ab9-b3a5-6c47d75799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F320F0-D1BD-4321-B0FE-8134201F1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a41051-f746-4ab9-b3a5-6c47d75799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6294E9-B940-496D-93FD-4E872DE0199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0a41051-f746-4ab9-b3a5-6c47d7579953"/>
    <ds:schemaRef ds:uri="http://www.w3.org/XML/1998/namespace"/>
    <ds:schemaRef ds:uri="http://purl.org/dc/dcmitype/"/>
  </ds:schemaRefs>
</ds:datastoreItem>
</file>

<file path=customXml/itemProps3.xml><?xml version="1.0" encoding="utf-8"?>
<ds:datastoreItem xmlns:ds="http://schemas.openxmlformats.org/officeDocument/2006/customXml" ds:itemID="{8D9FD3F4-63DC-4CBC-BF78-8AFA3F6E70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2</vt:i4>
      </vt:variant>
    </vt:vector>
  </HeadingPairs>
  <TitlesOfParts>
    <vt:vector size="10" baseType="lpstr">
      <vt:lpstr>Invulsheet Elektriciteit</vt:lpstr>
      <vt:lpstr>Invulsheet Gas</vt:lpstr>
      <vt:lpstr>Invulsheet Zonnepanelen</vt:lpstr>
      <vt:lpstr>AchtergrondZonnepanelen</vt:lpstr>
      <vt:lpstr>Versiebeheer</vt:lpstr>
      <vt:lpstr>AchtergrondElektra</vt:lpstr>
      <vt:lpstr>AchtergrondGas</vt:lpstr>
      <vt:lpstr>Inleesegevens</vt:lpstr>
      <vt:lpstr>v.version</vt:lpstr>
      <vt:lpstr>v.versionDate</vt:lpstr>
    </vt:vector>
  </TitlesOfParts>
  <Manager/>
  <Company>SSC-Campus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Dekker;lowik.pieters@rivm.nl</dc:creator>
  <cp:keywords/>
  <dc:description/>
  <cp:lastModifiedBy>Sparreboom, A. (Annelies)</cp:lastModifiedBy>
  <cp:revision/>
  <dcterms:created xsi:type="dcterms:W3CDTF">2018-08-21T12:45:28Z</dcterms:created>
  <dcterms:modified xsi:type="dcterms:W3CDTF">2022-11-18T11:52:00Z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0x0101007A2BCE8D8782A04DA58F8A9AC4AE0D53</vt:lpwstr>
  </property>
  <property fmtid="{D5CDD505-2E9C-101B-9397-08002B2CF9AE}" pid="3" name="MSIP_Label_4bde8109-f994-4a60-a1d3-5c95e2ff3620_Enabled">
    <vt:lpwstr>true</vt:lpwstr>
  </property>
  <property fmtid="{D5CDD505-2E9C-101B-9397-08002B2CF9AE}" pid="4" name="MSIP_Label_4bde8109-f994-4a60-a1d3-5c95e2ff3620_SetDate">
    <vt:lpwstr>2022-11-18T11:48:34Z</vt:lpwstr>
  </property>
  <property fmtid="{D5CDD505-2E9C-101B-9397-08002B2CF9AE}" pid="5" name="MSIP_Label_4bde8109-f994-4a60-a1d3-5c95e2ff3620_Method">
    <vt:lpwstr>Privileged</vt:lpwstr>
  </property>
  <property fmtid="{D5CDD505-2E9C-101B-9397-08002B2CF9AE}" pid="6" name="MSIP_Label_4bde8109-f994-4a60-a1d3-5c95e2ff3620_Name">
    <vt:lpwstr>FLPubliek</vt:lpwstr>
  </property>
  <property fmtid="{D5CDD505-2E9C-101B-9397-08002B2CF9AE}" pid="7" name="MSIP_Label_4bde8109-f994-4a60-a1d3-5c95e2ff3620_SiteId">
    <vt:lpwstr>1321633e-f6b9-44e2-a44f-59b9d264ecb7</vt:lpwstr>
  </property>
  <property fmtid="{D5CDD505-2E9C-101B-9397-08002B2CF9AE}" pid="8" name="MSIP_Label_4bde8109-f994-4a60-a1d3-5c95e2ff3620_ActionId">
    <vt:lpwstr>1b258e9a-1af9-42dd-832d-0f70f1c96f1d</vt:lpwstr>
  </property>
  <property fmtid="{D5CDD505-2E9C-101B-9397-08002B2CF9AE}" pid="9" name="MSIP_Label_4bde8109-f994-4a60-a1d3-5c95e2ff3620_ContentBits">
    <vt:lpwstr>0</vt:lpwstr>
  </property>
</Properties>
</file>