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ml.chartshapes+xml"/>
  <Override PartName="/xl/drawings/drawing6.xml" ContentType="application/vnd.openxmlformats-officedocument.drawing+xml"/>
  <Override PartName="/xl/charts/chart3.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5.xml" ContentType="application/vnd.openxmlformats-officedocument.drawingml.chart+xml"/>
  <Override PartName="/xl/drawings/drawing11.xml" ContentType="application/vnd.openxmlformats-officedocument.drawingml.chartshapes+xml"/>
  <Override PartName="/xl/drawings/drawing12.xml" ContentType="application/vnd.openxmlformats-officedocument.drawing+xml"/>
  <Override PartName="/xl/drawings/drawing13.xml" ContentType="application/vnd.openxmlformats-officedocument.drawing+xml"/>
  <Override PartName="/xl/charts/chart6.xml" ContentType="application/vnd.openxmlformats-officedocument.drawingml.chart+xml"/>
  <Override PartName="/xl/drawings/drawing14.xml" ContentType="application/vnd.openxmlformats-officedocument.drawingml.chartshapes+xml"/>
  <Override PartName="/xl/drawings/drawing15.xml" ContentType="application/vnd.openxmlformats-officedocument.drawing+xml"/>
  <Override PartName="/xl/charts/chart7.xml" ContentType="application/vnd.openxmlformats-officedocument.drawingml.chart+xml"/>
  <Override PartName="/xl/drawings/drawing16.xml" ContentType="application/vnd.openxmlformats-officedocument.drawingml.chartshap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ThisWorkbook"/>
  <mc:AlternateContent xmlns:mc="http://schemas.openxmlformats.org/markup-compatibility/2006">
    <mc:Choice Requires="x15">
      <x15ac:absPath xmlns:x15ac="http://schemas.microsoft.com/office/spreadsheetml/2010/11/ac" url="D:\50 Ontwikkelen tooling\Tool GFM\"/>
    </mc:Choice>
  </mc:AlternateContent>
  <xr:revisionPtr revIDLastSave="0" documentId="13_ncr:1_{B26A949E-F747-4E52-AA7E-8CFE4D620F33}" xr6:coauthVersionLast="47" xr6:coauthVersionMax="47" xr10:uidLastSave="{00000000-0000-0000-0000-000000000000}"/>
  <bookViews>
    <workbookView showHorizontalScroll="0" showVerticalScroll="0" xWindow="-120" yWindow="-120" windowWidth="29040" windowHeight="15720" autoFilterDateGrouping="0" xr2:uid="{00000000-000D-0000-FFFF-FFFF00000000}"/>
  </bookViews>
  <sheets>
    <sheet name="Disclaimer" sheetId="8" r:id="rId1"/>
    <sheet name="Dashboard" sheetId="6" r:id="rId2"/>
    <sheet name="Scoregraph Prijs" sheetId="16" r:id="rId3"/>
    <sheet name="Info BD" sheetId="5" r:id="rId4"/>
    <sheet name="Scenarioanalyse" sheetId="14" r:id="rId5"/>
    <sheet name="Offertes" sheetId="4" r:id="rId6"/>
    <sheet name="TBV Onderzoek" sheetId="3" r:id="rId7"/>
    <sheet name="BPK-Grafiek" sheetId="1" state="hidden" r:id="rId8"/>
    <sheet name="HULP-velden" sheetId="7" state="hidden" r:id="rId9"/>
  </sheets>
  <functionGroups builtInGroupCount="19"/>
  <definedNames>
    <definedName name="DATA_BPKgrafiek">'HULP-velden'!$B$308:$P$512</definedName>
    <definedName name="Grafiekassen">'HULP-velden'!$C$104:$D$106</definedName>
    <definedName name="Grafiekassen_Scoregraph">'HULP-velden'!$C$195:$D$197</definedName>
    <definedName name="solver_adj" localSheetId="5" hidden="1">Offertes!$F$13</definedName>
    <definedName name="solver_adj" localSheetId="4" hidden="1">Scenarioanalyse!$M$13</definedName>
    <definedName name="solver_cvg" localSheetId="5" hidden="1">0.0001</definedName>
    <definedName name="solver_cvg" localSheetId="4" hidden="1">0.0001</definedName>
    <definedName name="solver_drv" localSheetId="5" hidden="1">1</definedName>
    <definedName name="solver_drv" localSheetId="4" hidden="1">1</definedName>
    <definedName name="solver_eng" localSheetId="5" hidden="1">1</definedName>
    <definedName name="solver_eng" localSheetId="4" hidden="1">1</definedName>
    <definedName name="solver_est" localSheetId="5" hidden="1">1</definedName>
    <definedName name="solver_est" localSheetId="4" hidden="1">1</definedName>
    <definedName name="solver_itr" localSheetId="5" hidden="1">2147483647</definedName>
    <definedName name="solver_itr" localSheetId="4" hidden="1">2147483647</definedName>
    <definedName name="solver_lhs1" localSheetId="5" hidden="1">Offertes!$I$13</definedName>
    <definedName name="solver_lhs1" localSheetId="4" hidden="1">Scenarioanalyse!$K$13</definedName>
    <definedName name="solver_mip" localSheetId="5" hidden="1">2147483647</definedName>
    <definedName name="solver_mip" localSheetId="4" hidden="1">2147483647</definedName>
    <definedName name="solver_mni" localSheetId="5" hidden="1">30</definedName>
    <definedName name="solver_mni" localSheetId="4" hidden="1">30</definedName>
    <definedName name="solver_mrt" localSheetId="5" hidden="1">0.075</definedName>
    <definedName name="solver_mrt" localSheetId="4" hidden="1">0.075</definedName>
    <definedName name="solver_msl" localSheetId="5" hidden="1">2</definedName>
    <definedName name="solver_msl" localSheetId="4" hidden="1">2</definedName>
    <definedName name="solver_neg" localSheetId="5" hidden="1">1</definedName>
    <definedName name="solver_neg" localSheetId="4" hidden="1">1</definedName>
    <definedName name="solver_nod" localSheetId="5" hidden="1">2147483647</definedName>
    <definedName name="solver_nod" localSheetId="4" hidden="1">2147483647</definedName>
    <definedName name="solver_num" localSheetId="5" hidden="1">1</definedName>
    <definedName name="solver_num" localSheetId="4" hidden="1">1</definedName>
    <definedName name="solver_nwt" localSheetId="5" hidden="1">1</definedName>
    <definedName name="solver_nwt" localSheetId="4" hidden="1">1</definedName>
    <definedName name="solver_opt" localSheetId="5" hidden="1">Offertes!$I$13</definedName>
    <definedName name="solver_opt" localSheetId="4" hidden="1">Scenarioanalyse!$K$13</definedName>
    <definedName name="solver_pre" localSheetId="5" hidden="1">0.000001</definedName>
    <definedName name="solver_pre" localSheetId="4" hidden="1">0.000001</definedName>
    <definedName name="solver_rbv" localSheetId="5" hidden="1">1</definedName>
    <definedName name="solver_rbv" localSheetId="4" hidden="1">1</definedName>
    <definedName name="solver_rel1" localSheetId="5" hidden="1">2</definedName>
    <definedName name="solver_rel1" localSheetId="4" hidden="1">2</definedName>
    <definedName name="solver_rhs1" localSheetId="5" hidden="1">Offertes!$I$8</definedName>
    <definedName name="solver_rhs1" localSheetId="4" hidden="1">Scenarioanalyse!$K$8</definedName>
    <definedName name="solver_rlx" localSheetId="5" hidden="1">2</definedName>
    <definedName name="solver_rlx" localSheetId="4" hidden="1">2</definedName>
    <definedName name="solver_rsd" localSheetId="5" hidden="1">0</definedName>
    <definedName name="solver_rsd" localSheetId="4" hidden="1">0</definedName>
    <definedName name="solver_scl" localSheetId="5" hidden="1">1</definedName>
    <definedName name="solver_scl" localSheetId="4" hidden="1">1</definedName>
    <definedName name="solver_sho" localSheetId="5" hidden="1">2</definedName>
    <definedName name="solver_sho" localSheetId="4" hidden="1">2</definedName>
    <definedName name="solver_ssz" localSheetId="5" hidden="1">100</definedName>
    <definedName name="solver_ssz" localSheetId="4" hidden="1">100</definedName>
    <definedName name="solver_tim" localSheetId="5" hidden="1">2147483647</definedName>
    <definedName name="solver_tim" localSheetId="4" hidden="1">2147483647</definedName>
    <definedName name="solver_tol" localSheetId="5" hidden="1">0.01</definedName>
    <definedName name="solver_tol" localSheetId="4" hidden="1">0.01</definedName>
    <definedName name="solver_typ" localSheetId="5" hidden="1">2</definedName>
    <definedName name="solver_typ" localSheetId="4" hidden="1">2</definedName>
    <definedName name="solver_val" localSheetId="5" hidden="1">0</definedName>
    <definedName name="solver_val" localSheetId="4" hidden="1">0</definedName>
    <definedName name="solver_ver" localSheetId="5" hidden="1">3</definedName>
    <definedName name="solver_ver" localSheetId="4"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A208" i="1" l="1"/>
  <c r="Z208" i="1"/>
  <c r="Y208" i="1"/>
  <c r="X208" i="1"/>
  <c r="W208" i="1"/>
  <c r="V208" i="1"/>
  <c r="U208" i="1"/>
  <c r="S208" i="1"/>
  <c r="AA207" i="1"/>
  <c r="Z207" i="1"/>
  <c r="Y207" i="1"/>
  <c r="X207" i="1"/>
  <c r="W207" i="1"/>
  <c r="V207" i="1"/>
  <c r="U207" i="1"/>
  <c r="S207" i="1"/>
  <c r="AA206" i="1"/>
  <c r="Z206" i="1"/>
  <c r="Y206" i="1"/>
  <c r="X206" i="1"/>
  <c r="W206" i="1"/>
  <c r="V206" i="1"/>
  <c r="U206" i="1"/>
  <c r="S206" i="1"/>
  <c r="AA205" i="1"/>
  <c r="Z205" i="1"/>
  <c r="Y205" i="1"/>
  <c r="X205" i="1"/>
  <c r="W205" i="1"/>
  <c r="V205" i="1"/>
  <c r="U205" i="1"/>
  <c r="S205" i="1"/>
  <c r="AA204" i="1"/>
  <c r="Z204" i="1"/>
  <c r="Y204" i="1"/>
  <c r="X204" i="1"/>
  <c r="W204" i="1"/>
  <c r="V204" i="1"/>
  <c r="U204" i="1"/>
  <c r="S204" i="1"/>
  <c r="AA203" i="1"/>
  <c r="Z203" i="1"/>
  <c r="Y203" i="1"/>
  <c r="X203" i="1"/>
  <c r="W203" i="1"/>
  <c r="V203" i="1"/>
  <c r="U203" i="1"/>
  <c r="S203" i="1"/>
  <c r="AA202" i="1"/>
  <c r="Z202" i="1"/>
  <c r="Y202" i="1"/>
  <c r="X202" i="1"/>
  <c r="W202" i="1"/>
  <c r="V202" i="1"/>
  <c r="U202" i="1"/>
  <c r="S202" i="1"/>
  <c r="AA201" i="1"/>
  <c r="Z201" i="1"/>
  <c r="Y201" i="1"/>
  <c r="X201" i="1"/>
  <c r="W201" i="1"/>
  <c r="V201" i="1"/>
  <c r="U201" i="1"/>
  <c r="S201" i="1"/>
  <c r="AA200" i="1"/>
  <c r="Z200" i="1"/>
  <c r="Y200" i="1"/>
  <c r="X200" i="1"/>
  <c r="W200" i="1"/>
  <c r="V200" i="1"/>
  <c r="U200" i="1"/>
  <c r="S200" i="1"/>
  <c r="AA199" i="1"/>
  <c r="Z199" i="1"/>
  <c r="Y199" i="1"/>
  <c r="X199" i="1"/>
  <c r="W199" i="1"/>
  <c r="V199" i="1"/>
  <c r="U199" i="1"/>
  <c r="S199" i="1"/>
  <c r="AA198" i="1"/>
  <c r="Z198" i="1"/>
  <c r="Y198" i="1"/>
  <c r="X198" i="1"/>
  <c r="W198" i="1"/>
  <c r="V198" i="1"/>
  <c r="U198" i="1"/>
  <c r="S198" i="1"/>
  <c r="AA197" i="1"/>
  <c r="Z197" i="1"/>
  <c r="Y197" i="1"/>
  <c r="X197" i="1"/>
  <c r="W197" i="1"/>
  <c r="V197" i="1"/>
  <c r="U197" i="1"/>
  <c r="S197" i="1"/>
  <c r="AA196" i="1"/>
  <c r="Z196" i="1"/>
  <c r="Y196" i="1"/>
  <c r="X196" i="1"/>
  <c r="W196" i="1"/>
  <c r="V196" i="1"/>
  <c r="U196" i="1"/>
  <c r="S196" i="1"/>
  <c r="AA195" i="1"/>
  <c r="Z195" i="1"/>
  <c r="Y195" i="1"/>
  <c r="X195" i="1"/>
  <c r="W195" i="1"/>
  <c r="V195" i="1"/>
  <c r="U195" i="1"/>
  <c r="S195" i="1"/>
  <c r="AA194" i="1"/>
  <c r="Z194" i="1"/>
  <c r="Y194" i="1"/>
  <c r="X194" i="1"/>
  <c r="W194" i="1"/>
  <c r="V194" i="1"/>
  <c r="U194" i="1"/>
  <c r="S194" i="1"/>
  <c r="AA193" i="1"/>
  <c r="Z193" i="1"/>
  <c r="Y193" i="1"/>
  <c r="X193" i="1"/>
  <c r="W193" i="1"/>
  <c r="V193" i="1"/>
  <c r="U193" i="1"/>
  <c r="S193" i="1"/>
  <c r="AA192" i="1"/>
  <c r="Z192" i="1"/>
  <c r="Y192" i="1"/>
  <c r="X192" i="1"/>
  <c r="W192" i="1"/>
  <c r="V192" i="1"/>
  <c r="U192" i="1"/>
  <c r="S192" i="1"/>
  <c r="AA191" i="1"/>
  <c r="Z191" i="1"/>
  <c r="Y191" i="1"/>
  <c r="X191" i="1"/>
  <c r="W191" i="1"/>
  <c r="V191" i="1"/>
  <c r="U191" i="1"/>
  <c r="S191" i="1"/>
  <c r="AA190" i="1"/>
  <c r="Z190" i="1"/>
  <c r="Y190" i="1"/>
  <c r="X190" i="1"/>
  <c r="W190" i="1"/>
  <c r="V190" i="1"/>
  <c r="U190" i="1"/>
  <c r="S190" i="1"/>
  <c r="AA189" i="1"/>
  <c r="Z189" i="1"/>
  <c r="Y189" i="1"/>
  <c r="X189" i="1"/>
  <c r="W189" i="1"/>
  <c r="V189" i="1"/>
  <c r="U189" i="1"/>
  <c r="S189" i="1"/>
  <c r="AA188" i="1"/>
  <c r="Z188" i="1"/>
  <c r="Y188" i="1"/>
  <c r="X188" i="1"/>
  <c r="W188" i="1"/>
  <c r="V188" i="1"/>
  <c r="U188" i="1"/>
  <c r="S188" i="1"/>
  <c r="AA187" i="1"/>
  <c r="Z187" i="1"/>
  <c r="Y187" i="1"/>
  <c r="X187" i="1"/>
  <c r="W187" i="1"/>
  <c r="V187" i="1"/>
  <c r="U187" i="1"/>
  <c r="S187" i="1"/>
  <c r="AA186" i="1"/>
  <c r="Z186" i="1"/>
  <c r="Y186" i="1"/>
  <c r="X186" i="1"/>
  <c r="W186" i="1"/>
  <c r="V186" i="1"/>
  <c r="U186" i="1"/>
  <c r="S186" i="1"/>
  <c r="AA185" i="1"/>
  <c r="Z185" i="1"/>
  <c r="Y185" i="1"/>
  <c r="X185" i="1"/>
  <c r="W185" i="1"/>
  <c r="V185" i="1"/>
  <c r="U185" i="1"/>
  <c r="S185" i="1"/>
  <c r="AA184" i="1"/>
  <c r="Z184" i="1"/>
  <c r="Y184" i="1"/>
  <c r="X184" i="1"/>
  <c r="W184" i="1"/>
  <c r="V184" i="1"/>
  <c r="U184" i="1"/>
  <c r="S184" i="1"/>
  <c r="AA183" i="1"/>
  <c r="Z183" i="1"/>
  <c r="Y183" i="1"/>
  <c r="X183" i="1"/>
  <c r="W183" i="1"/>
  <c r="V183" i="1"/>
  <c r="U183" i="1"/>
  <c r="S183" i="1"/>
  <c r="AA182" i="1"/>
  <c r="Z182" i="1"/>
  <c r="Y182" i="1"/>
  <c r="X182" i="1"/>
  <c r="W182" i="1"/>
  <c r="V182" i="1"/>
  <c r="U182" i="1"/>
  <c r="S182" i="1"/>
  <c r="AA181" i="1"/>
  <c r="Z181" i="1"/>
  <c r="Y181" i="1"/>
  <c r="X181" i="1"/>
  <c r="W181" i="1"/>
  <c r="V181" i="1"/>
  <c r="U181" i="1"/>
  <c r="S181" i="1"/>
  <c r="AA180" i="1"/>
  <c r="Z180" i="1"/>
  <c r="Y180" i="1"/>
  <c r="X180" i="1"/>
  <c r="W180" i="1"/>
  <c r="V180" i="1"/>
  <c r="U180" i="1"/>
  <c r="S180" i="1"/>
  <c r="AA179" i="1"/>
  <c r="Z179" i="1"/>
  <c r="Y179" i="1"/>
  <c r="X179" i="1"/>
  <c r="W179" i="1"/>
  <c r="V179" i="1"/>
  <c r="U179" i="1"/>
  <c r="S179" i="1"/>
  <c r="AA178" i="1"/>
  <c r="Z178" i="1"/>
  <c r="Y178" i="1"/>
  <c r="X178" i="1"/>
  <c r="W178" i="1"/>
  <c r="V178" i="1"/>
  <c r="U178" i="1"/>
  <c r="S178" i="1"/>
  <c r="AA177" i="1"/>
  <c r="Z177" i="1"/>
  <c r="Y177" i="1"/>
  <c r="X177" i="1"/>
  <c r="W177" i="1"/>
  <c r="V177" i="1"/>
  <c r="U177" i="1"/>
  <c r="S177" i="1"/>
  <c r="AA176" i="1"/>
  <c r="Z176" i="1"/>
  <c r="Y176" i="1"/>
  <c r="X176" i="1"/>
  <c r="W176" i="1"/>
  <c r="V176" i="1"/>
  <c r="U176" i="1"/>
  <c r="S176" i="1"/>
  <c r="AA175" i="1"/>
  <c r="Z175" i="1"/>
  <c r="Y175" i="1"/>
  <c r="X175" i="1"/>
  <c r="W175" i="1"/>
  <c r="V175" i="1"/>
  <c r="U175" i="1"/>
  <c r="S175" i="1"/>
  <c r="AA174" i="1"/>
  <c r="Z174" i="1"/>
  <c r="Y174" i="1"/>
  <c r="X174" i="1"/>
  <c r="W174" i="1"/>
  <c r="V174" i="1"/>
  <c r="U174" i="1"/>
  <c r="S174" i="1"/>
  <c r="AA173" i="1"/>
  <c r="Z173" i="1"/>
  <c r="Y173" i="1"/>
  <c r="X173" i="1"/>
  <c r="W173" i="1"/>
  <c r="V173" i="1"/>
  <c r="U173" i="1"/>
  <c r="S173" i="1"/>
  <c r="AA172" i="1"/>
  <c r="Z172" i="1"/>
  <c r="Y172" i="1"/>
  <c r="X172" i="1"/>
  <c r="W172" i="1"/>
  <c r="V172" i="1"/>
  <c r="U172" i="1"/>
  <c r="S172" i="1"/>
  <c r="AA171" i="1"/>
  <c r="Z171" i="1"/>
  <c r="Y171" i="1"/>
  <c r="X171" i="1"/>
  <c r="W171" i="1"/>
  <c r="V171" i="1"/>
  <c r="U171" i="1"/>
  <c r="S171" i="1"/>
  <c r="AA170" i="1"/>
  <c r="Z170" i="1"/>
  <c r="Y170" i="1"/>
  <c r="X170" i="1"/>
  <c r="W170" i="1"/>
  <c r="V170" i="1"/>
  <c r="U170" i="1"/>
  <c r="S170" i="1"/>
  <c r="AA169" i="1"/>
  <c r="Z169" i="1"/>
  <c r="Y169" i="1"/>
  <c r="X169" i="1"/>
  <c r="W169" i="1"/>
  <c r="V169" i="1"/>
  <c r="U169" i="1"/>
  <c r="S169" i="1"/>
  <c r="AA168" i="1"/>
  <c r="Z168" i="1"/>
  <c r="Y168" i="1"/>
  <c r="X168" i="1"/>
  <c r="W168" i="1"/>
  <c r="V168" i="1"/>
  <c r="U168" i="1"/>
  <c r="S168" i="1"/>
  <c r="AA167" i="1"/>
  <c r="Z167" i="1"/>
  <c r="Y167" i="1"/>
  <c r="X167" i="1"/>
  <c r="W167" i="1"/>
  <c r="V167" i="1"/>
  <c r="U167" i="1"/>
  <c r="S167" i="1"/>
  <c r="AA166" i="1"/>
  <c r="Z166" i="1"/>
  <c r="Y166" i="1"/>
  <c r="X166" i="1"/>
  <c r="W166" i="1"/>
  <c r="V166" i="1"/>
  <c r="U166" i="1"/>
  <c r="S166" i="1"/>
  <c r="AA165" i="1"/>
  <c r="Z165" i="1"/>
  <c r="Y165" i="1"/>
  <c r="X165" i="1"/>
  <c r="W165" i="1"/>
  <c r="V165" i="1"/>
  <c r="U165" i="1"/>
  <c r="S165" i="1"/>
  <c r="AA164" i="1"/>
  <c r="Z164" i="1"/>
  <c r="Y164" i="1"/>
  <c r="X164" i="1"/>
  <c r="W164" i="1"/>
  <c r="V164" i="1"/>
  <c r="U164" i="1"/>
  <c r="S164" i="1"/>
  <c r="AA163" i="1"/>
  <c r="Z163" i="1"/>
  <c r="Y163" i="1"/>
  <c r="X163" i="1"/>
  <c r="W163" i="1"/>
  <c r="V163" i="1"/>
  <c r="U163" i="1"/>
  <c r="S163" i="1"/>
  <c r="AA162" i="1"/>
  <c r="Z162" i="1"/>
  <c r="Y162" i="1"/>
  <c r="X162" i="1"/>
  <c r="W162" i="1"/>
  <c r="V162" i="1"/>
  <c r="U162" i="1"/>
  <c r="S162" i="1"/>
  <c r="AA161" i="1"/>
  <c r="Z161" i="1"/>
  <c r="Y161" i="1"/>
  <c r="X161" i="1"/>
  <c r="W161" i="1"/>
  <c r="V161" i="1"/>
  <c r="U161" i="1"/>
  <c r="S161" i="1"/>
  <c r="AA160" i="1"/>
  <c r="Z160" i="1"/>
  <c r="Y160" i="1"/>
  <c r="X160" i="1"/>
  <c r="W160" i="1"/>
  <c r="V160" i="1"/>
  <c r="U160" i="1"/>
  <c r="S160" i="1"/>
  <c r="AA159" i="1"/>
  <c r="Z159" i="1"/>
  <c r="Y159" i="1"/>
  <c r="X159" i="1"/>
  <c r="W159" i="1"/>
  <c r="V159" i="1"/>
  <c r="U159" i="1"/>
  <c r="S159" i="1"/>
  <c r="AA158" i="1"/>
  <c r="Z158" i="1"/>
  <c r="Y158" i="1"/>
  <c r="X158" i="1"/>
  <c r="W158" i="1"/>
  <c r="V158" i="1"/>
  <c r="U158" i="1"/>
  <c r="S158" i="1"/>
  <c r="AA157" i="1"/>
  <c r="Z157" i="1"/>
  <c r="Y157" i="1"/>
  <c r="X157" i="1"/>
  <c r="W157" i="1"/>
  <c r="V157" i="1"/>
  <c r="U157" i="1"/>
  <c r="S157" i="1"/>
  <c r="AA156" i="1"/>
  <c r="Z156" i="1"/>
  <c r="Y156" i="1"/>
  <c r="X156" i="1"/>
  <c r="W156" i="1"/>
  <c r="V156" i="1"/>
  <c r="U156" i="1"/>
  <c r="S156" i="1"/>
  <c r="AA155" i="1"/>
  <c r="Z155" i="1"/>
  <c r="Y155" i="1"/>
  <c r="X155" i="1"/>
  <c r="W155" i="1"/>
  <c r="V155" i="1"/>
  <c r="U155" i="1"/>
  <c r="S155" i="1"/>
  <c r="AA154" i="1"/>
  <c r="Z154" i="1"/>
  <c r="Y154" i="1"/>
  <c r="X154" i="1"/>
  <c r="W154" i="1"/>
  <c r="V154" i="1"/>
  <c r="U154" i="1"/>
  <c r="S154" i="1"/>
  <c r="AA153" i="1"/>
  <c r="Z153" i="1"/>
  <c r="Y153" i="1"/>
  <c r="X153" i="1"/>
  <c r="W153" i="1"/>
  <c r="V153" i="1"/>
  <c r="U153" i="1"/>
  <c r="S153" i="1"/>
  <c r="AA152" i="1"/>
  <c r="Z152" i="1"/>
  <c r="Y152" i="1"/>
  <c r="X152" i="1"/>
  <c r="W152" i="1"/>
  <c r="V152" i="1"/>
  <c r="U152" i="1"/>
  <c r="S152" i="1"/>
  <c r="AA151" i="1"/>
  <c r="Z151" i="1"/>
  <c r="Y151" i="1"/>
  <c r="X151" i="1"/>
  <c r="W151" i="1"/>
  <c r="V151" i="1"/>
  <c r="U151" i="1"/>
  <c r="S151" i="1"/>
  <c r="AA150" i="1"/>
  <c r="Z150" i="1"/>
  <c r="Y150" i="1"/>
  <c r="X150" i="1"/>
  <c r="W150" i="1"/>
  <c r="V150" i="1"/>
  <c r="U150" i="1"/>
  <c r="S150" i="1"/>
  <c r="AA149" i="1"/>
  <c r="Z149" i="1"/>
  <c r="Y149" i="1"/>
  <c r="X149" i="1"/>
  <c r="W149" i="1"/>
  <c r="V149" i="1"/>
  <c r="U149" i="1"/>
  <c r="S149" i="1"/>
  <c r="AA148" i="1"/>
  <c r="Z148" i="1"/>
  <c r="Y148" i="1"/>
  <c r="X148" i="1"/>
  <c r="W148" i="1"/>
  <c r="V148" i="1"/>
  <c r="U148" i="1"/>
  <c r="S148" i="1"/>
  <c r="AA147" i="1"/>
  <c r="Z147" i="1"/>
  <c r="Y147" i="1"/>
  <c r="X147" i="1"/>
  <c r="W147" i="1"/>
  <c r="V147" i="1"/>
  <c r="U147" i="1"/>
  <c r="S147" i="1"/>
  <c r="AA146" i="1"/>
  <c r="Z146" i="1"/>
  <c r="Y146" i="1"/>
  <c r="X146" i="1"/>
  <c r="W146" i="1"/>
  <c r="V146" i="1"/>
  <c r="U146" i="1"/>
  <c r="S146" i="1"/>
  <c r="AA145" i="1"/>
  <c r="Z145" i="1"/>
  <c r="Y145" i="1"/>
  <c r="X145" i="1"/>
  <c r="W145" i="1"/>
  <c r="V145" i="1"/>
  <c r="U145" i="1"/>
  <c r="S145" i="1"/>
  <c r="AA144" i="1"/>
  <c r="Z144" i="1"/>
  <c r="Y144" i="1"/>
  <c r="X144" i="1"/>
  <c r="W144" i="1"/>
  <c r="V144" i="1"/>
  <c r="U144" i="1"/>
  <c r="S144" i="1"/>
  <c r="AA143" i="1"/>
  <c r="Z143" i="1"/>
  <c r="Y143" i="1"/>
  <c r="X143" i="1"/>
  <c r="W143" i="1"/>
  <c r="V143" i="1"/>
  <c r="U143" i="1"/>
  <c r="S143" i="1"/>
  <c r="AA142" i="1"/>
  <c r="Z142" i="1"/>
  <c r="Y142" i="1"/>
  <c r="X142" i="1"/>
  <c r="W142" i="1"/>
  <c r="V142" i="1"/>
  <c r="U142" i="1"/>
  <c r="S142" i="1"/>
  <c r="AA141" i="1"/>
  <c r="Z141" i="1"/>
  <c r="Y141" i="1"/>
  <c r="X141" i="1"/>
  <c r="W141" i="1"/>
  <c r="V141" i="1"/>
  <c r="U141" i="1"/>
  <c r="S141" i="1"/>
  <c r="AA140" i="1"/>
  <c r="Z140" i="1"/>
  <c r="Y140" i="1"/>
  <c r="X140" i="1"/>
  <c r="W140" i="1"/>
  <c r="V140" i="1"/>
  <c r="U140" i="1"/>
  <c r="S140" i="1"/>
  <c r="AA139" i="1"/>
  <c r="Z139" i="1"/>
  <c r="Y139" i="1"/>
  <c r="X139" i="1"/>
  <c r="W139" i="1"/>
  <c r="V139" i="1"/>
  <c r="U139" i="1"/>
  <c r="S139" i="1"/>
  <c r="AA138" i="1"/>
  <c r="Z138" i="1"/>
  <c r="Y138" i="1"/>
  <c r="X138" i="1"/>
  <c r="W138" i="1"/>
  <c r="V138" i="1"/>
  <c r="U138" i="1"/>
  <c r="S138" i="1"/>
  <c r="AA137" i="1"/>
  <c r="Z137" i="1"/>
  <c r="Y137" i="1"/>
  <c r="X137" i="1"/>
  <c r="W137" i="1"/>
  <c r="V137" i="1"/>
  <c r="U137" i="1"/>
  <c r="S137" i="1"/>
  <c r="AA136" i="1"/>
  <c r="Z136" i="1"/>
  <c r="Y136" i="1"/>
  <c r="X136" i="1"/>
  <c r="W136" i="1"/>
  <c r="V136" i="1"/>
  <c r="U136" i="1"/>
  <c r="S136" i="1"/>
  <c r="AA135" i="1"/>
  <c r="Z135" i="1"/>
  <c r="Y135" i="1"/>
  <c r="X135" i="1"/>
  <c r="W135" i="1"/>
  <c r="V135" i="1"/>
  <c r="U135" i="1"/>
  <c r="S135" i="1"/>
  <c r="AA134" i="1"/>
  <c r="Z134" i="1"/>
  <c r="Y134" i="1"/>
  <c r="X134" i="1"/>
  <c r="W134" i="1"/>
  <c r="V134" i="1"/>
  <c r="U134" i="1"/>
  <c r="S134" i="1"/>
  <c r="AA133" i="1"/>
  <c r="Z133" i="1"/>
  <c r="Y133" i="1"/>
  <c r="X133" i="1"/>
  <c r="W133" i="1"/>
  <c r="V133" i="1"/>
  <c r="U133" i="1"/>
  <c r="S133" i="1"/>
  <c r="AA132" i="1"/>
  <c r="Z132" i="1"/>
  <c r="Y132" i="1"/>
  <c r="X132" i="1"/>
  <c r="W132" i="1"/>
  <c r="V132" i="1"/>
  <c r="U132" i="1"/>
  <c r="S132" i="1"/>
  <c r="AA131" i="1"/>
  <c r="Z131" i="1"/>
  <c r="Y131" i="1"/>
  <c r="X131" i="1"/>
  <c r="W131" i="1"/>
  <c r="V131" i="1"/>
  <c r="U131" i="1"/>
  <c r="S131" i="1"/>
  <c r="AA130" i="1"/>
  <c r="Z130" i="1"/>
  <c r="Y130" i="1"/>
  <c r="X130" i="1"/>
  <c r="W130" i="1"/>
  <c r="V130" i="1"/>
  <c r="U130" i="1"/>
  <c r="S130" i="1"/>
  <c r="AA129" i="1"/>
  <c r="Z129" i="1"/>
  <c r="Y129" i="1"/>
  <c r="X129" i="1"/>
  <c r="W129" i="1"/>
  <c r="V129" i="1"/>
  <c r="U129" i="1"/>
  <c r="S129" i="1"/>
  <c r="AA128" i="1"/>
  <c r="Z128" i="1"/>
  <c r="Y128" i="1"/>
  <c r="X128" i="1"/>
  <c r="W128" i="1"/>
  <c r="V128" i="1"/>
  <c r="U128" i="1"/>
  <c r="S128" i="1"/>
  <c r="AA127" i="1"/>
  <c r="Z127" i="1"/>
  <c r="Y127" i="1"/>
  <c r="X127" i="1"/>
  <c r="W127" i="1"/>
  <c r="V127" i="1"/>
  <c r="U127" i="1"/>
  <c r="S127" i="1"/>
  <c r="AA126" i="1"/>
  <c r="Z126" i="1"/>
  <c r="Y126" i="1"/>
  <c r="X126" i="1"/>
  <c r="W126" i="1"/>
  <c r="V126" i="1"/>
  <c r="U126" i="1"/>
  <c r="S126" i="1"/>
  <c r="AA125" i="1"/>
  <c r="Z125" i="1"/>
  <c r="Y125" i="1"/>
  <c r="X125" i="1"/>
  <c r="W125" i="1"/>
  <c r="V125" i="1"/>
  <c r="U125" i="1"/>
  <c r="S125" i="1"/>
  <c r="AA124" i="1"/>
  <c r="Z124" i="1"/>
  <c r="Y124" i="1"/>
  <c r="X124" i="1"/>
  <c r="W124" i="1"/>
  <c r="V124" i="1"/>
  <c r="U124" i="1"/>
  <c r="S124" i="1"/>
  <c r="AA123" i="1"/>
  <c r="Z123" i="1"/>
  <c r="Y123" i="1"/>
  <c r="X123" i="1"/>
  <c r="W123" i="1"/>
  <c r="V123" i="1"/>
  <c r="U123" i="1"/>
  <c r="S123" i="1"/>
  <c r="AA122" i="1"/>
  <c r="Z122" i="1"/>
  <c r="Y122" i="1"/>
  <c r="X122" i="1"/>
  <c r="W122" i="1"/>
  <c r="V122" i="1"/>
  <c r="U122" i="1"/>
  <c r="S122" i="1"/>
  <c r="AA121" i="1"/>
  <c r="Z121" i="1"/>
  <c r="Y121" i="1"/>
  <c r="X121" i="1"/>
  <c r="W121" i="1"/>
  <c r="V121" i="1"/>
  <c r="U121" i="1"/>
  <c r="S121" i="1"/>
  <c r="AA120" i="1"/>
  <c r="Z120" i="1"/>
  <c r="Y120" i="1"/>
  <c r="X120" i="1"/>
  <c r="W120" i="1"/>
  <c r="V120" i="1"/>
  <c r="U120" i="1"/>
  <c r="S120" i="1"/>
  <c r="AA119" i="1"/>
  <c r="Z119" i="1"/>
  <c r="Y119" i="1"/>
  <c r="X119" i="1"/>
  <c r="W119" i="1"/>
  <c r="V119" i="1"/>
  <c r="U119" i="1"/>
  <c r="S119" i="1"/>
  <c r="AA118" i="1"/>
  <c r="Z118" i="1"/>
  <c r="Y118" i="1"/>
  <c r="X118" i="1"/>
  <c r="W118" i="1"/>
  <c r="V118" i="1"/>
  <c r="U118" i="1"/>
  <c r="S118" i="1"/>
  <c r="AA117" i="1"/>
  <c r="Z117" i="1"/>
  <c r="Y117" i="1"/>
  <c r="X117" i="1"/>
  <c r="W117" i="1"/>
  <c r="V117" i="1"/>
  <c r="U117" i="1"/>
  <c r="S117" i="1"/>
  <c r="AA116" i="1"/>
  <c r="Z116" i="1"/>
  <c r="Y116" i="1"/>
  <c r="X116" i="1"/>
  <c r="W116" i="1"/>
  <c r="V116" i="1"/>
  <c r="U116" i="1"/>
  <c r="S116" i="1"/>
  <c r="AA115" i="1"/>
  <c r="Z115" i="1"/>
  <c r="Y115" i="1"/>
  <c r="X115" i="1"/>
  <c r="W115" i="1"/>
  <c r="V115" i="1"/>
  <c r="U115" i="1"/>
  <c r="S115" i="1"/>
  <c r="AA114" i="1"/>
  <c r="Z114" i="1"/>
  <c r="Y114" i="1"/>
  <c r="X114" i="1"/>
  <c r="W114" i="1"/>
  <c r="V114" i="1"/>
  <c r="U114" i="1"/>
  <c r="S114" i="1"/>
  <c r="AA113" i="1"/>
  <c r="Z113" i="1"/>
  <c r="Y113" i="1"/>
  <c r="X113" i="1"/>
  <c r="W113" i="1"/>
  <c r="V113" i="1"/>
  <c r="U113" i="1"/>
  <c r="S113" i="1"/>
  <c r="AA112" i="1"/>
  <c r="Z112" i="1"/>
  <c r="Y112" i="1"/>
  <c r="X112" i="1"/>
  <c r="W112" i="1"/>
  <c r="V112" i="1"/>
  <c r="U112" i="1"/>
  <c r="S112" i="1"/>
  <c r="AA111" i="1"/>
  <c r="Z111" i="1"/>
  <c r="Y111" i="1"/>
  <c r="X111" i="1"/>
  <c r="W111" i="1"/>
  <c r="V111" i="1"/>
  <c r="U111" i="1"/>
  <c r="S111" i="1"/>
  <c r="AA110" i="1"/>
  <c r="Z110" i="1"/>
  <c r="Y110" i="1"/>
  <c r="X110" i="1"/>
  <c r="W110" i="1"/>
  <c r="V110" i="1"/>
  <c r="U110" i="1"/>
  <c r="S110" i="1"/>
  <c r="AA109" i="1"/>
  <c r="Z109" i="1"/>
  <c r="Y109" i="1"/>
  <c r="X109" i="1"/>
  <c r="W109" i="1"/>
  <c r="V109" i="1"/>
  <c r="U109" i="1"/>
  <c r="S109" i="1"/>
  <c r="AA108" i="1"/>
  <c r="Z108" i="1"/>
  <c r="Y108" i="1"/>
  <c r="X108" i="1"/>
  <c r="W108" i="1"/>
  <c r="V108" i="1"/>
  <c r="U108" i="1"/>
  <c r="S108" i="1"/>
  <c r="AA107" i="1"/>
  <c r="Z107" i="1"/>
  <c r="Y107" i="1"/>
  <c r="X107" i="1"/>
  <c r="W107" i="1"/>
  <c r="V107" i="1"/>
  <c r="U107" i="1"/>
  <c r="S107" i="1"/>
  <c r="AA106" i="1"/>
  <c r="Z106" i="1"/>
  <c r="Y106" i="1"/>
  <c r="X106" i="1"/>
  <c r="W106" i="1"/>
  <c r="V106" i="1"/>
  <c r="U106" i="1"/>
  <c r="S106" i="1"/>
  <c r="AA105" i="1"/>
  <c r="Z105" i="1"/>
  <c r="Y105" i="1"/>
  <c r="X105" i="1"/>
  <c r="W105" i="1"/>
  <c r="V105" i="1"/>
  <c r="U105" i="1"/>
  <c r="S105" i="1"/>
  <c r="AA104" i="1"/>
  <c r="Z104" i="1"/>
  <c r="Y104" i="1"/>
  <c r="X104" i="1"/>
  <c r="W104" i="1"/>
  <c r="V104" i="1"/>
  <c r="U104" i="1"/>
  <c r="S104" i="1"/>
  <c r="AA103" i="1"/>
  <c r="Z103" i="1"/>
  <c r="Y103" i="1"/>
  <c r="X103" i="1"/>
  <c r="W103" i="1"/>
  <c r="V103" i="1"/>
  <c r="U103" i="1"/>
  <c r="S103" i="1"/>
  <c r="AA102" i="1"/>
  <c r="Z102" i="1"/>
  <c r="Y102" i="1"/>
  <c r="X102" i="1"/>
  <c r="W102" i="1"/>
  <c r="V102" i="1"/>
  <c r="U102" i="1"/>
  <c r="S102" i="1"/>
  <c r="AA101" i="1"/>
  <c r="Z101" i="1"/>
  <c r="Y101" i="1"/>
  <c r="X101" i="1"/>
  <c r="W101" i="1"/>
  <c r="V101" i="1"/>
  <c r="U101" i="1"/>
  <c r="S101" i="1"/>
  <c r="AA100" i="1"/>
  <c r="Z100" i="1"/>
  <c r="Y100" i="1"/>
  <c r="X100" i="1"/>
  <c r="W100" i="1"/>
  <c r="V100" i="1"/>
  <c r="U100" i="1"/>
  <c r="S100" i="1"/>
  <c r="AA99" i="1"/>
  <c r="Z99" i="1"/>
  <c r="Y99" i="1"/>
  <c r="X99" i="1"/>
  <c r="W99" i="1"/>
  <c r="V99" i="1"/>
  <c r="U99" i="1"/>
  <c r="S99" i="1"/>
  <c r="AA98" i="1"/>
  <c r="Z98" i="1"/>
  <c r="Y98" i="1"/>
  <c r="X98" i="1"/>
  <c r="W98" i="1"/>
  <c r="V98" i="1"/>
  <c r="U98" i="1"/>
  <c r="S98" i="1"/>
  <c r="AA97" i="1"/>
  <c r="Z97" i="1"/>
  <c r="Y97" i="1"/>
  <c r="X97" i="1"/>
  <c r="W97" i="1"/>
  <c r="V97" i="1"/>
  <c r="U97" i="1"/>
  <c r="S97" i="1"/>
  <c r="AA96" i="1"/>
  <c r="Z96" i="1"/>
  <c r="Y96" i="1"/>
  <c r="X96" i="1"/>
  <c r="W96" i="1"/>
  <c r="V96" i="1"/>
  <c r="U96" i="1"/>
  <c r="S96" i="1"/>
  <c r="AA95" i="1"/>
  <c r="Z95" i="1"/>
  <c r="Y95" i="1"/>
  <c r="X95" i="1"/>
  <c r="W95" i="1"/>
  <c r="V95" i="1"/>
  <c r="U95" i="1"/>
  <c r="S95" i="1"/>
  <c r="AA94" i="1"/>
  <c r="Z94" i="1"/>
  <c r="Y94" i="1"/>
  <c r="X94" i="1"/>
  <c r="W94" i="1"/>
  <c r="V94" i="1"/>
  <c r="U94" i="1"/>
  <c r="S94" i="1"/>
  <c r="AA93" i="1"/>
  <c r="Z93" i="1"/>
  <c r="Y93" i="1"/>
  <c r="X93" i="1"/>
  <c r="W93" i="1"/>
  <c r="V93" i="1"/>
  <c r="U93" i="1"/>
  <c r="S93" i="1"/>
  <c r="AA92" i="1"/>
  <c r="Z92" i="1"/>
  <c r="Y92" i="1"/>
  <c r="X92" i="1"/>
  <c r="W92" i="1"/>
  <c r="V92" i="1"/>
  <c r="U92" i="1"/>
  <c r="S92" i="1"/>
  <c r="AA91" i="1"/>
  <c r="Z91" i="1"/>
  <c r="Y91" i="1"/>
  <c r="X91" i="1"/>
  <c r="W91" i="1"/>
  <c r="V91" i="1"/>
  <c r="U91" i="1"/>
  <c r="S91" i="1"/>
  <c r="AA90" i="1"/>
  <c r="Z90" i="1"/>
  <c r="Y90" i="1"/>
  <c r="X90" i="1"/>
  <c r="W90" i="1"/>
  <c r="V90" i="1"/>
  <c r="U90" i="1"/>
  <c r="S90" i="1"/>
  <c r="AA89" i="1"/>
  <c r="Z89" i="1"/>
  <c r="Y89" i="1"/>
  <c r="X89" i="1"/>
  <c r="W89" i="1"/>
  <c r="V89" i="1"/>
  <c r="U89" i="1"/>
  <c r="S89" i="1"/>
  <c r="AA88" i="1"/>
  <c r="Z88" i="1"/>
  <c r="Y88" i="1"/>
  <c r="X88" i="1"/>
  <c r="W88" i="1"/>
  <c r="V88" i="1"/>
  <c r="U88" i="1"/>
  <c r="S88" i="1"/>
  <c r="AA87" i="1"/>
  <c r="Z87" i="1"/>
  <c r="Y87" i="1"/>
  <c r="X87" i="1"/>
  <c r="W87" i="1"/>
  <c r="V87" i="1"/>
  <c r="U87" i="1"/>
  <c r="S87" i="1"/>
  <c r="AA86" i="1"/>
  <c r="Z86" i="1"/>
  <c r="Y86" i="1"/>
  <c r="X86" i="1"/>
  <c r="W86" i="1"/>
  <c r="V86" i="1"/>
  <c r="U86" i="1"/>
  <c r="S86" i="1"/>
  <c r="AA85" i="1"/>
  <c r="Z85" i="1"/>
  <c r="Y85" i="1"/>
  <c r="X85" i="1"/>
  <c r="W85" i="1"/>
  <c r="V85" i="1"/>
  <c r="U85" i="1"/>
  <c r="S85" i="1"/>
  <c r="AA84" i="1"/>
  <c r="Z84" i="1"/>
  <c r="Y84" i="1"/>
  <c r="X84" i="1"/>
  <c r="W84" i="1"/>
  <c r="V84" i="1"/>
  <c r="U84" i="1"/>
  <c r="S84" i="1"/>
  <c r="AA83" i="1"/>
  <c r="Z83" i="1"/>
  <c r="Y83" i="1"/>
  <c r="X83" i="1"/>
  <c r="W83" i="1"/>
  <c r="V83" i="1"/>
  <c r="U83" i="1"/>
  <c r="S83" i="1"/>
  <c r="AA82" i="1"/>
  <c r="Z82" i="1"/>
  <c r="Y82" i="1"/>
  <c r="X82" i="1"/>
  <c r="W82" i="1"/>
  <c r="V82" i="1"/>
  <c r="U82" i="1"/>
  <c r="S82" i="1"/>
  <c r="AA81" i="1"/>
  <c r="Z81" i="1"/>
  <c r="Y81" i="1"/>
  <c r="X81" i="1"/>
  <c r="W81" i="1"/>
  <c r="V81" i="1"/>
  <c r="U81" i="1"/>
  <c r="S81" i="1"/>
  <c r="AA80" i="1"/>
  <c r="Z80" i="1"/>
  <c r="Y80" i="1"/>
  <c r="X80" i="1"/>
  <c r="W80" i="1"/>
  <c r="V80" i="1"/>
  <c r="U80" i="1"/>
  <c r="S80" i="1"/>
  <c r="AA79" i="1"/>
  <c r="Z79" i="1"/>
  <c r="Y79" i="1"/>
  <c r="X79" i="1"/>
  <c r="W79" i="1"/>
  <c r="V79" i="1"/>
  <c r="U79" i="1"/>
  <c r="S79" i="1"/>
  <c r="AA78" i="1"/>
  <c r="Z78" i="1"/>
  <c r="Y78" i="1"/>
  <c r="X78" i="1"/>
  <c r="W78" i="1"/>
  <c r="V78" i="1"/>
  <c r="U78" i="1"/>
  <c r="S78" i="1"/>
  <c r="AA77" i="1"/>
  <c r="Z77" i="1"/>
  <c r="Y77" i="1"/>
  <c r="X77" i="1"/>
  <c r="W77" i="1"/>
  <c r="V77" i="1"/>
  <c r="U77" i="1"/>
  <c r="S77" i="1"/>
  <c r="AA76" i="1"/>
  <c r="Z76" i="1"/>
  <c r="Y76" i="1"/>
  <c r="X76" i="1"/>
  <c r="W76" i="1"/>
  <c r="V76" i="1"/>
  <c r="U76" i="1"/>
  <c r="S76" i="1"/>
  <c r="AA75" i="1"/>
  <c r="Z75" i="1"/>
  <c r="Y75" i="1"/>
  <c r="X75" i="1"/>
  <c r="W75" i="1"/>
  <c r="V75" i="1"/>
  <c r="U75" i="1"/>
  <c r="S75" i="1"/>
  <c r="AA74" i="1"/>
  <c r="Z74" i="1"/>
  <c r="Y74" i="1"/>
  <c r="X74" i="1"/>
  <c r="W74" i="1"/>
  <c r="V74" i="1"/>
  <c r="U74" i="1"/>
  <c r="S74" i="1"/>
  <c r="AA73" i="1"/>
  <c r="Z73" i="1"/>
  <c r="Y73" i="1"/>
  <c r="X73" i="1"/>
  <c r="W73" i="1"/>
  <c r="V73" i="1"/>
  <c r="U73" i="1"/>
  <c r="S73" i="1"/>
  <c r="O73" i="1"/>
  <c r="P73" i="1" s="1"/>
  <c r="N73" i="1"/>
  <c r="M73" i="1"/>
  <c r="AA72" i="1"/>
  <c r="Z72" i="1"/>
  <c r="Y72" i="1"/>
  <c r="X72" i="1"/>
  <c r="W72" i="1"/>
  <c r="V72" i="1"/>
  <c r="U72" i="1"/>
  <c r="S72" i="1"/>
  <c r="O72" i="1"/>
  <c r="P72" i="1" s="1"/>
  <c r="N72" i="1"/>
  <c r="M72" i="1"/>
  <c r="AA71" i="1"/>
  <c r="Z71" i="1"/>
  <c r="Y71" i="1"/>
  <c r="X71" i="1"/>
  <c r="W71" i="1"/>
  <c r="V71" i="1"/>
  <c r="U71" i="1"/>
  <c r="S71" i="1"/>
  <c r="O71" i="1"/>
  <c r="P71" i="1" s="1"/>
  <c r="N71" i="1"/>
  <c r="M71" i="1"/>
  <c r="AA70" i="1"/>
  <c r="Z70" i="1"/>
  <c r="Y70" i="1"/>
  <c r="X70" i="1"/>
  <c r="W70" i="1"/>
  <c r="V70" i="1"/>
  <c r="U70" i="1"/>
  <c r="S70" i="1"/>
  <c r="O70" i="1"/>
  <c r="P70" i="1" s="1"/>
  <c r="N70" i="1"/>
  <c r="M70" i="1"/>
  <c r="AA69" i="1"/>
  <c r="Z69" i="1"/>
  <c r="Y69" i="1"/>
  <c r="X69" i="1"/>
  <c r="W69" i="1"/>
  <c r="V69" i="1"/>
  <c r="U69" i="1"/>
  <c r="S69" i="1"/>
  <c r="O69" i="1"/>
  <c r="Q69" i="1" s="1"/>
  <c r="N69" i="1"/>
  <c r="M69" i="1"/>
  <c r="AA68" i="1"/>
  <c r="Z68" i="1"/>
  <c r="Y68" i="1"/>
  <c r="X68" i="1"/>
  <c r="W68" i="1"/>
  <c r="V68" i="1"/>
  <c r="U68" i="1"/>
  <c r="S68" i="1"/>
  <c r="O68" i="1"/>
  <c r="R68" i="1" s="1"/>
  <c r="N68" i="1"/>
  <c r="M68" i="1"/>
  <c r="AA67" i="1"/>
  <c r="Z67" i="1"/>
  <c r="Y67" i="1"/>
  <c r="X67" i="1"/>
  <c r="W67" i="1"/>
  <c r="V67" i="1"/>
  <c r="U67" i="1"/>
  <c r="S67" i="1"/>
  <c r="AA66" i="1"/>
  <c r="Z66" i="1"/>
  <c r="Y66" i="1"/>
  <c r="X66" i="1"/>
  <c r="W66" i="1"/>
  <c r="V66" i="1"/>
  <c r="U66" i="1"/>
  <c r="S66" i="1"/>
  <c r="AA65" i="1"/>
  <c r="Z65" i="1"/>
  <c r="Y65" i="1"/>
  <c r="X65" i="1"/>
  <c r="W65" i="1"/>
  <c r="V65" i="1"/>
  <c r="U65" i="1"/>
  <c r="S65" i="1"/>
  <c r="AA64" i="1"/>
  <c r="Z64" i="1"/>
  <c r="Y64" i="1"/>
  <c r="X64" i="1"/>
  <c r="W64" i="1"/>
  <c r="V64" i="1"/>
  <c r="U64" i="1"/>
  <c r="S64" i="1"/>
  <c r="AA63" i="1"/>
  <c r="Z63" i="1"/>
  <c r="Y63" i="1"/>
  <c r="X63" i="1"/>
  <c r="W63" i="1"/>
  <c r="V63" i="1"/>
  <c r="U63" i="1"/>
  <c r="S63" i="1"/>
  <c r="AA62" i="1"/>
  <c r="Z62" i="1"/>
  <c r="Y62" i="1"/>
  <c r="X62" i="1"/>
  <c r="W62" i="1"/>
  <c r="V62" i="1"/>
  <c r="U62" i="1"/>
  <c r="S62" i="1"/>
  <c r="AA61" i="1"/>
  <c r="Z61" i="1"/>
  <c r="Y61" i="1"/>
  <c r="X61" i="1"/>
  <c r="W61" i="1"/>
  <c r="V61" i="1"/>
  <c r="U61" i="1"/>
  <c r="S61" i="1"/>
  <c r="AA60" i="1"/>
  <c r="Z60" i="1"/>
  <c r="Y60" i="1"/>
  <c r="X60" i="1"/>
  <c r="W60" i="1"/>
  <c r="V60" i="1"/>
  <c r="U60" i="1"/>
  <c r="S60" i="1"/>
  <c r="AA59" i="1"/>
  <c r="Z59" i="1"/>
  <c r="Y59" i="1"/>
  <c r="X59" i="1"/>
  <c r="W59" i="1"/>
  <c r="V59" i="1"/>
  <c r="U59" i="1"/>
  <c r="S59" i="1"/>
  <c r="AA58" i="1"/>
  <c r="Z58" i="1"/>
  <c r="Y58" i="1"/>
  <c r="X58" i="1"/>
  <c r="W58" i="1"/>
  <c r="V58" i="1"/>
  <c r="U58" i="1"/>
  <c r="S58" i="1"/>
  <c r="AA57" i="1"/>
  <c r="Z57" i="1"/>
  <c r="Y57" i="1"/>
  <c r="X57" i="1"/>
  <c r="W57" i="1"/>
  <c r="V57" i="1"/>
  <c r="U57" i="1"/>
  <c r="S57" i="1"/>
  <c r="AA56" i="1"/>
  <c r="Z56" i="1"/>
  <c r="Y56" i="1"/>
  <c r="X56" i="1"/>
  <c r="W56" i="1"/>
  <c r="V56" i="1"/>
  <c r="U56" i="1"/>
  <c r="S56" i="1"/>
  <c r="AA55" i="1"/>
  <c r="Z55" i="1"/>
  <c r="Y55" i="1"/>
  <c r="X55" i="1"/>
  <c r="W55" i="1"/>
  <c r="V55" i="1"/>
  <c r="U55" i="1"/>
  <c r="S55" i="1"/>
  <c r="N55" i="1"/>
  <c r="AA54" i="1"/>
  <c r="Z54" i="1"/>
  <c r="Y54" i="1"/>
  <c r="X54" i="1"/>
  <c r="W54" i="1"/>
  <c r="V54" i="1"/>
  <c r="U54" i="1"/>
  <c r="S54" i="1"/>
  <c r="N54" i="1"/>
  <c r="O54" i="1" s="1"/>
  <c r="AA53" i="1"/>
  <c r="Z53" i="1"/>
  <c r="Y53" i="1"/>
  <c r="X53" i="1"/>
  <c r="W53" i="1"/>
  <c r="V53" i="1"/>
  <c r="U53" i="1"/>
  <c r="S53" i="1"/>
  <c r="N53" i="1"/>
  <c r="AA52" i="1"/>
  <c r="Z52" i="1"/>
  <c r="Y52" i="1"/>
  <c r="X52" i="1"/>
  <c r="W52" i="1"/>
  <c r="V52" i="1"/>
  <c r="U52" i="1"/>
  <c r="S52" i="1"/>
  <c r="O52" i="1"/>
  <c r="N52" i="1"/>
  <c r="AA51" i="1"/>
  <c r="Z51" i="1"/>
  <c r="Y51" i="1"/>
  <c r="X51" i="1"/>
  <c r="W51" i="1"/>
  <c r="V51" i="1"/>
  <c r="U51" i="1"/>
  <c r="S51" i="1"/>
  <c r="N51" i="1"/>
  <c r="AA50" i="1"/>
  <c r="Z50" i="1"/>
  <c r="Y50" i="1"/>
  <c r="X50" i="1"/>
  <c r="W50" i="1"/>
  <c r="V50" i="1"/>
  <c r="U50" i="1"/>
  <c r="S50" i="1"/>
  <c r="N50" i="1"/>
  <c r="AA49" i="1"/>
  <c r="Z49" i="1"/>
  <c r="Y49" i="1"/>
  <c r="X49" i="1"/>
  <c r="W49" i="1"/>
  <c r="V49" i="1"/>
  <c r="U49" i="1"/>
  <c r="S49" i="1"/>
  <c r="AA48" i="1"/>
  <c r="Z48" i="1"/>
  <c r="Y48" i="1"/>
  <c r="X48" i="1"/>
  <c r="W48" i="1"/>
  <c r="V48" i="1"/>
  <c r="U48" i="1"/>
  <c r="S48" i="1"/>
  <c r="AA47" i="1"/>
  <c r="Z47" i="1"/>
  <c r="Y47" i="1"/>
  <c r="X47" i="1"/>
  <c r="W47" i="1"/>
  <c r="V47" i="1"/>
  <c r="U47" i="1"/>
  <c r="S47" i="1"/>
  <c r="O47" i="1"/>
  <c r="N47" i="1"/>
  <c r="N48" i="1" s="1"/>
  <c r="AA46" i="1"/>
  <c r="Z46" i="1"/>
  <c r="Y46" i="1"/>
  <c r="X46" i="1"/>
  <c r="W46" i="1"/>
  <c r="V46" i="1"/>
  <c r="U46" i="1"/>
  <c r="S46" i="1"/>
  <c r="O46" i="1"/>
  <c r="N46" i="1"/>
  <c r="AA45" i="1"/>
  <c r="Z45" i="1"/>
  <c r="Y45" i="1"/>
  <c r="X45" i="1"/>
  <c r="W45" i="1"/>
  <c r="V45" i="1"/>
  <c r="U45" i="1"/>
  <c r="S45" i="1"/>
  <c r="O45" i="1"/>
  <c r="AA44" i="1"/>
  <c r="Z44" i="1"/>
  <c r="Y44" i="1"/>
  <c r="X44" i="1"/>
  <c r="W44" i="1"/>
  <c r="V44" i="1"/>
  <c r="U44" i="1"/>
  <c r="S44" i="1"/>
  <c r="N44" i="1"/>
  <c r="O44" i="1" s="1"/>
  <c r="AA43" i="1"/>
  <c r="Z43" i="1"/>
  <c r="Y43" i="1"/>
  <c r="X43" i="1"/>
  <c r="W43" i="1"/>
  <c r="V43" i="1"/>
  <c r="U43" i="1"/>
  <c r="S43" i="1"/>
  <c r="O43" i="1"/>
  <c r="N43" i="1"/>
  <c r="AA42" i="1"/>
  <c r="Z42" i="1"/>
  <c r="Y42" i="1"/>
  <c r="X42" i="1"/>
  <c r="W42" i="1"/>
  <c r="V42" i="1"/>
  <c r="U42" i="1"/>
  <c r="S42" i="1"/>
  <c r="O42" i="1"/>
  <c r="N42" i="1"/>
  <c r="AA41" i="1"/>
  <c r="Z41" i="1"/>
  <c r="Y41" i="1"/>
  <c r="X41" i="1"/>
  <c r="W41" i="1"/>
  <c r="V41" i="1"/>
  <c r="U41" i="1"/>
  <c r="S41" i="1"/>
  <c r="O41" i="1"/>
  <c r="N41" i="1"/>
  <c r="AA40" i="1"/>
  <c r="Z40" i="1"/>
  <c r="Y40" i="1"/>
  <c r="X40" i="1"/>
  <c r="W40" i="1"/>
  <c r="V40" i="1"/>
  <c r="U40" i="1"/>
  <c r="S40" i="1"/>
  <c r="O40" i="1"/>
  <c r="N40" i="1"/>
  <c r="AA39" i="1"/>
  <c r="Z39" i="1"/>
  <c r="Y39" i="1"/>
  <c r="X39" i="1"/>
  <c r="W39" i="1"/>
  <c r="V39" i="1"/>
  <c r="U39" i="1"/>
  <c r="S39" i="1"/>
  <c r="O39" i="1"/>
  <c r="AA38" i="1"/>
  <c r="Z38" i="1"/>
  <c r="Y38" i="1"/>
  <c r="X38" i="1"/>
  <c r="W38" i="1"/>
  <c r="V38" i="1"/>
  <c r="U38" i="1"/>
  <c r="S38" i="1"/>
  <c r="AA37" i="1"/>
  <c r="Z37" i="1"/>
  <c r="Y37" i="1"/>
  <c r="X37" i="1"/>
  <c r="W37" i="1"/>
  <c r="V37" i="1"/>
  <c r="U37" i="1"/>
  <c r="S37" i="1"/>
  <c r="AA36" i="1"/>
  <c r="Z36" i="1"/>
  <c r="Y36" i="1"/>
  <c r="X36" i="1"/>
  <c r="W36" i="1"/>
  <c r="V36" i="1"/>
  <c r="U36" i="1"/>
  <c r="S36" i="1"/>
  <c r="AA35" i="1"/>
  <c r="Z35" i="1"/>
  <c r="Y35" i="1"/>
  <c r="X35" i="1"/>
  <c r="W35" i="1"/>
  <c r="V35" i="1"/>
  <c r="U35" i="1"/>
  <c r="S35" i="1"/>
  <c r="N35" i="1"/>
  <c r="AA34" i="1"/>
  <c r="Z34" i="1"/>
  <c r="Y34" i="1"/>
  <c r="X34" i="1"/>
  <c r="W34" i="1"/>
  <c r="V34" i="1"/>
  <c r="U34" i="1"/>
  <c r="S34" i="1"/>
  <c r="N34" i="1"/>
  <c r="AA33" i="1"/>
  <c r="Z33" i="1"/>
  <c r="Y33" i="1"/>
  <c r="X33" i="1"/>
  <c r="W33" i="1"/>
  <c r="V33" i="1"/>
  <c r="U33" i="1"/>
  <c r="S33" i="1"/>
  <c r="AA32" i="1"/>
  <c r="Z32" i="1"/>
  <c r="Y32" i="1"/>
  <c r="X32" i="1"/>
  <c r="W32" i="1"/>
  <c r="V32" i="1"/>
  <c r="U32" i="1"/>
  <c r="S32" i="1"/>
  <c r="AA31" i="1"/>
  <c r="Z31" i="1"/>
  <c r="Y31" i="1"/>
  <c r="X31" i="1"/>
  <c r="W31" i="1"/>
  <c r="V31" i="1"/>
  <c r="U31" i="1"/>
  <c r="S31" i="1"/>
  <c r="AA30" i="1"/>
  <c r="Z30" i="1"/>
  <c r="Y30" i="1"/>
  <c r="X30" i="1"/>
  <c r="W30" i="1"/>
  <c r="V30" i="1"/>
  <c r="U30" i="1"/>
  <c r="S30" i="1"/>
  <c r="AA29" i="1"/>
  <c r="Z29" i="1"/>
  <c r="Y29" i="1"/>
  <c r="X29" i="1"/>
  <c r="W29" i="1"/>
  <c r="V29" i="1"/>
  <c r="U29" i="1"/>
  <c r="S29" i="1"/>
  <c r="AA28" i="1"/>
  <c r="Z28" i="1"/>
  <c r="Y28" i="1"/>
  <c r="X28" i="1"/>
  <c r="W28" i="1"/>
  <c r="V28" i="1"/>
  <c r="U28" i="1"/>
  <c r="S28" i="1"/>
  <c r="N28" i="1"/>
  <c r="AA27" i="1"/>
  <c r="Z27" i="1"/>
  <c r="Y27" i="1"/>
  <c r="X27" i="1"/>
  <c r="W27" i="1"/>
  <c r="V27" i="1"/>
  <c r="U27" i="1"/>
  <c r="S27" i="1"/>
  <c r="N27" i="1"/>
  <c r="AA26" i="1"/>
  <c r="Z26" i="1"/>
  <c r="Y26" i="1"/>
  <c r="X26" i="1"/>
  <c r="W26" i="1"/>
  <c r="V26" i="1"/>
  <c r="U26" i="1"/>
  <c r="S26" i="1"/>
  <c r="N26" i="1"/>
  <c r="AA25" i="1"/>
  <c r="Z25" i="1"/>
  <c r="Y25" i="1"/>
  <c r="X25" i="1"/>
  <c r="W25" i="1"/>
  <c r="V25" i="1"/>
  <c r="U25" i="1"/>
  <c r="S25" i="1"/>
  <c r="N25" i="1"/>
  <c r="O7" i="1" s="1"/>
  <c r="AA24" i="1"/>
  <c r="Z24" i="1"/>
  <c r="Y24" i="1"/>
  <c r="X24" i="1"/>
  <c r="W24" i="1"/>
  <c r="V24" i="1"/>
  <c r="U24" i="1"/>
  <c r="S24" i="1"/>
  <c r="AA23" i="1"/>
  <c r="Z23" i="1"/>
  <c r="Y23" i="1"/>
  <c r="X23" i="1"/>
  <c r="W23" i="1"/>
  <c r="V23" i="1"/>
  <c r="U23" i="1"/>
  <c r="S23" i="1"/>
  <c r="N23" i="1"/>
  <c r="AA22" i="1"/>
  <c r="Z22" i="1"/>
  <c r="Y22" i="1"/>
  <c r="X22" i="1"/>
  <c r="W22" i="1"/>
  <c r="V22" i="1"/>
  <c r="U22" i="1"/>
  <c r="S22" i="1"/>
  <c r="O22" i="1"/>
  <c r="N22" i="1"/>
  <c r="AA21" i="1"/>
  <c r="Z21" i="1"/>
  <c r="Y21" i="1"/>
  <c r="X21" i="1"/>
  <c r="W21" i="1"/>
  <c r="V21" i="1"/>
  <c r="U21" i="1"/>
  <c r="S21" i="1"/>
  <c r="O21" i="1"/>
  <c r="N21" i="1"/>
  <c r="AA20" i="1"/>
  <c r="Z20" i="1"/>
  <c r="Y20" i="1"/>
  <c r="X20" i="1"/>
  <c r="W20" i="1"/>
  <c r="V20" i="1"/>
  <c r="U20" i="1"/>
  <c r="S20" i="1"/>
  <c r="N20" i="1"/>
  <c r="O20" i="1" s="1"/>
  <c r="AA19" i="1"/>
  <c r="Z19" i="1"/>
  <c r="Y19" i="1"/>
  <c r="X19" i="1"/>
  <c r="W19" i="1"/>
  <c r="V19" i="1"/>
  <c r="U19" i="1"/>
  <c r="S19" i="1"/>
  <c r="N19" i="1"/>
  <c r="O9" i="1" s="1"/>
  <c r="AA18" i="1"/>
  <c r="Z18" i="1"/>
  <c r="Y18" i="1"/>
  <c r="X18" i="1"/>
  <c r="W18" i="1"/>
  <c r="V18" i="1"/>
  <c r="U18" i="1"/>
  <c r="S18" i="1"/>
  <c r="AA17" i="1"/>
  <c r="Z17" i="1"/>
  <c r="Y17" i="1"/>
  <c r="X17" i="1"/>
  <c r="W17" i="1"/>
  <c r="V17" i="1"/>
  <c r="U17" i="1"/>
  <c r="S17" i="1"/>
  <c r="N17" i="1"/>
  <c r="AA16" i="1"/>
  <c r="Z16" i="1"/>
  <c r="Y16" i="1"/>
  <c r="X16" i="1"/>
  <c r="W16" i="1"/>
  <c r="V16" i="1"/>
  <c r="U16" i="1"/>
  <c r="S16" i="1"/>
  <c r="N16" i="1"/>
  <c r="AA15" i="1"/>
  <c r="Z15" i="1"/>
  <c r="Y15" i="1"/>
  <c r="X15" i="1"/>
  <c r="W15" i="1"/>
  <c r="V15" i="1"/>
  <c r="U15" i="1"/>
  <c r="S15" i="1"/>
  <c r="N15" i="1"/>
  <c r="AA14" i="1"/>
  <c r="Z14" i="1"/>
  <c r="Y14" i="1"/>
  <c r="X14" i="1"/>
  <c r="W14" i="1"/>
  <c r="V14" i="1"/>
  <c r="U14" i="1"/>
  <c r="S14" i="1"/>
  <c r="AA13" i="1"/>
  <c r="Z13" i="1"/>
  <c r="Y13" i="1"/>
  <c r="X13" i="1"/>
  <c r="W13" i="1"/>
  <c r="V13" i="1"/>
  <c r="U13" i="1"/>
  <c r="S13" i="1"/>
  <c r="N13" i="1"/>
  <c r="AA12" i="1"/>
  <c r="Z12" i="1"/>
  <c r="Y12" i="1"/>
  <c r="X12" i="1"/>
  <c r="W12" i="1"/>
  <c r="V12" i="1"/>
  <c r="U12" i="1"/>
  <c r="S12" i="1"/>
  <c r="N12" i="1"/>
  <c r="N49" i="1" s="1"/>
  <c r="AA11" i="1"/>
  <c r="Z11" i="1"/>
  <c r="Y11" i="1"/>
  <c r="X11" i="1"/>
  <c r="W11" i="1"/>
  <c r="V11" i="1"/>
  <c r="U11" i="1"/>
  <c r="S11" i="1"/>
  <c r="O11" i="1"/>
  <c r="N11" i="1"/>
  <c r="AA10" i="1"/>
  <c r="Z10" i="1"/>
  <c r="Y10" i="1"/>
  <c r="X10" i="1"/>
  <c r="W10" i="1"/>
  <c r="V10" i="1"/>
  <c r="U10" i="1"/>
  <c r="S10" i="1"/>
  <c r="N10" i="1"/>
  <c r="AA9" i="1"/>
  <c r="Z9" i="1"/>
  <c r="Y9" i="1"/>
  <c r="X9" i="1"/>
  <c r="W9" i="1"/>
  <c r="V9" i="1"/>
  <c r="U9" i="1"/>
  <c r="S9" i="1"/>
  <c r="AA8" i="1"/>
  <c r="Z8" i="1"/>
  <c r="Y8" i="1"/>
  <c r="X8" i="1"/>
  <c r="W8" i="1"/>
  <c r="V8" i="1"/>
  <c r="U8" i="1"/>
  <c r="S8" i="1"/>
  <c r="O8" i="1"/>
  <c r="AA7" i="1"/>
  <c r="Z7" i="1"/>
  <c r="Y7" i="1"/>
  <c r="X7" i="1"/>
  <c r="W7" i="1"/>
  <c r="V7" i="1"/>
  <c r="U7" i="1"/>
  <c r="N6" i="1"/>
  <c r="O6" i="1" s="1"/>
  <c r="O16" i="1" s="1"/>
  <c r="O17" i="1" s="1"/>
  <c r="N5" i="1"/>
  <c r="P68" i="1" l="1"/>
  <c r="Q68" i="1"/>
  <c r="Q72" i="1"/>
  <c r="R69" i="1"/>
  <c r="R70" i="1"/>
  <c r="R71" i="1"/>
  <c r="R72" i="1"/>
  <c r="Q71" i="1"/>
  <c r="Q70" i="1"/>
  <c r="Q73" i="1"/>
  <c r="N9" i="1"/>
  <c r="P69" i="1"/>
  <c r="B2" i="14"/>
  <c r="D22" i="14"/>
  <c r="Q71" i="4" l="1"/>
  <c r="P71" i="4"/>
  <c r="U70" i="4"/>
  <c r="T70" i="4"/>
  <c r="S70" i="4"/>
  <c r="R70" i="4"/>
  <c r="Q70" i="4"/>
  <c r="P70" i="4"/>
  <c r="U69" i="4"/>
  <c r="T69" i="4"/>
  <c r="S69" i="4"/>
  <c r="R69" i="4"/>
  <c r="Q69" i="4"/>
  <c r="P69" i="4"/>
  <c r="U68" i="4"/>
  <c r="T68" i="4"/>
  <c r="S68" i="4"/>
  <c r="R68" i="4"/>
  <c r="Q68" i="4"/>
  <c r="P68" i="4"/>
  <c r="U67" i="4"/>
  <c r="T67" i="4"/>
  <c r="S67" i="4"/>
  <c r="R67" i="4"/>
  <c r="Q67" i="4"/>
  <c r="P67" i="4"/>
  <c r="U66" i="4"/>
  <c r="T66" i="4"/>
  <c r="S66" i="4"/>
  <c r="R66" i="4"/>
  <c r="Q66" i="4"/>
  <c r="P66" i="4"/>
  <c r="Q53" i="4"/>
  <c r="R52" i="4"/>
  <c r="Q52" i="4"/>
  <c r="Q48" i="4"/>
  <c r="R45" i="4"/>
  <c r="Q45" i="4"/>
  <c r="Q46" i="4" s="1"/>
  <c r="R43" i="4"/>
  <c r="Q42" i="4"/>
  <c r="R42" i="4" s="1"/>
  <c r="R41" i="4"/>
  <c r="Q41" i="4"/>
  <c r="R40" i="4"/>
  <c r="R39" i="4"/>
  <c r="Q39" i="4"/>
  <c r="R38" i="4"/>
  <c r="Q38" i="4"/>
  <c r="R37" i="4"/>
  <c r="Q33" i="4"/>
  <c r="Q32" i="4"/>
  <c r="Q23" i="4"/>
  <c r="Q21" i="4"/>
  <c r="R20" i="4"/>
  <c r="Q19" i="4"/>
  <c r="R19" i="4" s="1"/>
  <c r="R18" i="4"/>
  <c r="Q18" i="4"/>
  <c r="Q17" i="4"/>
  <c r="Q7" i="4" s="1"/>
  <c r="Q15" i="4"/>
  <c r="Q14" i="4"/>
  <c r="R9" i="4"/>
  <c r="AD5" i="4"/>
  <c r="AC5" i="4"/>
  <c r="AB5" i="4"/>
  <c r="AA5" i="4"/>
  <c r="Z5" i="4"/>
  <c r="Y5" i="4"/>
  <c r="X5" i="4"/>
  <c r="R5" i="4"/>
  <c r="R7" i="4" l="1"/>
  <c r="B2" i="4" l="1"/>
  <c r="BC38" i="7" l="1"/>
  <c r="BC36" i="7"/>
  <c r="BC35" i="7"/>
  <c r="AX36" i="7"/>
  <c r="AE9" i="4" l="1"/>
  <c r="L6" i="7" l="1"/>
  <c r="L5" i="7"/>
  <c r="I19" i="4" l="1"/>
  <c r="J19" i="4" s="1"/>
  <c r="H19" i="4"/>
  <c r="I18" i="4"/>
  <c r="J18" i="4" s="1"/>
  <c r="H18" i="4"/>
  <c r="I17" i="4"/>
  <c r="J17" i="4" s="1"/>
  <c r="H17" i="4"/>
  <c r="I16" i="4"/>
  <c r="J16" i="4" s="1"/>
  <c r="H16" i="4"/>
  <c r="G376" i="7"/>
  <c r="G375" i="7"/>
  <c r="G374" i="7"/>
  <c r="G373" i="7"/>
  <c r="E376" i="7"/>
  <c r="E375" i="7"/>
  <c r="E374" i="7"/>
  <c r="E373" i="7"/>
  <c r="F376" i="7"/>
  <c r="F375" i="7"/>
  <c r="F374" i="7"/>
  <c r="F373" i="7"/>
  <c r="D358" i="7"/>
  <c r="C352" i="7"/>
  <c r="D348" i="7"/>
  <c r="D326" i="7"/>
  <c r="D325" i="7"/>
  <c r="D324" i="7"/>
  <c r="D313" i="7"/>
  <c r="C313" i="7"/>
  <c r="B377" i="7"/>
  <c r="D376" i="7"/>
  <c r="C376" i="7"/>
  <c r="B376" i="7"/>
  <c r="D375" i="7"/>
  <c r="C375" i="7"/>
  <c r="B375" i="7"/>
  <c r="D374" i="7"/>
  <c r="C374" i="7"/>
  <c r="B374" i="7"/>
  <c r="D373" i="7"/>
  <c r="C373" i="7"/>
  <c r="B373" i="7"/>
  <c r="B372" i="7"/>
  <c r="C359" i="7"/>
  <c r="C358" i="7"/>
  <c r="C354" i="7"/>
  <c r="D351" i="7"/>
  <c r="C351" i="7"/>
  <c r="D349" i="7"/>
  <c r="C348" i="7"/>
  <c r="D347" i="7"/>
  <c r="C347" i="7"/>
  <c r="D345" i="7"/>
  <c r="C345" i="7"/>
  <c r="D344" i="7"/>
  <c r="C344" i="7"/>
  <c r="D343" i="7"/>
  <c r="C339" i="7"/>
  <c r="C338" i="7"/>
  <c r="C327" i="7"/>
  <c r="C325" i="7"/>
  <c r="C324" i="7"/>
  <c r="C323" i="7"/>
  <c r="D315" i="7"/>
  <c r="P311" i="7"/>
  <c r="O311" i="7"/>
  <c r="N311" i="7"/>
  <c r="M311" i="7"/>
  <c r="L311" i="7"/>
  <c r="K311" i="7"/>
  <c r="J311" i="7"/>
  <c r="C306" i="7" l="1"/>
  <c r="E306" i="7"/>
  <c r="N2" i="1"/>
  <c r="P2" i="1"/>
  <c r="T135" i="7"/>
  <c r="T134" i="7"/>
  <c r="T133" i="7"/>
  <c r="T132" i="7"/>
  <c r="T131" i="7"/>
  <c r="T130" i="7"/>
  <c r="T129" i="7"/>
  <c r="T128" i="7"/>
  <c r="T127" i="7"/>
  <c r="T126" i="7"/>
  <c r="T125" i="7"/>
  <c r="T124" i="7"/>
  <c r="O124" i="7"/>
  <c r="G136" i="7"/>
  <c r="O116" i="7"/>
  <c r="L138" i="7"/>
  <c r="P117" i="7" s="1"/>
  <c r="H11" i="5"/>
  <c r="AT47" i="7" l="1"/>
  <c r="O117" i="7"/>
  <c r="H23" i="14"/>
  <c r="D7" i="3"/>
  <c r="D6" i="3"/>
  <c r="D8" i="3"/>
  <c r="D19" i="14" l="1"/>
  <c r="D18" i="14"/>
  <c r="D17" i="14"/>
  <c r="D16" i="14"/>
  <c r="D15" i="14"/>
  <c r="D14" i="14"/>
  <c r="D13" i="14"/>
  <c r="D12" i="14"/>
  <c r="D11" i="14"/>
  <c r="D10" i="14"/>
  <c r="D9" i="14"/>
  <c r="D8" i="14"/>
  <c r="H15" i="5" l="1"/>
  <c r="H14" i="5"/>
  <c r="H13" i="5"/>
  <c r="H15" i="16"/>
  <c r="H14" i="16"/>
  <c r="O118" i="7"/>
  <c r="G13" i="3"/>
  <c r="G14" i="3"/>
  <c r="G15" i="3"/>
  <c r="G16" i="3"/>
  <c r="G17" i="3"/>
  <c r="G18" i="3"/>
  <c r="G19" i="3"/>
  <c r="G20" i="3"/>
  <c r="G21" i="3"/>
  <c r="G22" i="3"/>
  <c r="G23" i="3"/>
  <c r="G12" i="3"/>
  <c r="H21" i="1" l="1"/>
  <c r="O125" i="7"/>
  <c r="AD22" i="7"/>
  <c r="O126" i="7" l="1"/>
  <c r="F7" i="16"/>
  <c r="E6" i="7"/>
  <c r="E7" i="16"/>
  <c r="E6" i="16"/>
  <c r="F23" i="3"/>
  <c r="F22" i="3"/>
  <c r="F21" i="3"/>
  <c r="F20" i="3"/>
  <c r="F19" i="3"/>
  <c r="F18" i="3"/>
  <c r="F17" i="3"/>
  <c r="F16" i="3"/>
  <c r="F15" i="3"/>
  <c r="F14" i="3"/>
  <c r="F13" i="3"/>
  <c r="F12" i="3"/>
  <c r="E23" i="3"/>
  <c r="D23" i="3"/>
  <c r="C23" i="3"/>
  <c r="E22" i="3"/>
  <c r="D22" i="3"/>
  <c r="C22" i="3"/>
  <c r="E21" i="3"/>
  <c r="D21" i="3"/>
  <c r="C21" i="3"/>
  <c r="E20" i="3"/>
  <c r="D20" i="3"/>
  <c r="C20" i="3"/>
  <c r="E19" i="3"/>
  <c r="D19" i="3"/>
  <c r="C19" i="3"/>
  <c r="E18" i="3"/>
  <c r="D18" i="3"/>
  <c r="C18" i="3"/>
  <c r="E17" i="3"/>
  <c r="D17" i="3"/>
  <c r="C17" i="3"/>
  <c r="E16" i="3"/>
  <c r="D16" i="3"/>
  <c r="C16" i="3"/>
  <c r="E15" i="3"/>
  <c r="D15" i="3"/>
  <c r="C15" i="3"/>
  <c r="E14" i="3"/>
  <c r="D14" i="3"/>
  <c r="C14" i="3"/>
  <c r="E13" i="3"/>
  <c r="D13" i="3"/>
  <c r="C13" i="3"/>
  <c r="E12" i="3"/>
  <c r="D12" i="3"/>
  <c r="C12" i="3"/>
  <c r="Q3" i="4" l="1"/>
  <c r="C309" i="7"/>
  <c r="O127" i="7"/>
  <c r="F193" i="7"/>
  <c r="O128" i="7" l="1"/>
  <c r="O129" i="7" l="1"/>
  <c r="H7" i="7"/>
  <c r="H23" i="6"/>
  <c r="H18" i="16"/>
  <c r="G25" i="7"/>
  <c r="H21" i="7"/>
  <c r="G21" i="7"/>
  <c r="H10" i="16"/>
  <c r="H12" i="16"/>
  <c r="C17" i="7"/>
  <c r="C14" i="7"/>
  <c r="I18" i="6"/>
  <c r="I15" i="6"/>
  <c r="I14" i="6"/>
  <c r="D114" i="7"/>
  <c r="D113" i="7"/>
  <c r="H16" i="16"/>
  <c r="C10" i="7"/>
  <c r="H13" i="6"/>
  <c r="C320" i="7" l="1"/>
  <c r="O130" i="7"/>
  <c r="O131" i="7" s="1"/>
  <c r="H11" i="6"/>
  <c r="K11" i="6" s="1"/>
  <c r="H12" i="5"/>
  <c r="K23" i="3"/>
  <c r="K21" i="3"/>
  <c r="K19" i="3"/>
  <c r="K17" i="3"/>
  <c r="K15" i="3"/>
  <c r="K13" i="3"/>
  <c r="K22" i="3"/>
  <c r="K12" i="3"/>
  <c r="K20" i="3"/>
  <c r="K16" i="3"/>
  <c r="K14" i="3"/>
  <c r="K18" i="3"/>
  <c r="C25" i="7"/>
  <c r="D115" i="7"/>
  <c r="C18" i="7"/>
  <c r="D18" i="7" s="1"/>
  <c r="H13" i="16"/>
  <c r="C196" i="7"/>
  <c r="C195" i="7"/>
  <c r="B202" i="7"/>
  <c r="B203" i="7" s="1"/>
  <c r="B204" i="7" s="1"/>
  <c r="B205" i="7" s="1"/>
  <c r="B206" i="7" s="1"/>
  <c r="B207" i="7" s="1"/>
  <c r="B208" i="7" s="1"/>
  <c r="B209" i="7" s="1"/>
  <c r="B210" i="7" s="1"/>
  <c r="B211" i="7" s="1"/>
  <c r="B212" i="7" s="1"/>
  <c r="B213" i="7" s="1"/>
  <c r="B214" i="7" s="1"/>
  <c r="B215" i="7" s="1"/>
  <c r="B216" i="7" s="1"/>
  <c r="B217" i="7" s="1"/>
  <c r="B218" i="7" s="1"/>
  <c r="B219" i="7" s="1"/>
  <c r="B220" i="7" s="1"/>
  <c r="B221" i="7" s="1"/>
  <c r="B222" i="7" s="1"/>
  <c r="B223" i="7" s="1"/>
  <c r="B224" i="7" s="1"/>
  <c r="B225" i="7" s="1"/>
  <c r="B226" i="7" s="1"/>
  <c r="B227" i="7" s="1"/>
  <c r="B228" i="7" s="1"/>
  <c r="B229" i="7" s="1"/>
  <c r="B230" i="7" s="1"/>
  <c r="B231" i="7" s="1"/>
  <c r="B232" i="7" s="1"/>
  <c r="B233" i="7" s="1"/>
  <c r="B234" i="7" s="1"/>
  <c r="B235" i="7" s="1"/>
  <c r="B236" i="7" s="1"/>
  <c r="B237" i="7" s="1"/>
  <c r="B238" i="7" s="1"/>
  <c r="B239" i="7" s="1"/>
  <c r="B240" i="7" s="1"/>
  <c r="B241" i="7" s="1"/>
  <c r="B242" i="7" s="1"/>
  <c r="B243" i="7" s="1"/>
  <c r="B244" i="7" s="1"/>
  <c r="B245" i="7" s="1"/>
  <c r="B246" i="7" s="1"/>
  <c r="B247" i="7" s="1"/>
  <c r="B248" i="7" s="1"/>
  <c r="B249" i="7" s="1"/>
  <c r="B250" i="7" s="1"/>
  <c r="B251" i="7" s="1"/>
  <c r="B252" i="7" s="1"/>
  <c r="B253" i="7" s="1"/>
  <c r="B254" i="7" s="1"/>
  <c r="B255" i="7" s="1"/>
  <c r="B256" i="7" s="1"/>
  <c r="B257" i="7" s="1"/>
  <c r="B258" i="7" s="1"/>
  <c r="B259" i="7" s="1"/>
  <c r="B260" i="7" s="1"/>
  <c r="B261" i="7" s="1"/>
  <c r="B262" i="7" s="1"/>
  <c r="B263" i="7" s="1"/>
  <c r="B264" i="7" s="1"/>
  <c r="B265" i="7" s="1"/>
  <c r="B266" i="7" s="1"/>
  <c r="B267" i="7" s="1"/>
  <c r="B268" i="7" s="1"/>
  <c r="B269" i="7" s="1"/>
  <c r="B270" i="7" s="1"/>
  <c r="B271" i="7" s="1"/>
  <c r="B272" i="7" s="1"/>
  <c r="B273" i="7" s="1"/>
  <c r="B274" i="7" s="1"/>
  <c r="B275" i="7" s="1"/>
  <c r="B276" i="7" s="1"/>
  <c r="B277" i="7" s="1"/>
  <c r="B278" i="7" s="1"/>
  <c r="B279" i="7" s="1"/>
  <c r="B280" i="7" s="1"/>
  <c r="B281" i="7" s="1"/>
  <c r="B282" i="7" s="1"/>
  <c r="B283" i="7" s="1"/>
  <c r="B284" i="7" s="1"/>
  <c r="B285" i="7" s="1"/>
  <c r="B286" i="7" s="1"/>
  <c r="B287" i="7" s="1"/>
  <c r="B288" i="7" s="1"/>
  <c r="B289" i="7" s="1"/>
  <c r="B290" i="7" s="1"/>
  <c r="B291" i="7" s="1"/>
  <c r="B292" i="7" s="1"/>
  <c r="B293" i="7" s="1"/>
  <c r="B294" i="7" s="1"/>
  <c r="B295" i="7" s="1"/>
  <c r="B296" i="7" s="1"/>
  <c r="B297" i="7" s="1"/>
  <c r="B298" i="7" s="1"/>
  <c r="B299" i="7" s="1"/>
  <c r="B300" i="7" s="1"/>
  <c r="B301" i="7" s="1"/>
  <c r="C201" i="7"/>
  <c r="H11" i="16" l="1"/>
  <c r="O132" i="7"/>
  <c r="E115" i="7"/>
  <c r="D104" i="7"/>
  <c r="D105" i="7"/>
  <c r="D21" i="7" s="1"/>
  <c r="W23" i="7"/>
  <c r="W24" i="7" s="1"/>
  <c r="W25" i="7" s="1"/>
  <c r="W26" i="7" s="1"/>
  <c r="W27" i="7" s="1"/>
  <c r="W28" i="7" s="1"/>
  <c r="W29" i="7" s="1"/>
  <c r="W30" i="7" s="1"/>
  <c r="W31" i="7" s="1"/>
  <c r="W32" i="7" s="1"/>
  <c r="W33" i="7" s="1"/>
  <c r="W34" i="7" s="1"/>
  <c r="W35" i="7" s="1"/>
  <c r="W36" i="7" s="1"/>
  <c r="W37" i="7" s="1"/>
  <c r="W38" i="7" s="1"/>
  <c r="W39" i="7" s="1"/>
  <c r="W40" i="7" s="1"/>
  <c r="W41" i="7" s="1"/>
  <c r="W42" i="7" s="1"/>
  <c r="W43" i="7" s="1"/>
  <c r="W44" i="7" s="1"/>
  <c r="W45" i="7" s="1"/>
  <c r="W46" i="7" s="1"/>
  <c r="W47" i="7" s="1"/>
  <c r="W48" i="7" s="1"/>
  <c r="W49" i="7" s="1"/>
  <c r="W50" i="7" s="1"/>
  <c r="W51" i="7" s="1"/>
  <c r="W52" i="7" s="1"/>
  <c r="W53" i="7" s="1"/>
  <c r="W54" i="7" s="1"/>
  <c r="W55" i="7" s="1"/>
  <c r="W56" i="7" s="1"/>
  <c r="W57" i="7" s="1"/>
  <c r="W58" i="7" s="1"/>
  <c r="W59" i="7" s="1"/>
  <c r="W60" i="7" s="1"/>
  <c r="W61" i="7" s="1"/>
  <c r="W62" i="7" s="1"/>
  <c r="W63" i="7" s="1"/>
  <c r="W64" i="7" s="1"/>
  <c r="W65" i="7" s="1"/>
  <c r="W66" i="7" s="1"/>
  <c r="W67" i="7" s="1"/>
  <c r="W68" i="7" s="1"/>
  <c r="W69" i="7" s="1"/>
  <c r="W70" i="7" s="1"/>
  <c r="W71" i="7" s="1"/>
  <c r="W72" i="7" s="1"/>
  <c r="W73" i="7" s="1"/>
  <c r="W74" i="7" s="1"/>
  <c r="W75" i="7" s="1"/>
  <c r="W76" i="7" s="1"/>
  <c r="W77" i="7" s="1"/>
  <c r="W78" i="7" s="1"/>
  <c r="W79" i="7" s="1"/>
  <c r="W80" i="7" s="1"/>
  <c r="W81" i="7" s="1"/>
  <c r="W82" i="7" s="1"/>
  <c r="W83" i="7" s="1"/>
  <c r="W84" i="7" s="1"/>
  <c r="W85" i="7" s="1"/>
  <c r="W86" i="7" s="1"/>
  <c r="W87" i="7" s="1"/>
  <c r="W88" i="7" s="1"/>
  <c r="W89" i="7" s="1"/>
  <c r="W90" i="7" s="1"/>
  <c r="W91" i="7" s="1"/>
  <c r="W92" i="7" s="1"/>
  <c r="W93" i="7" s="1"/>
  <c r="W94" i="7" s="1"/>
  <c r="W95" i="7" s="1"/>
  <c r="W96" i="7" s="1"/>
  <c r="W97" i="7" s="1"/>
  <c r="W98" i="7" s="1"/>
  <c r="W99" i="7" s="1"/>
  <c r="W100" i="7" s="1"/>
  <c r="W101" i="7" s="1"/>
  <c r="W102" i="7" s="1"/>
  <c r="W103" i="7" s="1"/>
  <c r="W104" i="7" s="1"/>
  <c r="W105" i="7" s="1"/>
  <c r="W106" i="7" s="1"/>
  <c r="W107" i="7" s="1"/>
  <c r="W108" i="7" s="1"/>
  <c r="W109" i="7" s="1"/>
  <c r="W110" i="7" s="1"/>
  <c r="W111" i="7" s="1"/>
  <c r="W112" i="7" s="1"/>
  <c r="W113" i="7" s="1"/>
  <c r="W114" i="7" s="1"/>
  <c r="W115" i="7" s="1"/>
  <c r="W116" i="7" s="1"/>
  <c r="W117" i="7" s="1"/>
  <c r="W118" i="7" s="1"/>
  <c r="W119" i="7" s="1"/>
  <c r="W120" i="7" s="1"/>
  <c r="W121" i="7" s="1"/>
  <c r="W122" i="7" s="1"/>
  <c r="W123" i="7" s="1"/>
  <c r="W124" i="7" s="1"/>
  <c r="W125" i="7" s="1"/>
  <c r="W126" i="7" s="1"/>
  <c r="W127" i="7" s="1"/>
  <c r="W128" i="7" s="1"/>
  <c r="W129" i="7" s="1"/>
  <c r="W130" i="7" s="1"/>
  <c r="W131" i="7" s="1"/>
  <c r="W132" i="7" s="1"/>
  <c r="W133" i="7" s="1"/>
  <c r="W134" i="7" s="1"/>
  <c r="W135" i="7" s="1"/>
  <c r="W136" i="7" s="1"/>
  <c r="W137" i="7" s="1"/>
  <c r="W138" i="7" s="1"/>
  <c r="W139" i="7" s="1"/>
  <c r="W140" i="7" s="1"/>
  <c r="W141" i="7" s="1"/>
  <c r="W142" i="7" s="1"/>
  <c r="W143" i="7" s="1"/>
  <c r="W144" i="7" s="1"/>
  <c r="W145" i="7" s="1"/>
  <c r="W146" i="7" s="1"/>
  <c r="W147" i="7" s="1"/>
  <c r="W148" i="7" s="1"/>
  <c r="W149" i="7" s="1"/>
  <c r="W150" i="7" s="1"/>
  <c r="W151" i="7" s="1"/>
  <c r="W152" i="7" s="1"/>
  <c r="W153" i="7" s="1"/>
  <c r="W154" i="7" s="1"/>
  <c r="W155" i="7" s="1"/>
  <c r="W156" i="7" s="1"/>
  <c r="W157" i="7" s="1"/>
  <c r="W158" i="7" s="1"/>
  <c r="W159" i="7" s="1"/>
  <c r="W160" i="7" s="1"/>
  <c r="W161" i="7" s="1"/>
  <c r="W162" i="7" s="1"/>
  <c r="W163" i="7" s="1"/>
  <c r="W164" i="7" s="1"/>
  <c r="W165" i="7" s="1"/>
  <c r="W167" i="7" s="1"/>
  <c r="W168" i="7" s="1"/>
  <c r="W169" i="7" s="1"/>
  <c r="W170" i="7" s="1"/>
  <c r="W171" i="7" s="1"/>
  <c r="W172" i="7" s="1"/>
  <c r="W173" i="7" s="1"/>
  <c r="W174" i="7" s="1"/>
  <c r="W175" i="7" s="1"/>
  <c r="W176" i="7" s="1"/>
  <c r="W177" i="7" s="1"/>
  <c r="W178" i="7" s="1"/>
  <c r="W179" i="7" s="1"/>
  <c r="W180" i="7" s="1"/>
  <c r="W181" i="7" s="1"/>
  <c r="W182" i="7" s="1"/>
  <c r="W183" i="7" s="1"/>
  <c r="W184" i="7" s="1"/>
  <c r="W185" i="7" s="1"/>
  <c r="W186" i="7" s="1"/>
  <c r="W187" i="7" s="1"/>
  <c r="W188" i="7" s="1"/>
  <c r="W189" i="7" s="1"/>
  <c r="W190" i="7" s="1"/>
  <c r="W191" i="7" s="1"/>
  <c r="W192" i="7" s="1"/>
  <c r="W193" i="7" s="1"/>
  <c r="W194" i="7" s="1"/>
  <c r="W195" i="7" s="1"/>
  <c r="W196" i="7" s="1"/>
  <c r="W197" i="7" s="1"/>
  <c r="W198" i="7" s="1"/>
  <c r="W199" i="7" s="1"/>
  <c r="W200" i="7" s="1"/>
  <c r="W201" i="7" s="1"/>
  <c r="W202" i="7" s="1"/>
  <c r="W203" i="7" s="1"/>
  <c r="W204" i="7" s="1"/>
  <c r="W205" i="7" s="1"/>
  <c r="W206" i="7" s="1"/>
  <c r="W207" i="7" s="1"/>
  <c r="W208" i="7" s="1"/>
  <c r="W209" i="7" s="1"/>
  <c r="W210" i="7" s="1"/>
  <c r="W211" i="7" s="1"/>
  <c r="W212" i="7" s="1"/>
  <c r="W213" i="7" s="1"/>
  <c r="W214" i="7" s="1"/>
  <c r="W215" i="7" s="1"/>
  <c r="W216" i="7" s="1"/>
  <c r="W217" i="7" s="1"/>
  <c r="W218" i="7" s="1"/>
  <c r="W219" i="7" s="1"/>
  <c r="W220" i="7" s="1"/>
  <c r="W221" i="7" s="1"/>
  <c r="W222" i="7" s="1"/>
  <c r="B2" i="3"/>
  <c r="C16" i="7"/>
  <c r="H19" i="6"/>
  <c r="O133" i="7" l="1"/>
  <c r="B2" i="6"/>
  <c r="V24" i="7"/>
  <c r="V23" i="7"/>
  <c r="H135" i="7"/>
  <c r="H134" i="7"/>
  <c r="H133" i="7"/>
  <c r="H132" i="7"/>
  <c r="H131" i="7"/>
  <c r="H130" i="7"/>
  <c r="H129" i="7"/>
  <c r="H128" i="7"/>
  <c r="H127" i="7"/>
  <c r="H126" i="7"/>
  <c r="H125" i="7"/>
  <c r="H124" i="7"/>
  <c r="E135" i="7"/>
  <c r="E134" i="7"/>
  <c r="E133" i="7"/>
  <c r="E132" i="7"/>
  <c r="E131" i="7"/>
  <c r="E130" i="7"/>
  <c r="E129" i="7"/>
  <c r="E128" i="7"/>
  <c r="E127" i="7"/>
  <c r="E126" i="7"/>
  <c r="E125" i="7"/>
  <c r="E124" i="7"/>
  <c r="L141" i="7"/>
  <c r="L140" i="7"/>
  <c r="C135" i="7"/>
  <c r="C134" i="7"/>
  <c r="C133" i="7"/>
  <c r="C132" i="7"/>
  <c r="C131" i="7"/>
  <c r="C130" i="7"/>
  <c r="C129" i="7"/>
  <c r="C128" i="7"/>
  <c r="C127" i="7"/>
  <c r="C126" i="7"/>
  <c r="C125" i="7"/>
  <c r="C124" i="7"/>
  <c r="C99" i="7"/>
  <c r="C98" i="7"/>
  <c r="C97" i="7"/>
  <c r="C87" i="7"/>
  <c r="G33" i="7"/>
  <c r="G35" i="7"/>
  <c r="G34" i="7"/>
  <c r="D119" i="7"/>
  <c r="M141" i="7" l="1"/>
  <c r="Q124" i="7"/>
  <c r="O134" i="7"/>
  <c r="C95" i="7"/>
  <c r="C92" i="7"/>
  <c r="C93" i="7"/>
  <c r="C94" i="7"/>
  <c r="C90" i="7"/>
  <c r="C91" i="7"/>
  <c r="C88" i="7"/>
  <c r="C96" i="7"/>
  <c r="C89" i="7"/>
  <c r="F122" i="7"/>
  <c r="G36" i="7"/>
  <c r="D118" i="7"/>
  <c r="D117" i="7" s="1"/>
  <c r="C69" i="7"/>
  <c r="Q125" i="7" l="1"/>
  <c r="D124" i="7"/>
  <c r="O135" i="7"/>
  <c r="V25" i="7"/>
  <c r="Q126" i="7" l="1"/>
  <c r="D125" i="7"/>
  <c r="V26" i="7"/>
  <c r="B5" i="1"/>
  <c r="F11" i="7"/>
  <c r="BD6" i="7"/>
  <c r="BC7" i="7"/>
  <c r="BD7" i="7" s="1"/>
  <c r="Q127" i="7" l="1"/>
  <c r="D126" i="7"/>
  <c r="G51" i="7"/>
  <c r="G59" i="7"/>
  <c r="G52" i="7"/>
  <c r="G60" i="7"/>
  <c r="G53" i="7"/>
  <c r="G61" i="7"/>
  <c r="G54" i="7"/>
  <c r="G62" i="7"/>
  <c r="G55" i="7"/>
  <c r="G63" i="7"/>
  <c r="G56" i="7"/>
  <c r="G57" i="7"/>
  <c r="G58" i="7"/>
  <c r="V27" i="7"/>
  <c r="F14" i="7"/>
  <c r="BC8" i="7"/>
  <c r="BD8" i="7" s="1"/>
  <c r="Q128" i="7" l="1"/>
  <c r="D127" i="7"/>
  <c r="V28" i="7"/>
  <c r="X22" i="7"/>
  <c r="Q129" i="7" l="1"/>
  <c r="D128" i="7"/>
  <c r="V29" i="7"/>
  <c r="C5" i="7"/>
  <c r="D5" i="7" s="1"/>
  <c r="Q130" i="7" l="1"/>
  <c r="D129" i="7"/>
  <c r="G15" i="7"/>
  <c r="V30" i="7"/>
  <c r="I122" i="7"/>
  <c r="D16" i="7"/>
  <c r="F49" i="7"/>
  <c r="BL2" i="7"/>
  <c r="BM2" i="7" s="1"/>
  <c r="Q51" i="4" l="1"/>
  <c r="C357" i="7"/>
  <c r="Q131" i="7"/>
  <c r="D130" i="7"/>
  <c r="V31" i="7"/>
  <c r="D106" i="7"/>
  <c r="D62" i="7"/>
  <c r="D61" i="7"/>
  <c r="D60" i="7"/>
  <c r="D59" i="7"/>
  <c r="D58" i="7"/>
  <c r="D57" i="7"/>
  <c r="D56" i="7"/>
  <c r="D55" i="7"/>
  <c r="D54" i="7"/>
  <c r="D53" i="7"/>
  <c r="D52" i="7"/>
  <c r="D51" i="7"/>
  <c r="M67" i="1" l="1"/>
  <c r="P65" i="4"/>
  <c r="M63" i="1"/>
  <c r="P61" i="4"/>
  <c r="M65" i="1"/>
  <c r="P63" i="4"/>
  <c r="M66" i="1"/>
  <c r="P64" i="4"/>
  <c r="M61" i="1"/>
  <c r="P59" i="4"/>
  <c r="M62" i="1"/>
  <c r="P60" i="4"/>
  <c r="M64" i="1"/>
  <c r="P62" i="4"/>
  <c r="B368" i="7"/>
  <c r="B369" i="7"/>
  <c r="B370" i="7"/>
  <c r="B371" i="7"/>
  <c r="B366" i="7"/>
  <c r="B365" i="7"/>
  <c r="B367" i="7"/>
  <c r="Q132" i="7"/>
  <c r="D131" i="7"/>
  <c r="V32" i="7"/>
  <c r="C106" i="7"/>
  <c r="C75" i="7"/>
  <c r="C76" i="7"/>
  <c r="C78" i="7" s="1"/>
  <c r="C30" i="7"/>
  <c r="Q49" i="4" l="1"/>
  <c r="C355" i="7"/>
  <c r="Q133" i="7"/>
  <c r="D132" i="7"/>
  <c r="BL6" i="7"/>
  <c r="N16" i="3"/>
  <c r="N12" i="3"/>
  <c r="N21" i="3"/>
  <c r="N17" i="3"/>
  <c r="N13" i="3"/>
  <c r="N18" i="3"/>
  <c r="N20" i="3"/>
  <c r="N23" i="3"/>
  <c r="N19" i="3"/>
  <c r="N14" i="3"/>
  <c r="N22" i="3"/>
  <c r="N15" i="3"/>
  <c r="V33" i="7"/>
  <c r="E49" i="7"/>
  <c r="H30" i="7"/>
  <c r="C28" i="7"/>
  <c r="D13" i="7"/>
  <c r="C105" i="7"/>
  <c r="D17" i="7"/>
  <c r="D27" i="7" s="1"/>
  <c r="H27" i="7"/>
  <c r="C77" i="7"/>
  <c r="C20" i="7"/>
  <c r="D20" i="7"/>
  <c r="Q134" i="7" l="1"/>
  <c r="D133" i="7"/>
  <c r="BM6" i="7"/>
  <c r="G16" i="7"/>
  <c r="V34" i="7"/>
  <c r="H31" i="7"/>
  <c r="D28" i="7"/>
  <c r="G31" i="7"/>
  <c r="AW6" i="7"/>
  <c r="AT131" i="7" s="1"/>
  <c r="C11" i="7"/>
  <c r="C321" i="7" l="1"/>
  <c r="Q135" i="7"/>
  <c r="D135" i="7" s="1"/>
  <c r="D134" i="7"/>
  <c r="AX6" i="7"/>
  <c r="AT37" i="7" s="1"/>
  <c r="V35" i="7"/>
  <c r="AW7" i="7"/>
  <c r="AX7" i="7" s="1"/>
  <c r="AT38" i="7" s="1"/>
  <c r="D196" i="7" l="1"/>
  <c r="V36" i="7"/>
  <c r="D197" i="7" l="1"/>
  <c r="C202" i="7" s="1"/>
  <c r="C203" i="7" s="1"/>
  <c r="C204" i="7" s="1"/>
  <c r="C205" i="7" s="1"/>
  <c r="C206" i="7" s="1"/>
  <c r="C207" i="7" s="1"/>
  <c r="C208" i="7" s="1"/>
  <c r="C209" i="7" s="1"/>
  <c r="C210" i="7" s="1"/>
  <c r="C211" i="7" s="1"/>
  <c r="C212" i="7" s="1"/>
  <c r="C213" i="7" s="1"/>
  <c r="C214" i="7" s="1"/>
  <c r="C215" i="7" s="1"/>
  <c r="C216" i="7" s="1"/>
  <c r="C217" i="7" s="1"/>
  <c r="C218" i="7" s="1"/>
  <c r="C219" i="7" s="1"/>
  <c r="C220" i="7" s="1"/>
  <c r="C221" i="7" s="1"/>
  <c r="C222" i="7" s="1"/>
  <c r="C223" i="7" s="1"/>
  <c r="C224" i="7" s="1"/>
  <c r="C225" i="7" s="1"/>
  <c r="C226" i="7" s="1"/>
  <c r="C227" i="7" s="1"/>
  <c r="C228" i="7" s="1"/>
  <c r="C229" i="7" s="1"/>
  <c r="C230" i="7" s="1"/>
  <c r="C231" i="7" s="1"/>
  <c r="C232" i="7" s="1"/>
  <c r="C233" i="7" s="1"/>
  <c r="C234" i="7" s="1"/>
  <c r="C235" i="7" s="1"/>
  <c r="C236" i="7" s="1"/>
  <c r="C237" i="7" s="1"/>
  <c r="C238" i="7" s="1"/>
  <c r="C239" i="7" s="1"/>
  <c r="C240" i="7" s="1"/>
  <c r="C241" i="7" s="1"/>
  <c r="C242" i="7" s="1"/>
  <c r="C243" i="7" s="1"/>
  <c r="C244" i="7" s="1"/>
  <c r="C245" i="7" s="1"/>
  <c r="C246" i="7" s="1"/>
  <c r="C247" i="7" s="1"/>
  <c r="C248" i="7" s="1"/>
  <c r="C249" i="7" s="1"/>
  <c r="C250" i="7" s="1"/>
  <c r="C251" i="7" s="1"/>
  <c r="C252" i="7" s="1"/>
  <c r="C253" i="7" s="1"/>
  <c r="C254" i="7" s="1"/>
  <c r="C255" i="7" s="1"/>
  <c r="C256" i="7" s="1"/>
  <c r="C257" i="7" s="1"/>
  <c r="C258" i="7" s="1"/>
  <c r="C259" i="7" s="1"/>
  <c r="C260" i="7" s="1"/>
  <c r="C261" i="7" s="1"/>
  <c r="C262" i="7" s="1"/>
  <c r="C263" i="7" s="1"/>
  <c r="C264" i="7" s="1"/>
  <c r="C265" i="7" s="1"/>
  <c r="C266" i="7" s="1"/>
  <c r="C267" i="7" s="1"/>
  <c r="C268" i="7" s="1"/>
  <c r="C269" i="7" s="1"/>
  <c r="C270" i="7" s="1"/>
  <c r="C271" i="7" s="1"/>
  <c r="C272" i="7" s="1"/>
  <c r="C273" i="7" s="1"/>
  <c r="C274" i="7" s="1"/>
  <c r="C275" i="7" s="1"/>
  <c r="C276" i="7" s="1"/>
  <c r="C277" i="7" s="1"/>
  <c r="C278" i="7" s="1"/>
  <c r="C279" i="7" s="1"/>
  <c r="C280" i="7" s="1"/>
  <c r="C281" i="7" s="1"/>
  <c r="C282" i="7" s="1"/>
  <c r="C283" i="7" s="1"/>
  <c r="C284" i="7" s="1"/>
  <c r="C285" i="7" s="1"/>
  <c r="C286" i="7" s="1"/>
  <c r="C287" i="7" s="1"/>
  <c r="C288" i="7" s="1"/>
  <c r="C289" i="7" s="1"/>
  <c r="C290" i="7" s="1"/>
  <c r="C291" i="7" s="1"/>
  <c r="C292" i="7" s="1"/>
  <c r="C293" i="7" s="1"/>
  <c r="C294" i="7" s="1"/>
  <c r="C295" i="7" s="1"/>
  <c r="C296" i="7" s="1"/>
  <c r="C297" i="7" s="1"/>
  <c r="C298" i="7" s="1"/>
  <c r="C299" i="7" s="1"/>
  <c r="C300" i="7" s="1"/>
  <c r="C301" i="7" s="1"/>
  <c r="V37" i="7"/>
  <c r="V38" i="7" l="1"/>
  <c r="B3" i="1"/>
  <c r="V39" i="7" l="1"/>
  <c r="V40" i="7" l="1"/>
  <c r="D201" i="7" l="1"/>
  <c r="C197" i="7"/>
  <c r="C198" i="7"/>
  <c r="BL7" i="7"/>
  <c r="V41" i="7"/>
  <c r="C8" i="7"/>
  <c r="M13" i="3"/>
  <c r="M17" i="3"/>
  <c r="M21" i="3"/>
  <c r="M19" i="3"/>
  <c r="M20" i="3"/>
  <c r="M12" i="3"/>
  <c r="M14" i="3"/>
  <c r="M18" i="3"/>
  <c r="M22" i="3"/>
  <c r="M15" i="3"/>
  <c r="M23" i="3"/>
  <c r="M16" i="3"/>
  <c r="D25" i="7"/>
  <c r="G30" i="7"/>
  <c r="C329" i="7" l="1"/>
  <c r="D311" i="7" s="1"/>
  <c r="E22" i="5"/>
  <c r="I22" i="5" s="1"/>
  <c r="C44" i="7" s="1"/>
  <c r="E19" i="5"/>
  <c r="I19" i="5" s="1"/>
  <c r="C41" i="7" s="1"/>
  <c r="E23" i="5"/>
  <c r="I23" i="5" s="1"/>
  <c r="C45" i="7" s="1"/>
  <c r="E20" i="5"/>
  <c r="I20" i="5" s="1"/>
  <c r="C42" i="7" s="1"/>
  <c r="E21" i="5"/>
  <c r="I21" i="5" s="1"/>
  <c r="C43" i="7" s="1"/>
  <c r="H16" i="3"/>
  <c r="H23" i="3"/>
  <c r="H15" i="3"/>
  <c r="H22" i="3"/>
  <c r="H14" i="3"/>
  <c r="H21" i="3"/>
  <c r="H13" i="3"/>
  <c r="H20" i="3"/>
  <c r="H12" i="3"/>
  <c r="H17" i="3"/>
  <c r="H19" i="3"/>
  <c r="H18" i="3"/>
  <c r="BM7" i="7"/>
  <c r="D111" i="7"/>
  <c r="C111" i="7" s="1"/>
  <c r="D202" i="7"/>
  <c r="D203" i="7" s="1"/>
  <c r="D204" i="7" s="1"/>
  <c r="D205" i="7" s="1"/>
  <c r="D206" i="7" s="1"/>
  <c r="D207" i="7" s="1"/>
  <c r="D208" i="7" s="1"/>
  <c r="D209" i="7" s="1"/>
  <c r="D210" i="7" s="1"/>
  <c r="D211" i="7" s="1"/>
  <c r="D212" i="7" s="1"/>
  <c r="D213" i="7" s="1"/>
  <c r="D214" i="7" s="1"/>
  <c r="D215" i="7" s="1"/>
  <c r="D216" i="7" s="1"/>
  <c r="D217" i="7" s="1"/>
  <c r="D218" i="7" s="1"/>
  <c r="D219" i="7" s="1"/>
  <c r="D220" i="7" s="1"/>
  <c r="D221" i="7" s="1"/>
  <c r="D222" i="7" s="1"/>
  <c r="D223" i="7" s="1"/>
  <c r="D224" i="7" s="1"/>
  <c r="D225" i="7" s="1"/>
  <c r="D226" i="7" s="1"/>
  <c r="D227" i="7" s="1"/>
  <c r="D228" i="7" s="1"/>
  <c r="D229" i="7" s="1"/>
  <c r="D230" i="7" s="1"/>
  <c r="D231" i="7" s="1"/>
  <c r="D232" i="7" s="1"/>
  <c r="D233" i="7" s="1"/>
  <c r="D234" i="7" s="1"/>
  <c r="D235" i="7" s="1"/>
  <c r="D236" i="7" s="1"/>
  <c r="D237" i="7" s="1"/>
  <c r="D238" i="7" s="1"/>
  <c r="D239" i="7" s="1"/>
  <c r="D240" i="7" s="1"/>
  <c r="D241" i="7" s="1"/>
  <c r="D242" i="7" s="1"/>
  <c r="D243" i="7" s="1"/>
  <c r="D244" i="7" s="1"/>
  <c r="D245" i="7" s="1"/>
  <c r="D246" i="7" s="1"/>
  <c r="D247" i="7" s="1"/>
  <c r="D248" i="7" s="1"/>
  <c r="D249" i="7" s="1"/>
  <c r="D250" i="7" s="1"/>
  <c r="D251" i="7" s="1"/>
  <c r="D252" i="7" s="1"/>
  <c r="D253" i="7" s="1"/>
  <c r="D254" i="7" s="1"/>
  <c r="D255" i="7" s="1"/>
  <c r="D256" i="7" s="1"/>
  <c r="D257" i="7" s="1"/>
  <c r="D258" i="7" s="1"/>
  <c r="D259" i="7" s="1"/>
  <c r="D260" i="7" s="1"/>
  <c r="D261" i="7" s="1"/>
  <c r="D262" i="7" s="1"/>
  <c r="D263" i="7" s="1"/>
  <c r="D264" i="7" s="1"/>
  <c r="D265" i="7" s="1"/>
  <c r="D266" i="7" s="1"/>
  <c r="D267" i="7" s="1"/>
  <c r="D268" i="7" s="1"/>
  <c r="D269" i="7" s="1"/>
  <c r="D270" i="7" s="1"/>
  <c r="D271" i="7" s="1"/>
  <c r="D272" i="7" s="1"/>
  <c r="D273" i="7" s="1"/>
  <c r="D274" i="7" s="1"/>
  <c r="D275" i="7" s="1"/>
  <c r="D276" i="7" s="1"/>
  <c r="D277" i="7" s="1"/>
  <c r="D278" i="7" s="1"/>
  <c r="D279" i="7" s="1"/>
  <c r="D280" i="7" s="1"/>
  <c r="D281" i="7" s="1"/>
  <c r="D282" i="7" s="1"/>
  <c r="D283" i="7" s="1"/>
  <c r="D284" i="7" s="1"/>
  <c r="D285" i="7" s="1"/>
  <c r="D286" i="7" s="1"/>
  <c r="D287" i="7" s="1"/>
  <c r="D288" i="7" s="1"/>
  <c r="D289" i="7" s="1"/>
  <c r="D290" i="7" s="1"/>
  <c r="D291" i="7" s="1"/>
  <c r="D292" i="7" s="1"/>
  <c r="D293" i="7" s="1"/>
  <c r="D294" i="7" s="1"/>
  <c r="D295" i="7" s="1"/>
  <c r="D296" i="7" s="1"/>
  <c r="D297" i="7" s="1"/>
  <c r="D298" i="7" s="1"/>
  <c r="D299" i="7" s="1"/>
  <c r="D300" i="7" s="1"/>
  <c r="D301" i="7" s="1"/>
  <c r="AM15" i="7"/>
  <c r="V42" i="7"/>
  <c r="F20" i="14"/>
  <c r="E63" i="7"/>
  <c r="D99" i="7"/>
  <c r="AW2" i="7"/>
  <c r="AX2" i="7" s="1"/>
  <c r="M14" i="7"/>
  <c r="M13" i="7"/>
  <c r="H10" i="5"/>
  <c r="L14" i="3"/>
  <c r="L18" i="3"/>
  <c r="L22" i="3"/>
  <c r="L15" i="3"/>
  <c r="L19" i="3"/>
  <c r="L23" i="3"/>
  <c r="L16" i="3"/>
  <c r="L20" i="3"/>
  <c r="L12" i="3"/>
  <c r="L13" i="3"/>
  <c r="L17" i="3"/>
  <c r="L21" i="3"/>
  <c r="C6" i="7"/>
  <c r="V22" i="7"/>
  <c r="Q10" i="4" l="1"/>
  <c r="D346" i="7"/>
  <c r="F20" i="4"/>
  <c r="C377" i="7"/>
  <c r="C316" i="7"/>
  <c r="L139" i="7"/>
  <c r="H17" i="1"/>
  <c r="D136" i="7"/>
  <c r="F136" i="7" s="1"/>
  <c r="J16" i="3"/>
  <c r="J21" i="3"/>
  <c r="J18" i="3"/>
  <c r="J20" i="3"/>
  <c r="J12" i="3"/>
  <c r="J23" i="3"/>
  <c r="J15" i="3"/>
  <c r="J17" i="3"/>
  <c r="J19" i="3"/>
  <c r="J13" i="3"/>
  <c r="J22" i="3"/>
  <c r="J14" i="3"/>
  <c r="AN15" i="7"/>
  <c r="AO15" i="7" s="1"/>
  <c r="AP15" i="7" s="1"/>
  <c r="AL15" i="7"/>
  <c r="AK15" i="7" s="1"/>
  <c r="AJ15" i="7" s="1"/>
  <c r="C7" i="7"/>
  <c r="X223" i="7"/>
  <c r="X43" i="7" s="1"/>
  <c r="AA43" i="7" s="1"/>
  <c r="V43" i="7"/>
  <c r="H6" i="7"/>
  <c r="H5" i="7"/>
  <c r="BL9" i="7" s="1"/>
  <c r="BM9" i="7" s="1"/>
  <c r="AT24" i="7" s="1"/>
  <c r="M22" i="7"/>
  <c r="AW3" i="7"/>
  <c r="AX3" i="7" s="1"/>
  <c r="AX37" i="7" s="1"/>
  <c r="C12" i="7"/>
  <c r="H7" i="5"/>
  <c r="D38" i="7"/>
  <c r="D37" i="7"/>
  <c r="D36" i="7"/>
  <c r="C36" i="7"/>
  <c r="G27" i="7"/>
  <c r="G26" i="7"/>
  <c r="G24" i="7"/>
  <c r="D22" i="7"/>
  <c r="C22" i="7"/>
  <c r="Q8" i="4" l="1"/>
  <c r="Q11" i="4"/>
  <c r="R6" i="4"/>
  <c r="Q47" i="4"/>
  <c r="Q4" i="4"/>
  <c r="R4" i="4" s="1"/>
  <c r="R14" i="4" s="1"/>
  <c r="R15" i="4" s="1"/>
  <c r="R2" i="1"/>
  <c r="T2" i="1" s="1"/>
  <c r="C317" i="7"/>
  <c r="C353" i="7"/>
  <c r="D312" i="7"/>
  <c r="C310" i="7"/>
  <c r="D310" i="7" s="1"/>
  <c r="D320" i="7" s="1"/>
  <c r="D321" i="7" s="1"/>
  <c r="C314" i="7"/>
  <c r="G306" i="7" s="1"/>
  <c r="I306" i="7" s="1"/>
  <c r="P124" i="7"/>
  <c r="G124" i="7" s="1"/>
  <c r="P125" i="7"/>
  <c r="G125" i="7" s="1"/>
  <c r="P126" i="7"/>
  <c r="G126" i="7" s="1"/>
  <c r="P127" i="7"/>
  <c r="G127" i="7" s="1"/>
  <c r="P128" i="7"/>
  <c r="G128" i="7" s="1"/>
  <c r="P129" i="7"/>
  <c r="G129" i="7" s="1"/>
  <c r="P130" i="7"/>
  <c r="G130" i="7" s="1"/>
  <c r="P131" i="7"/>
  <c r="G131" i="7" s="1"/>
  <c r="P132" i="7"/>
  <c r="G132" i="7" s="1"/>
  <c r="P133" i="7"/>
  <c r="G133" i="7" s="1"/>
  <c r="P134" i="7"/>
  <c r="G134" i="7" s="1"/>
  <c r="P135" i="7"/>
  <c r="G135" i="7" s="1"/>
  <c r="G22" i="5"/>
  <c r="J22" i="5" s="1"/>
  <c r="D44" i="7" s="1"/>
  <c r="H44" i="7" s="1"/>
  <c r="G20" i="5"/>
  <c r="J20" i="5" s="1"/>
  <c r="D42" i="7" s="1"/>
  <c r="H42" i="7" s="1"/>
  <c r="G23" i="5"/>
  <c r="J23" i="5" s="1"/>
  <c r="D45" i="7" s="1"/>
  <c r="H45" i="7" s="1"/>
  <c r="G21" i="5"/>
  <c r="J21" i="5" s="1"/>
  <c r="D43" i="7" s="1"/>
  <c r="H43" i="7" s="1"/>
  <c r="G19" i="5"/>
  <c r="J19" i="5" s="1"/>
  <c r="D41" i="7" s="1"/>
  <c r="H41" i="7" s="1"/>
  <c r="AT64" i="7"/>
  <c r="I6" i="7"/>
  <c r="E164" i="7"/>
  <c r="E163" i="7"/>
  <c r="D164" i="7"/>
  <c r="G298" i="7"/>
  <c r="G234" i="7"/>
  <c r="G281" i="7"/>
  <c r="G217" i="7"/>
  <c r="G264" i="7"/>
  <c r="G270" i="7"/>
  <c r="G239" i="7"/>
  <c r="G262" i="7"/>
  <c r="G253" i="7"/>
  <c r="G300" i="7"/>
  <c r="G236" i="7"/>
  <c r="G291" i="7"/>
  <c r="G227" i="7"/>
  <c r="G259" i="7"/>
  <c r="G288" i="7"/>
  <c r="G224" i="7"/>
  <c r="G263" i="7"/>
  <c r="G213" i="7"/>
  <c r="G260" i="7"/>
  <c r="G251" i="7"/>
  <c r="G272" i="7"/>
  <c r="G290" i="7"/>
  <c r="G226" i="7"/>
  <c r="G273" i="7"/>
  <c r="G209" i="7"/>
  <c r="G256" i="7"/>
  <c r="G295" i="7"/>
  <c r="G231" i="7"/>
  <c r="G214" i="7"/>
  <c r="G245" i="7"/>
  <c r="G292" i="7"/>
  <c r="G228" i="7"/>
  <c r="G283" i="7"/>
  <c r="G219" i="7"/>
  <c r="G212" i="7"/>
  <c r="G238" i="7"/>
  <c r="G225" i="7"/>
  <c r="G261" i="7"/>
  <c r="G299" i="7"/>
  <c r="G282" i="7"/>
  <c r="G218" i="7"/>
  <c r="G265" i="7"/>
  <c r="G201" i="7"/>
  <c r="G248" i="7"/>
  <c r="G287" i="7"/>
  <c r="G223" i="7"/>
  <c r="G301" i="7"/>
  <c r="G237" i="7"/>
  <c r="G284" i="7"/>
  <c r="G220" i="7"/>
  <c r="G275" i="7"/>
  <c r="G211" i="7"/>
  <c r="G258" i="7"/>
  <c r="G277" i="7"/>
  <c r="G274" i="7"/>
  <c r="G210" i="7"/>
  <c r="G257" i="7"/>
  <c r="G222" i="7"/>
  <c r="G240" i="7"/>
  <c r="G279" i="7"/>
  <c r="G215" i="7"/>
  <c r="G293" i="7"/>
  <c r="G229" i="7"/>
  <c r="G276" i="7"/>
  <c r="G267" i="7"/>
  <c r="G203" i="7"/>
  <c r="G241" i="7"/>
  <c r="G246" i="7"/>
  <c r="G289" i="7"/>
  <c r="G208" i="7"/>
  <c r="G247" i="7"/>
  <c r="G230" i="7"/>
  <c r="G266" i="7"/>
  <c r="G202" i="7"/>
  <c r="G249" i="7"/>
  <c r="G296" i="7"/>
  <c r="G232" i="7"/>
  <c r="G271" i="7"/>
  <c r="G207" i="7"/>
  <c r="G285" i="7"/>
  <c r="G221" i="7"/>
  <c r="G268" i="7"/>
  <c r="G204" i="7"/>
  <c r="G254" i="7"/>
  <c r="G278" i="7"/>
  <c r="G286" i="7"/>
  <c r="G244" i="7"/>
  <c r="G250" i="7"/>
  <c r="G297" i="7"/>
  <c r="G233" i="7"/>
  <c r="G280" i="7"/>
  <c r="G216" i="7"/>
  <c r="G255" i="7"/>
  <c r="G294" i="7"/>
  <c r="G269" i="7"/>
  <c r="G205" i="7"/>
  <c r="G252" i="7"/>
  <c r="G206" i="7"/>
  <c r="G243" i="7"/>
  <c r="G242" i="7"/>
  <c r="G235" i="7"/>
  <c r="AP13" i="7"/>
  <c r="AM13" i="7"/>
  <c r="AL13" i="7"/>
  <c r="AO13" i="7"/>
  <c r="AN13" i="7"/>
  <c r="AK13" i="7"/>
  <c r="AJ13" i="7"/>
  <c r="AF22" i="7"/>
  <c r="AD23" i="7"/>
  <c r="AG23" i="7" s="1"/>
  <c r="AG22" i="7"/>
  <c r="F194" i="7"/>
  <c r="F264" i="7"/>
  <c r="F233" i="7"/>
  <c r="F297" i="7"/>
  <c r="F258" i="7"/>
  <c r="F219" i="7"/>
  <c r="F283" i="7"/>
  <c r="F244" i="7"/>
  <c r="F205" i="7"/>
  <c r="F269" i="7"/>
  <c r="F230" i="7"/>
  <c r="F294" i="7"/>
  <c r="F255" i="7"/>
  <c r="F280" i="7"/>
  <c r="F249" i="7"/>
  <c r="F210" i="7"/>
  <c r="F274" i="7"/>
  <c r="F235" i="7"/>
  <c r="F299" i="7"/>
  <c r="F221" i="7"/>
  <c r="F285" i="7"/>
  <c r="F207" i="7"/>
  <c r="F288" i="7"/>
  <c r="F218" i="7"/>
  <c r="F243" i="7"/>
  <c r="F229" i="7"/>
  <c r="F254" i="7"/>
  <c r="F296" i="7"/>
  <c r="F290" i="7"/>
  <c r="F276" i="7"/>
  <c r="F287" i="7"/>
  <c r="F234" i="7"/>
  <c r="F295" i="7"/>
  <c r="F208" i="7"/>
  <c r="F272" i="7"/>
  <c r="F241" i="7"/>
  <c r="F202" i="7"/>
  <c r="F266" i="7"/>
  <c r="F227" i="7"/>
  <c r="F291" i="7"/>
  <c r="F252" i="7"/>
  <c r="F213" i="7"/>
  <c r="F277" i="7"/>
  <c r="F238" i="7"/>
  <c r="F201" i="7"/>
  <c r="F263" i="7"/>
  <c r="F265" i="7"/>
  <c r="F251" i="7"/>
  <c r="F237" i="7"/>
  <c r="F223" i="7"/>
  <c r="F209" i="7"/>
  <c r="F298" i="7"/>
  <c r="F245" i="7"/>
  <c r="F231" i="7"/>
  <c r="F216" i="7"/>
  <c r="F260" i="7"/>
  <c r="F246" i="7"/>
  <c r="F271" i="7"/>
  <c r="F257" i="7"/>
  <c r="F282" i="7"/>
  <c r="F204" i="7"/>
  <c r="F268" i="7"/>
  <c r="F293" i="7"/>
  <c r="F215" i="7"/>
  <c r="F232" i="7"/>
  <c r="F226" i="7"/>
  <c r="F212" i="7"/>
  <c r="F262" i="7"/>
  <c r="F240" i="7"/>
  <c r="F259" i="7"/>
  <c r="F284" i="7"/>
  <c r="F270" i="7"/>
  <c r="F224" i="7"/>
  <c r="F279" i="7"/>
  <c r="F301" i="7"/>
  <c r="F273" i="7"/>
  <c r="F220" i="7"/>
  <c r="F206" i="7"/>
  <c r="F248" i="7"/>
  <c r="F217" i="7"/>
  <c r="F281" i="7"/>
  <c r="F242" i="7"/>
  <c r="F203" i="7"/>
  <c r="F267" i="7"/>
  <c r="F228" i="7"/>
  <c r="F292" i="7"/>
  <c r="F253" i="7"/>
  <c r="F214" i="7"/>
  <c r="F278" i="7"/>
  <c r="F239" i="7"/>
  <c r="F256" i="7"/>
  <c r="F225" i="7"/>
  <c r="F289" i="7"/>
  <c r="F250" i="7"/>
  <c r="F211" i="7"/>
  <c r="F275" i="7"/>
  <c r="F236" i="7"/>
  <c r="F300" i="7"/>
  <c r="F261" i="7"/>
  <c r="F222" i="7"/>
  <c r="F286" i="7"/>
  <c r="F247" i="7"/>
  <c r="G12" i="1"/>
  <c r="BL8" i="7"/>
  <c r="X23" i="7"/>
  <c r="AA23" i="7" s="1"/>
  <c r="X24" i="7"/>
  <c r="AA24" i="7" s="1"/>
  <c r="X25" i="7"/>
  <c r="AA25" i="7" s="1"/>
  <c r="X26" i="7"/>
  <c r="AA26" i="7" s="1"/>
  <c r="X27" i="7"/>
  <c r="AA27" i="7" s="1"/>
  <c r="X28" i="7"/>
  <c r="AA28" i="7" s="1"/>
  <c r="X29" i="7"/>
  <c r="AA29" i="7" s="1"/>
  <c r="X30" i="7"/>
  <c r="AA30" i="7" s="1"/>
  <c r="X31" i="7"/>
  <c r="AA31" i="7" s="1"/>
  <c r="X32" i="7"/>
  <c r="AA32" i="7" s="1"/>
  <c r="X33" i="7"/>
  <c r="AA33" i="7" s="1"/>
  <c r="AA223" i="7"/>
  <c r="X34" i="7"/>
  <c r="AA34" i="7" s="1"/>
  <c r="X35" i="7"/>
  <c r="AA35" i="7" s="1"/>
  <c r="X36" i="7"/>
  <c r="AA36" i="7" s="1"/>
  <c r="X37" i="7"/>
  <c r="AA37" i="7" s="1"/>
  <c r="X38" i="7"/>
  <c r="AA38" i="7" s="1"/>
  <c r="X39" i="7"/>
  <c r="AA39" i="7" s="1"/>
  <c r="X40" i="7"/>
  <c r="AA40" i="7" s="1"/>
  <c r="X41" i="7"/>
  <c r="AA41" i="7" s="1"/>
  <c r="X42" i="7"/>
  <c r="AA42" i="7" s="1"/>
  <c r="V44" i="7"/>
  <c r="X44" i="7"/>
  <c r="AA44" i="7" s="1"/>
  <c r="E41" i="7"/>
  <c r="E42" i="7"/>
  <c r="E43" i="7"/>
  <c r="E44" i="7"/>
  <c r="I136" i="7"/>
  <c r="L136" i="7" s="1"/>
  <c r="H8" i="7"/>
  <c r="AM14" i="7" s="1"/>
  <c r="J133" i="7"/>
  <c r="J131" i="7"/>
  <c r="J127" i="7"/>
  <c r="J125" i="7"/>
  <c r="J128" i="7"/>
  <c r="J130" i="7"/>
  <c r="J135" i="7"/>
  <c r="J126" i="7"/>
  <c r="H20" i="14"/>
  <c r="J136" i="7"/>
  <c r="E99" i="7"/>
  <c r="F12" i="7"/>
  <c r="E45" i="7"/>
  <c r="AW4" i="7"/>
  <c r="AX4" i="7" s="1"/>
  <c r="C80" i="7"/>
  <c r="C81" i="7" s="1"/>
  <c r="H22" i="7"/>
  <c r="H9" i="5"/>
  <c r="H24" i="7"/>
  <c r="M32" i="7"/>
  <c r="N23" i="7"/>
  <c r="N24" i="7" s="1"/>
  <c r="L23" i="7"/>
  <c r="Q13" i="4" l="1"/>
  <c r="C319" i="7"/>
  <c r="K306" i="7"/>
  <c r="V2" i="1"/>
  <c r="E301" i="7"/>
  <c r="E299" i="7"/>
  <c r="E217" i="7"/>
  <c r="E291" i="7"/>
  <c r="D171" i="7"/>
  <c r="D168" i="7"/>
  <c r="E268" i="7"/>
  <c r="E219" i="7"/>
  <c r="E206" i="7"/>
  <c r="D169" i="7"/>
  <c r="E165" i="7"/>
  <c r="H13" i="1"/>
  <c r="E171" i="7"/>
  <c r="C171" i="7" s="1"/>
  <c r="F44" i="7" s="1"/>
  <c r="E168" i="7"/>
  <c r="E273" i="7"/>
  <c r="E282" i="7"/>
  <c r="E262" i="7"/>
  <c r="E271" i="7"/>
  <c r="E223" i="7"/>
  <c r="E208" i="7"/>
  <c r="E169" i="7"/>
  <c r="E232" i="7"/>
  <c r="E278" i="7"/>
  <c r="E249" i="7"/>
  <c r="E172" i="7"/>
  <c r="D170" i="7"/>
  <c r="D172" i="7"/>
  <c r="E170" i="7"/>
  <c r="E251" i="7"/>
  <c r="E222" i="7"/>
  <c r="BM8" i="7"/>
  <c r="BC37" i="7" s="1"/>
  <c r="BM11" i="7"/>
  <c r="AT129" i="7" s="1"/>
  <c r="E253" i="7"/>
  <c r="E220" i="7"/>
  <c r="E272" i="7"/>
  <c r="E202" i="7"/>
  <c r="E233" i="7"/>
  <c r="E203" i="7"/>
  <c r="E300" i="7"/>
  <c r="E213" i="7"/>
  <c r="E234" i="7"/>
  <c r="E256" i="7"/>
  <c r="E265" i="7"/>
  <c r="E261" i="7"/>
  <c r="E284" i="7"/>
  <c r="E264" i="7"/>
  <c r="E212" i="7"/>
  <c r="E257" i="7"/>
  <c r="E209" i="7"/>
  <c r="E277" i="7"/>
  <c r="E283" i="7"/>
  <c r="E240" i="7"/>
  <c r="E204" i="7"/>
  <c r="E201" i="7"/>
  <c r="E225" i="7"/>
  <c r="E294" i="7"/>
  <c r="E270" i="7"/>
  <c r="E227" i="7"/>
  <c r="E238" i="7"/>
  <c r="E296" i="7"/>
  <c r="E279" i="7"/>
  <c r="E242" i="7"/>
  <c r="E246" i="7"/>
  <c r="E211" i="7"/>
  <c r="E248" i="7"/>
  <c r="E231" i="7"/>
  <c r="E288" i="7"/>
  <c r="E293" i="7"/>
  <c r="E259" i="7"/>
  <c r="E286" i="7"/>
  <c r="E245" i="7"/>
  <c r="E290" i="7"/>
  <c r="E235" i="7"/>
  <c r="E224" i="7"/>
  <c r="E214" i="7"/>
  <c r="E215" i="7"/>
  <c r="E210" i="7"/>
  <c r="E287" i="7"/>
  <c r="E250" i="7"/>
  <c r="E237" i="7"/>
  <c r="E289" i="7"/>
  <c r="E228" i="7"/>
  <c r="E255" i="7"/>
  <c r="E258" i="7"/>
  <c r="E254" i="7"/>
  <c r="E230" i="7"/>
  <c r="E205" i="7"/>
  <c r="E216" i="7"/>
  <c r="E276" i="7"/>
  <c r="E285" i="7"/>
  <c r="E267" i="7"/>
  <c r="E298" i="7"/>
  <c r="E241" i="7"/>
  <c r="E221" i="7"/>
  <c r="E297" i="7"/>
  <c r="BL10" i="7"/>
  <c r="BM10" i="7" s="1"/>
  <c r="E239" i="7"/>
  <c r="E226" i="7"/>
  <c r="E229" i="7"/>
  <c r="E269" i="7"/>
  <c r="E236" i="7"/>
  <c r="E281" i="7"/>
  <c r="E252" i="7"/>
  <c r="E295" i="7"/>
  <c r="E243" i="7"/>
  <c r="E274" i="7"/>
  <c r="E275" i="7"/>
  <c r="E260" i="7"/>
  <c r="E218" i="7"/>
  <c r="E244" i="7"/>
  <c r="E247" i="7"/>
  <c r="E292" i="7"/>
  <c r="E263" i="7"/>
  <c r="E266" i="7"/>
  <c r="E207" i="7"/>
  <c r="E280" i="7"/>
  <c r="AE22" i="7"/>
  <c r="AD24" i="7"/>
  <c r="AF23" i="7"/>
  <c r="AE23" i="7" s="1"/>
  <c r="C164" i="7"/>
  <c r="J129" i="7"/>
  <c r="AM19" i="7"/>
  <c r="AM22" i="7" s="1"/>
  <c r="F62" i="7"/>
  <c r="E98" i="7"/>
  <c r="S23" i="3"/>
  <c r="AN14" i="7"/>
  <c r="AO14" i="7" s="1"/>
  <c r="AP14" i="7" s="1"/>
  <c r="AL14" i="7"/>
  <c r="AK14" i="7" s="1"/>
  <c r="AJ14" i="7" s="1"/>
  <c r="AJ19" i="7" s="1"/>
  <c r="E88" i="7"/>
  <c r="F52" i="7"/>
  <c r="S13" i="3"/>
  <c r="E90" i="7"/>
  <c r="F54" i="7"/>
  <c r="S15" i="3"/>
  <c r="F60" i="7"/>
  <c r="E96" i="7"/>
  <c r="S21" i="3"/>
  <c r="F61" i="7"/>
  <c r="E97" i="7"/>
  <c r="S22" i="3"/>
  <c r="E89" i="7"/>
  <c r="F53" i="7"/>
  <c r="S14" i="3"/>
  <c r="F58" i="7"/>
  <c r="X45" i="7"/>
  <c r="AA45" i="7" s="1"/>
  <c r="V45" i="7"/>
  <c r="J132" i="7"/>
  <c r="J134" i="7"/>
  <c r="J124" i="7"/>
  <c r="AA22" i="7"/>
  <c r="L24" i="7"/>
  <c r="M23" i="7"/>
  <c r="N25" i="7"/>
  <c r="O62" i="1" l="1"/>
  <c r="R60" i="4"/>
  <c r="S60" i="4" s="1"/>
  <c r="O63" i="1"/>
  <c r="R61" i="4"/>
  <c r="S61" i="4" s="1"/>
  <c r="O64" i="1"/>
  <c r="R62" i="4"/>
  <c r="S62" i="4" s="1"/>
  <c r="AA6" i="4"/>
  <c r="Q25" i="4"/>
  <c r="V7" i="4"/>
  <c r="V6" i="4"/>
  <c r="H18" i="1"/>
  <c r="D372" i="7"/>
  <c r="D368" i="7"/>
  <c r="D366" i="7"/>
  <c r="E366" i="7" s="1"/>
  <c r="H312" i="7"/>
  <c r="H313" i="7"/>
  <c r="C331" i="7"/>
  <c r="M312" i="7"/>
  <c r="D367" i="7"/>
  <c r="C168" i="7"/>
  <c r="F41" i="7" s="1"/>
  <c r="C169" i="7"/>
  <c r="F42" i="7" s="1"/>
  <c r="AT22" i="7"/>
  <c r="S19" i="3"/>
  <c r="E94" i="7"/>
  <c r="S18" i="3"/>
  <c r="E93" i="7"/>
  <c r="F57" i="7"/>
  <c r="F55" i="7"/>
  <c r="S16" i="3"/>
  <c r="E91" i="7"/>
  <c r="S20" i="3"/>
  <c r="E95" i="7"/>
  <c r="F59" i="7"/>
  <c r="C170" i="7"/>
  <c r="F43" i="7" s="1"/>
  <c r="C172" i="7"/>
  <c r="F45" i="7" s="1"/>
  <c r="H9" i="7"/>
  <c r="H10" i="7" s="1"/>
  <c r="K136" i="7" s="1"/>
  <c r="F124" i="7"/>
  <c r="BP2" i="7" s="1"/>
  <c r="AJ23" i="7"/>
  <c r="AJ22" i="7"/>
  <c r="AJ24" i="7"/>
  <c r="AM24" i="7"/>
  <c r="AM23" i="7"/>
  <c r="AW5" i="7"/>
  <c r="H19" i="16"/>
  <c r="AD25" i="7"/>
  <c r="AJ25" i="7" s="1"/>
  <c r="AF24" i="7"/>
  <c r="AG24" i="7"/>
  <c r="AL19" i="7"/>
  <c r="AK19" i="7"/>
  <c r="S12" i="3"/>
  <c r="F51" i="7"/>
  <c r="E87" i="7"/>
  <c r="D90" i="7"/>
  <c r="E178" i="7" s="1"/>
  <c r="E54" i="7"/>
  <c r="R15" i="3"/>
  <c r="F56" i="7"/>
  <c r="E92" i="7"/>
  <c r="S17" i="3"/>
  <c r="D91" i="7"/>
  <c r="E55" i="7"/>
  <c r="R16" i="3"/>
  <c r="D96" i="7"/>
  <c r="D184" i="7" s="1"/>
  <c r="E60" i="7"/>
  <c r="R21" i="3"/>
  <c r="D93" i="7"/>
  <c r="E57" i="7"/>
  <c r="R18" i="3"/>
  <c r="D95" i="7"/>
  <c r="E59" i="7"/>
  <c r="R20" i="3"/>
  <c r="D89" i="7"/>
  <c r="E177" i="7" s="1"/>
  <c r="E53" i="7"/>
  <c r="R14" i="3"/>
  <c r="D88" i="7"/>
  <c r="D176" i="7" s="1"/>
  <c r="E52" i="7"/>
  <c r="R13" i="3"/>
  <c r="D98" i="7"/>
  <c r="E186" i="7" s="1"/>
  <c r="E62" i="7"/>
  <c r="R23" i="3"/>
  <c r="D87" i="7"/>
  <c r="E51" i="7"/>
  <c r="R12" i="3"/>
  <c r="D92" i="7"/>
  <c r="E56" i="7"/>
  <c r="R17" i="3"/>
  <c r="D94" i="7"/>
  <c r="E58" i="7"/>
  <c r="R19" i="3"/>
  <c r="X46" i="7"/>
  <c r="AA46" i="7" s="1"/>
  <c r="V46" i="7"/>
  <c r="L25" i="7"/>
  <c r="M24" i="7"/>
  <c r="N26" i="7"/>
  <c r="N66" i="1" l="1"/>
  <c r="Q64" i="4"/>
  <c r="N62" i="1"/>
  <c r="Q60" i="4"/>
  <c r="P64" i="1"/>
  <c r="R64" i="1"/>
  <c r="Q64" i="1"/>
  <c r="P63" i="1"/>
  <c r="Q63" i="1"/>
  <c r="R63" i="1"/>
  <c r="P62" i="1"/>
  <c r="R62" i="1"/>
  <c r="Q62" i="1"/>
  <c r="O66" i="1"/>
  <c r="R64" i="4"/>
  <c r="S64" i="4" s="1"/>
  <c r="O65" i="1"/>
  <c r="R63" i="4"/>
  <c r="S63" i="4" s="1"/>
  <c r="O67" i="1"/>
  <c r="R65" i="4"/>
  <c r="N64" i="1"/>
  <c r="Q62" i="4"/>
  <c r="N61" i="1"/>
  <c r="Q59" i="4"/>
  <c r="N67" i="1"/>
  <c r="Q65" i="4"/>
  <c r="O61" i="1"/>
  <c r="R59" i="4"/>
  <c r="S59" i="4" s="1"/>
  <c r="N65" i="1"/>
  <c r="Q63" i="4"/>
  <c r="N63" i="1"/>
  <c r="Q61" i="4"/>
  <c r="AA8" i="4"/>
  <c r="X8" i="4"/>
  <c r="AA7" i="4"/>
  <c r="X6" i="4"/>
  <c r="X7" i="4"/>
  <c r="X9" i="4"/>
  <c r="C372" i="7"/>
  <c r="E372" i="7"/>
  <c r="H15" i="4"/>
  <c r="C370" i="7"/>
  <c r="C369" i="7"/>
  <c r="D369" i="7"/>
  <c r="D371" i="7"/>
  <c r="C371" i="7"/>
  <c r="H10" i="4"/>
  <c r="D370" i="7"/>
  <c r="E368" i="7"/>
  <c r="C368" i="7"/>
  <c r="H11" i="4"/>
  <c r="H9" i="4"/>
  <c r="C365" i="7"/>
  <c r="C366" i="7"/>
  <c r="D365" i="7"/>
  <c r="E365" i="7" s="1"/>
  <c r="J315" i="7"/>
  <c r="M314" i="7"/>
  <c r="J313" i="7"/>
  <c r="M313" i="7"/>
  <c r="J314" i="7"/>
  <c r="J312" i="7"/>
  <c r="E367" i="7"/>
  <c r="C367" i="7"/>
  <c r="D181" i="7"/>
  <c r="D183" i="7"/>
  <c r="D179" i="7"/>
  <c r="E182" i="7"/>
  <c r="E61" i="7"/>
  <c r="R22" i="3"/>
  <c r="D97" i="7"/>
  <c r="D185" i="7" s="1"/>
  <c r="I43" i="7"/>
  <c r="E175" i="7"/>
  <c r="I42" i="7"/>
  <c r="I45" i="7"/>
  <c r="I41" i="7"/>
  <c r="I44" i="7"/>
  <c r="J58" i="7"/>
  <c r="J60" i="7"/>
  <c r="J52" i="7"/>
  <c r="BS2" i="7"/>
  <c r="J59" i="7"/>
  <c r="J54" i="7"/>
  <c r="J57" i="7"/>
  <c r="J53" i="7"/>
  <c r="J62" i="7"/>
  <c r="J55" i="7"/>
  <c r="J51" i="7"/>
  <c r="J56" i="7"/>
  <c r="AX5" i="7"/>
  <c r="E179" i="7"/>
  <c r="E180" i="7"/>
  <c r="E176" i="7"/>
  <c r="C176" i="7" s="1"/>
  <c r="G88" i="7" s="1"/>
  <c r="E183" i="7"/>
  <c r="E181" i="7"/>
  <c r="E184" i="7"/>
  <c r="AE24" i="7"/>
  <c r="AM25" i="7"/>
  <c r="AK24" i="7"/>
  <c r="AK25" i="7"/>
  <c r="AK23" i="7"/>
  <c r="AK22" i="7"/>
  <c r="AL25" i="7"/>
  <c r="AL24" i="7"/>
  <c r="AL23" i="7"/>
  <c r="AL22" i="7"/>
  <c r="AD26" i="7"/>
  <c r="AF25" i="7"/>
  <c r="AG25" i="7"/>
  <c r="D175" i="7"/>
  <c r="D180" i="7"/>
  <c r="D186" i="7"/>
  <c r="D178" i="7"/>
  <c r="C178" i="7" s="1"/>
  <c r="G90" i="7" s="1"/>
  <c r="D182" i="7"/>
  <c r="D177" i="7"/>
  <c r="X47" i="7"/>
  <c r="AA47" i="7" s="1"/>
  <c r="V47" i="7"/>
  <c r="N8" i="14"/>
  <c r="L26" i="7"/>
  <c r="M25" i="7"/>
  <c r="N27" i="7"/>
  <c r="P61" i="1" l="1"/>
  <c r="R61" i="1"/>
  <c r="Q61" i="1"/>
  <c r="P66" i="1"/>
  <c r="Q66" i="1"/>
  <c r="R66" i="1"/>
  <c r="U65" i="4"/>
  <c r="T65" i="4"/>
  <c r="S65" i="4"/>
  <c r="H14" i="4" s="1"/>
  <c r="P67" i="1"/>
  <c r="Q67" i="1"/>
  <c r="R67" i="1"/>
  <c r="P65" i="1"/>
  <c r="Q65" i="1"/>
  <c r="R65" i="1"/>
  <c r="V8" i="4"/>
  <c r="Z6" i="4"/>
  <c r="Z7" i="4"/>
  <c r="Z9" i="4"/>
  <c r="Y7" i="4"/>
  <c r="Z8" i="4"/>
  <c r="Y6" i="4"/>
  <c r="Y9" i="4"/>
  <c r="Y8" i="4"/>
  <c r="AA9" i="4"/>
  <c r="H12" i="4"/>
  <c r="E370" i="7"/>
  <c r="H13" i="4"/>
  <c r="E369" i="7"/>
  <c r="E371" i="7"/>
  <c r="H8" i="4"/>
  <c r="K315" i="7"/>
  <c r="K314" i="7"/>
  <c r="L312" i="7"/>
  <c r="M315" i="7"/>
  <c r="L315" i="7"/>
  <c r="H314" i="7"/>
  <c r="L314" i="7"/>
  <c r="K312" i="7"/>
  <c r="L313" i="7"/>
  <c r="K313" i="7"/>
  <c r="E185" i="7"/>
  <c r="C185" i="7" s="1"/>
  <c r="G97" i="7" s="1"/>
  <c r="C179" i="7"/>
  <c r="G91" i="7" s="1"/>
  <c r="J61" i="7"/>
  <c r="AY5" i="7"/>
  <c r="AZ5" i="7" s="1"/>
  <c r="AT21" i="7" s="1"/>
  <c r="AE25" i="7"/>
  <c r="AJ26" i="7"/>
  <c r="AM26" i="7"/>
  <c r="AL26" i="7"/>
  <c r="AK26" i="7"/>
  <c r="C186" i="7"/>
  <c r="G98" i="7" s="1"/>
  <c r="C177" i="7"/>
  <c r="G89" i="7" s="1"/>
  <c r="C175" i="7"/>
  <c r="G87" i="7" s="1"/>
  <c r="C181" i="7"/>
  <c r="G93" i="7" s="1"/>
  <c r="C183" i="7"/>
  <c r="G95" i="7" s="1"/>
  <c r="C184" i="7"/>
  <c r="G96" i="7" s="1"/>
  <c r="C182" i="7"/>
  <c r="G94" i="7" s="1"/>
  <c r="C180" i="7"/>
  <c r="G92" i="7" s="1"/>
  <c r="AD27" i="7"/>
  <c r="AF26" i="7"/>
  <c r="AG26" i="7"/>
  <c r="H52" i="7"/>
  <c r="H54" i="7"/>
  <c r="V48" i="7"/>
  <c r="X48" i="7"/>
  <c r="AA48" i="7" s="1"/>
  <c r="L27" i="7"/>
  <c r="M26" i="7"/>
  <c r="N28" i="7"/>
  <c r="T62" i="4" l="1"/>
  <c r="I11" i="4" s="1"/>
  <c r="Z10" i="4"/>
  <c r="V9" i="4"/>
  <c r="Y10" i="4"/>
  <c r="T60" i="4"/>
  <c r="I9" i="4" s="1"/>
  <c r="AA10" i="4"/>
  <c r="X10" i="4"/>
  <c r="F368" i="7"/>
  <c r="K316" i="7"/>
  <c r="L316" i="7"/>
  <c r="M316" i="7"/>
  <c r="J316" i="7"/>
  <c r="F366" i="7"/>
  <c r="H315" i="7"/>
  <c r="H55" i="7"/>
  <c r="H61" i="7"/>
  <c r="H59" i="7"/>
  <c r="H62" i="7"/>
  <c r="H57" i="7"/>
  <c r="H60" i="7"/>
  <c r="H58" i="7"/>
  <c r="H56" i="7"/>
  <c r="H53" i="7"/>
  <c r="H51" i="7"/>
  <c r="AE26" i="7"/>
  <c r="AM27" i="7"/>
  <c r="AJ27" i="7"/>
  <c r="AK27" i="7"/>
  <c r="AL27" i="7"/>
  <c r="AD28" i="7"/>
  <c r="AF27" i="7"/>
  <c r="AG27" i="7"/>
  <c r="X49" i="7"/>
  <c r="AA49" i="7" s="1"/>
  <c r="V49" i="7"/>
  <c r="L28" i="7"/>
  <c r="M27" i="7"/>
  <c r="N29" i="7"/>
  <c r="Z11" i="4" l="1"/>
  <c r="T63" i="4"/>
  <c r="Y11" i="4"/>
  <c r="X11" i="4"/>
  <c r="AA11" i="4"/>
  <c r="V10" i="4"/>
  <c r="T59" i="4"/>
  <c r="I8" i="4" s="1"/>
  <c r="T61" i="4"/>
  <c r="I10" i="4" s="1"/>
  <c r="T64" i="4"/>
  <c r="I13" i="4" s="1"/>
  <c r="F372" i="7"/>
  <c r="I15" i="4"/>
  <c r="F370" i="7"/>
  <c r="F369" i="7"/>
  <c r="I12" i="4"/>
  <c r="I14" i="4"/>
  <c r="F371" i="7"/>
  <c r="L317" i="7"/>
  <c r="J317" i="7"/>
  <c r="M317" i="7"/>
  <c r="H316" i="7"/>
  <c r="F365" i="7"/>
  <c r="K317" i="7"/>
  <c r="F367" i="7"/>
  <c r="K59" i="7"/>
  <c r="K61" i="7"/>
  <c r="K62" i="7"/>
  <c r="K53" i="7"/>
  <c r="K60" i="7"/>
  <c r="K56" i="7"/>
  <c r="K58" i="7"/>
  <c r="K57" i="7"/>
  <c r="K55" i="7"/>
  <c r="K54" i="7"/>
  <c r="K52" i="7"/>
  <c r="K51" i="7"/>
  <c r="AE27" i="7"/>
  <c r="AM28" i="7"/>
  <c r="AJ28" i="7"/>
  <c r="AK28" i="7"/>
  <c r="AL28" i="7"/>
  <c r="AD29" i="7"/>
  <c r="AF28" i="7"/>
  <c r="AG28" i="7"/>
  <c r="X50" i="7"/>
  <c r="AA50" i="7" s="1"/>
  <c r="V50" i="7"/>
  <c r="L29" i="7"/>
  <c r="M28" i="7"/>
  <c r="N30" i="7"/>
  <c r="Y12" i="4" l="1"/>
  <c r="U64" i="4"/>
  <c r="J13" i="4" s="1"/>
  <c r="AA12" i="4"/>
  <c r="V11" i="4"/>
  <c r="U59" i="4"/>
  <c r="J8" i="4" s="1"/>
  <c r="U62" i="4"/>
  <c r="J11" i="4" s="1"/>
  <c r="U63" i="4"/>
  <c r="J12" i="4" s="1"/>
  <c r="U61" i="4"/>
  <c r="Z12" i="4"/>
  <c r="X12" i="4"/>
  <c r="U60" i="4"/>
  <c r="J10" i="4"/>
  <c r="J9" i="4"/>
  <c r="G372" i="7"/>
  <c r="J15" i="4"/>
  <c r="G369" i="7"/>
  <c r="G370" i="7"/>
  <c r="G368" i="7"/>
  <c r="G371" i="7"/>
  <c r="J14" i="4"/>
  <c r="M318" i="7"/>
  <c r="L318" i="7"/>
  <c r="K318" i="7"/>
  <c r="J318" i="7"/>
  <c r="H317" i="7"/>
  <c r="G367" i="7"/>
  <c r="G365" i="7"/>
  <c r="G366" i="7"/>
  <c r="AE28" i="7"/>
  <c r="AM29" i="7"/>
  <c r="AJ29" i="7"/>
  <c r="AK29" i="7"/>
  <c r="AL29" i="7"/>
  <c r="AD30" i="7"/>
  <c r="AF29" i="7"/>
  <c r="AG29" i="7"/>
  <c r="X51" i="7"/>
  <c r="AA51" i="7" s="1"/>
  <c r="V51" i="7"/>
  <c r="L30" i="7"/>
  <c r="M29" i="7"/>
  <c r="N31" i="7"/>
  <c r="Z13" i="4" l="1"/>
  <c r="X13" i="4"/>
  <c r="Y13" i="4"/>
  <c r="AA13" i="4"/>
  <c r="V12" i="4"/>
  <c r="K319" i="7"/>
  <c r="J319" i="7"/>
  <c r="L319" i="7"/>
  <c r="M319" i="7"/>
  <c r="H318" i="7"/>
  <c r="AE29" i="7"/>
  <c r="AM30" i="7"/>
  <c r="AJ30" i="7"/>
  <c r="AL30" i="7"/>
  <c r="AK30" i="7"/>
  <c r="AD31" i="7"/>
  <c r="AF30" i="7"/>
  <c r="AG30" i="7"/>
  <c r="V52" i="7"/>
  <c r="X52" i="7"/>
  <c r="AA52" i="7" s="1"/>
  <c r="L31" i="7"/>
  <c r="M30" i="7"/>
  <c r="N32" i="7"/>
  <c r="AA14" i="4" l="1"/>
  <c r="Z14" i="4"/>
  <c r="V13" i="4"/>
  <c r="Y14" i="4"/>
  <c r="X14" i="4"/>
  <c r="H319" i="7"/>
  <c r="K320" i="7"/>
  <c r="L320" i="7"/>
  <c r="J320" i="7"/>
  <c r="M320" i="7"/>
  <c r="AE30" i="7"/>
  <c r="AM31" i="7"/>
  <c r="AJ31" i="7"/>
  <c r="AL31" i="7"/>
  <c r="AK31" i="7"/>
  <c r="AD32" i="7"/>
  <c r="AF31" i="7"/>
  <c r="AG31" i="7"/>
  <c r="X53" i="7"/>
  <c r="AA53" i="7" s="1"/>
  <c r="V53" i="7"/>
  <c r="L32" i="7"/>
  <c r="L33" i="7" s="1"/>
  <c r="M31" i="7"/>
  <c r="N33" i="7"/>
  <c r="Y15" i="4" l="1"/>
  <c r="V14" i="4"/>
  <c r="Z15" i="4"/>
  <c r="X15" i="4"/>
  <c r="AA15" i="4"/>
  <c r="H320" i="7"/>
  <c r="K321" i="7"/>
  <c r="L321" i="7"/>
  <c r="J321" i="7"/>
  <c r="M321" i="7"/>
  <c r="AE31" i="7"/>
  <c r="AM32" i="7"/>
  <c r="AJ32" i="7"/>
  <c r="AK32" i="7"/>
  <c r="AL32" i="7"/>
  <c r="AD33" i="7"/>
  <c r="AF32" i="7"/>
  <c r="AG32" i="7"/>
  <c r="X54" i="7"/>
  <c r="AA54" i="7" s="1"/>
  <c r="V54" i="7"/>
  <c r="L34" i="7"/>
  <c r="M33" i="7"/>
  <c r="N34" i="7"/>
  <c r="Z16" i="4" l="1"/>
  <c r="Y16" i="4"/>
  <c r="V15" i="4"/>
  <c r="X16" i="4"/>
  <c r="AA16" i="4"/>
  <c r="H321" i="7"/>
  <c r="L322" i="7"/>
  <c r="K322" i="7"/>
  <c r="J322" i="7"/>
  <c r="M322" i="7"/>
  <c r="AE32" i="7"/>
  <c r="AJ33" i="7"/>
  <c r="AM33" i="7"/>
  <c r="AL33" i="7"/>
  <c r="AK33" i="7"/>
  <c r="AD34" i="7"/>
  <c r="AF33" i="7"/>
  <c r="AG33" i="7"/>
  <c r="X55" i="7"/>
  <c r="AA55" i="7" s="1"/>
  <c r="V55" i="7"/>
  <c r="L35" i="7"/>
  <c r="M34" i="7"/>
  <c r="N35" i="7"/>
  <c r="AA17" i="4" l="1"/>
  <c r="Y17" i="4"/>
  <c r="X17" i="4"/>
  <c r="Z17" i="4"/>
  <c r="V16" i="4"/>
  <c r="K323" i="7"/>
  <c r="H322" i="7"/>
  <c r="L323" i="7"/>
  <c r="M323" i="7"/>
  <c r="J323" i="7"/>
  <c r="AE33" i="7"/>
  <c r="AM34" i="7"/>
  <c r="AJ34" i="7"/>
  <c r="AK34" i="7"/>
  <c r="AL34" i="7"/>
  <c r="AD35" i="7"/>
  <c r="AF34" i="7"/>
  <c r="AG34" i="7"/>
  <c r="V56" i="7"/>
  <c r="X56" i="7"/>
  <c r="AA56" i="7" s="1"/>
  <c r="L36" i="7"/>
  <c r="M35" i="7"/>
  <c r="N36" i="7"/>
  <c r="Z18" i="4" l="1"/>
  <c r="Y18" i="4"/>
  <c r="V17" i="4"/>
  <c r="X18" i="4"/>
  <c r="AA18" i="4"/>
  <c r="H323" i="7"/>
  <c r="K324" i="7"/>
  <c r="L324" i="7"/>
  <c r="J324" i="7"/>
  <c r="M324" i="7"/>
  <c r="AE34" i="7"/>
  <c r="AM35" i="7"/>
  <c r="AJ35" i="7"/>
  <c r="AL35" i="7"/>
  <c r="AK35" i="7"/>
  <c r="AD36" i="7"/>
  <c r="AF35" i="7"/>
  <c r="AG35" i="7"/>
  <c r="AE35" i="7" s="1"/>
  <c r="X57" i="7"/>
  <c r="AA57" i="7" s="1"/>
  <c r="V57" i="7"/>
  <c r="L37" i="7"/>
  <c r="M36" i="7"/>
  <c r="N37" i="7"/>
  <c r="V19" i="4" l="1"/>
  <c r="Y19" i="4"/>
  <c r="Z19" i="4"/>
  <c r="X19" i="4"/>
  <c r="AA19" i="4"/>
  <c r="V18" i="4"/>
  <c r="H324" i="7"/>
  <c r="K325" i="7"/>
  <c r="J325" i="7"/>
  <c r="H325" i="7"/>
  <c r="L325" i="7"/>
  <c r="M325" i="7"/>
  <c r="AM36" i="7"/>
  <c r="AJ36" i="7"/>
  <c r="AL36" i="7"/>
  <c r="AK36" i="7"/>
  <c r="AD37" i="7"/>
  <c r="AF36" i="7"/>
  <c r="AG36" i="7"/>
  <c r="X58" i="7"/>
  <c r="AA58" i="7" s="1"/>
  <c r="V58" i="7"/>
  <c r="L38" i="7"/>
  <c r="M37" i="7"/>
  <c r="N38" i="7"/>
  <c r="Y20" i="4" l="1"/>
  <c r="Z20" i="4"/>
  <c r="X20" i="4"/>
  <c r="AA20" i="4"/>
  <c r="J326" i="7"/>
  <c r="L326" i="7"/>
  <c r="K326" i="7"/>
  <c r="M326" i="7"/>
  <c r="AE36" i="7"/>
  <c r="AJ37" i="7"/>
  <c r="AM37" i="7"/>
  <c r="AK37" i="7"/>
  <c r="AL37" i="7"/>
  <c r="AD38" i="7"/>
  <c r="AF37" i="7"/>
  <c r="AG37" i="7"/>
  <c r="X59" i="7"/>
  <c r="AA59" i="7" s="1"/>
  <c r="V59" i="7"/>
  <c r="L39" i="7"/>
  <c r="M38" i="7"/>
  <c r="N39" i="7"/>
  <c r="X21" i="4" l="1"/>
  <c r="V20" i="4"/>
  <c r="Z21" i="4"/>
  <c r="Y21" i="4"/>
  <c r="AA21" i="4"/>
  <c r="L327" i="7"/>
  <c r="H326" i="7"/>
  <c r="J327" i="7"/>
  <c r="K327" i="7"/>
  <c r="M327" i="7"/>
  <c r="AE37" i="7"/>
  <c r="AM38" i="7"/>
  <c r="AJ38" i="7"/>
  <c r="AK38" i="7"/>
  <c r="AL38" i="7"/>
  <c r="AD39" i="7"/>
  <c r="AF38" i="7"/>
  <c r="AG38" i="7"/>
  <c r="V60" i="7"/>
  <c r="X60" i="7"/>
  <c r="AA60" i="7" s="1"/>
  <c r="L40" i="7"/>
  <c r="M39" i="7"/>
  <c r="N40" i="7"/>
  <c r="Z22" i="4" l="1"/>
  <c r="Y22" i="4"/>
  <c r="X22" i="4"/>
  <c r="AA22" i="4"/>
  <c r="V21" i="4"/>
  <c r="H327" i="7"/>
  <c r="M328" i="7"/>
  <c r="L328" i="7"/>
  <c r="K328" i="7"/>
  <c r="J328" i="7"/>
  <c r="AE38" i="7"/>
  <c r="AM39" i="7"/>
  <c r="AJ39" i="7"/>
  <c r="AK39" i="7"/>
  <c r="AL39" i="7"/>
  <c r="AD40" i="7"/>
  <c r="AF39" i="7"/>
  <c r="AG39" i="7"/>
  <c r="X61" i="7"/>
  <c r="AA61" i="7" s="1"/>
  <c r="V61" i="7"/>
  <c r="L41" i="7"/>
  <c r="M40" i="7"/>
  <c r="N41" i="7"/>
  <c r="AA23" i="4" l="1"/>
  <c r="Z23" i="4"/>
  <c r="X23" i="4"/>
  <c r="Y23" i="4"/>
  <c r="V22" i="4"/>
  <c r="M329" i="7"/>
  <c r="H328" i="7"/>
  <c r="L329" i="7"/>
  <c r="K329" i="7"/>
  <c r="J329" i="7"/>
  <c r="AE39" i="7"/>
  <c r="AJ40" i="7"/>
  <c r="AM40" i="7"/>
  <c r="AL40" i="7"/>
  <c r="AK40" i="7"/>
  <c r="AD41" i="7"/>
  <c r="AF40" i="7"/>
  <c r="AG40" i="7"/>
  <c r="V62" i="7"/>
  <c r="X62" i="7"/>
  <c r="AA62" i="7" s="1"/>
  <c r="L42" i="7"/>
  <c r="M42" i="7" s="1"/>
  <c r="M41" i="7"/>
  <c r="N42" i="7"/>
  <c r="Y24" i="4" l="1"/>
  <c r="Z24" i="4"/>
  <c r="AA24" i="4"/>
  <c r="X24" i="4"/>
  <c r="V23" i="4"/>
  <c r="K330" i="7"/>
  <c r="H329" i="7"/>
  <c r="L330" i="7"/>
  <c r="M330" i="7"/>
  <c r="J330" i="7"/>
  <c r="AE40" i="7"/>
  <c r="AJ41" i="7"/>
  <c r="AM41" i="7"/>
  <c r="AL41" i="7"/>
  <c r="AK41" i="7"/>
  <c r="AD42" i="7"/>
  <c r="AF41" i="7"/>
  <c r="AG41" i="7"/>
  <c r="X63" i="7"/>
  <c r="AA63" i="7" s="1"/>
  <c r="V63" i="7"/>
  <c r="Z25" i="4" l="1"/>
  <c r="V24" i="4"/>
  <c r="Y25" i="4"/>
  <c r="AA25" i="4"/>
  <c r="X25" i="4"/>
  <c r="H330" i="7"/>
  <c r="K331" i="7"/>
  <c r="J331" i="7"/>
  <c r="L331" i="7"/>
  <c r="M331" i="7"/>
  <c r="AE41" i="7"/>
  <c r="AM42" i="7"/>
  <c r="AJ42" i="7"/>
  <c r="AK42" i="7"/>
  <c r="AL42" i="7"/>
  <c r="AD43" i="7"/>
  <c r="AF42" i="7"/>
  <c r="AG42" i="7"/>
  <c r="V64" i="7"/>
  <c r="X64" i="7"/>
  <c r="AA64" i="7" s="1"/>
  <c r="Y26" i="4" l="1"/>
  <c r="V25" i="4"/>
  <c r="Z26" i="4"/>
  <c r="X26" i="4"/>
  <c r="AA26" i="4"/>
  <c r="H331" i="7"/>
  <c r="L332" i="7"/>
  <c r="K332" i="7"/>
  <c r="J332" i="7"/>
  <c r="M332" i="7"/>
  <c r="AE42" i="7"/>
  <c r="AM43" i="7"/>
  <c r="AJ43" i="7"/>
  <c r="AK43" i="7"/>
  <c r="AL43" i="7"/>
  <c r="AD44" i="7"/>
  <c r="AF43" i="7"/>
  <c r="AG43" i="7"/>
  <c r="X65" i="7"/>
  <c r="AA65" i="7" s="1"/>
  <c r="V65" i="7"/>
  <c r="Z27" i="4" l="1"/>
  <c r="X27" i="4"/>
  <c r="Y27" i="4"/>
  <c r="AA27" i="4"/>
  <c r="V26" i="4"/>
  <c r="H332" i="7"/>
  <c r="L333" i="7"/>
  <c r="M333" i="7"/>
  <c r="K333" i="7"/>
  <c r="J333" i="7"/>
  <c r="AE43" i="7"/>
  <c r="AJ44" i="7"/>
  <c r="AM44" i="7"/>
  <c r="AL44" i="7"/>
  <c r="AK44" i="7"/>
  <c r="AD45" i="7"/>
  <c r="AF44" i="7"/>
  <c r="AG44" i="7"/>
  <c r="X66" i="7"/>
  <c r="AA66" i="7" s="1"/>
  <c r="V66" i="7"/>
  <c r="Z28" i="4" l="1"/>
  <c r="AA28" i="4"/>
  <c r="Y28" i="4"/>
  <c r="X28" i="4"/>
  <c r="V27" i="4"/>
  <c r="J334" i="7"/>
  <c r="K334" i="7"/>
  <c r="H333" i="7"/>
  <c r="L334" i="7"/>
  <c r="M334" i="7"/>
  <c r="AE44" i="7"/>
  <c r="AM45" i="7"/>
  <c r="AJ45" i="7"/>
  <c r="AL45" i="7"/>
  <c r="AK45" i="7"/>
  <c r="AD46" i="7"/>
  <c r="AF45" i="7"/>
  <c r="AG45" i="7"/>
  <c r="X67" i="7"/>
  <c r="AA67" i="7" s="1"/>
  <c r="V67" i="7"/>
  <c r="Y29" i="4" l="1"/>
  <c r="Z29" i="4"/>
  <c r="V28" i="4"/>
  <c r="X29" i="4"/>
  <c r="AA29" i="4"/>
  <c r="M335" i="7"/>
  <c r="K335" i="7"/>
  <c r="L335" i="7"/>
  <c r="H334" i="7"/>
  <c r="J335" i="7"/>
  <c r="AE45" i="7"/>
  <c r="AJ46" i="7"/>
  <c r="AM46" i="7"/>
  <c r="AL46" i="7"/>
  <c r="AK46" i="7"/>
  <c r="AD47" i="7"/>
  <c r="AF46" i="7"/>
  <c r="AG46" i="7"/>
  <c r="V68" i="7"/>
  <c r="X68" i="7"/>
  <c r="AA68" i="7" s="1"/>
  <c r="Z30" i="4" l="1"/>
  <c r="AA30" i="4"/>
  <c r="Y30" i="4"/>
  <c r="V29" i="4"/>
  <c r="X30" i="4"/>
  <c r="J336" i="7"/>
  <c r="H335" i="7"/>
  <c r="K336" i="7"/>
  <c r="L336" i="7"/>
  <c r="M336" i="7"/>
  <c r="AE46" i="7"/>
  <c r="AM47" i="7"/>
  <c r="AJ47" i="7"/>
  <c r="AK47" i="7"/>
  <c r="AL47" i="7"/>
  <c r="AD48" i="7"/>
  <c r="AF47" i="7"/>
  <c r="AG47" i="7"/>
  <c r="V69" i="7"/>
  <c r="X69" i="7"/>
  <c r="AA69" i="7" s="1"/>
  <c r="Z31" i="4" l="1"/>
  <c r="AA31" i="4"/>
  <c r="V30" i="4"/>
  <c r="Y31" i="4"/>
  <c r="X31" i="4"/>
  <c r="H336" i="7"/>
  <c r="L337" i="7"/>
  <c r="M337" i="7"/>
  <c r="K337" i="7"/>
  <c r="J337" i="7"/>
  <c r="AE47" i="7"/>
  <c r="AM48" i="7"/>
  <c r="AJ48" i="7"/>
  <c r="AL48" i="7"/>
  <c r="AK48" i="7"/>
  <c r="AD49" i="7"/>
  <c r="AF48" i="7"/>
  <c r="AG48" i="7"/>
  <c r="X70" i="7"/>
  <c r="AA70" i="7" s="1"/>
  <c r="V70" i="7"/>
  <c r="Y32" i="4" l="1"/>
  <c r="Z32" i="4"/>
  <c r="X32" i="4"/>
  <c r="V31" i="4"/>
  <c r="AA32" i="4"/>
  <c r="H337" i="7"/>
  <c r="L338" i="7"/>
  <c r="K338" i="7"/>
  <c r="J338" i="7"/>
  <c r="M338" i="7"/>
  <c r="AE48" i="7"/>
  <c r="AM49" i="7"/>
  <c r="AJ49" i="7"/>
  <c r="AL49" i="7"/>
  <c r="AK49" i="7"/>
  <c r="AD50" i="7"/>
  <c r="AF49" i="7"/>
  <c r="AG49" i="7"/>
  <c r="AE49" i="7" s="1"/>
  <c r="X71" i="7"/>
  <c r="AA71" i="7" s="1"/>
  <c r="V71" i="7"/>
  <c r="Z33" i="4" l="1"/>
  <c r="AA33" i="4"/>
  <c r="V33" i="4"/>
  <c r="Y33" i="4"/>
  <c r="X33" i="4"/>
  <c r="V32" i="4"/>
  <c r="H338" i="7"/>
  <c r="K339" i="7"/>
  <c r="L339" i="7"/>
  <c r="H339" i="7"/>
  <c r="J339" i="7"/>
  <c r="M339" i="7"/>
  <c r="AJ50" i="7"/>
  <c r="AM50" i="7"/>
  <c r="AL50" i="7"/>
  <c r="AK50" i="7"/>
  <c r="AD51" i="7"/>
  <c r="AF50" i="7"/>
  <c r="AG50" i="7"/>
  <c r="V72" i="7"/>
  <c r="X72" i="7"/>
  <c r="AA72" i="7" s="1"/>
  <c r="Y34" i="4" l="1"/>
  <c r="Z34" i="4"/>
  <c r="X34" i="4"/>
  <c r="AA34" i="4"/>
  <c r="K340" i="7"/>
  <c r="L340" i="7"/>
  <c r="M340" i="7"/>
  <c r="J340" i="7"/>
  <c r="AE50" i="7"/>
  <c r="AM51" i="7"/>
  <c r="AJ51" i="7"/>
  <c r="AK51" i="7"/>
  <c r="AL51" i="7"/>
  <c r="AD52" i="7"/>
  <c r="AF51" i="7"/>
  <c r="AG51" i="7"/>
  <c r="X73" i="7"/>
  <c r="AA73" i="7" s="1"/>
  <c r="V73" i="7"/>
  <c r="AA35" i="4" l="1"/>
  <c r="V34" i="4"/>
  <c r="Z35" i="4"/>
  <c r="Y35" i="4"/>
  <c r="X35" i="4"/>
  <c r="H340" i="7"/>
  <c r="M341" i="7"/>
  <c r="K341" i="7"/>
  <c r="J341" i="7"/>
  <c r="L341" i="7"/>
  <c r="AE51" i="7"/>
  <c r="AM52" i="7"/>
  <c r="AJ52" i="7"/>
  <c r="AK52" i="7"/>
  <c r="AL52" i="7"/>
  <c r="AD53" i="7"/>
  <c r="AF52" i="7"/>
  <c r="AG52" i="7"/>
  <c r="X74" i="7"/>
  <c r="AA74" i="7" s="1"/>
  <c r="V74" i="7"/>
  <c r="Z36" i="4" l="1"/>
  <c r="Y36" i="4"/>
  <c r="X36" i="4"/>
  <c r="AA36" i="4"/>
  <c r="V35" i="4"/>
  <c r="M342" i="7"/>
  <c r="L342" i="7"/>
  <c r="H341" i="7"/>
  <c r="K342" i="7"/>
  <c r="J342" i="7"/>
  <c r="AE52" i="7"/>
  <c r="AJ53" i="7"/>
  <c r="AM53" i="7"/>
  <c r="AL53" i="7"/>
  <c r="AK53" i="7"/>
  <c r="AD54" i="7"/>
  <c r="AF53" i="7"/>
  <c r="AG53" i="7"/>
  <c r="X75" i="7"/>
  <c r="AA75" i="7" s="1"/>
  <c r="V75" i="7"/>
  <c r="AA37" i="4" l="1"/>
  <c r="Y37" i="4"/>
  <c r="Z37" i="4"/>
  <c r="X37" i="4"/>
  <c r="V36" i="4"/>
  <c r="H342" i="7"/>
  <c r="K343" i="7"/>
  <c r="L343" i="7"/>
  <c r="M343" i="7"/>
  <c r="J343" i="7"/>
  <c r="AE53" i="7"/>
  <c r="AJ54" i="7"/>
  <c r="AM54" i="7"/>
  <c r="AL54" i="7"/>
  <c r="AK54" i="7"/>
  <c r="AD55" i="7"/>
  <c r="AF54" i="7"/>
  <c r="AG54" i="7"/>
  <c r="V76" i="7"/>
  <c r="X76" i="7"/>
  <c r="AA76" i="7" s="1"/>
  <c r="Y38" i="4" l="1"/>
  <c r="Z38" i="4"/>
  <c r="V37" i="4"/>
  <c r="AA38" i="4"/>
  <c r="X38" i="4"/>
  <c r="H343" i="7"/>
  <c r="K344" i="7"/>
  <c r="L344" i="7"/>
  <c r="M344" i="7"/>
  <c r="J344" i="7"/>
  <c r="AE54" i="7"/>
  <c r="AJ55" i="7"/>
  <c r="AM55" i="7"/>
  <c r="AK55" i="7"/>
  <c r="AL55" i="7"/>
  <c r="AD56" i="7"/>
  <c r="AF55" i="7"/>
  <c r="AG55" i="7"/>
  <c r="X77" i="7"/>
  <c r="AA77" i="7" s="1"/>
  <c r="V77" i="7"/>
  <c r="Y39" i="4" l="1"/>
  <c r="Z39" i="4"/>
  <c r="X39" i="4"/>
  <c r="AA39" i="4"/>
  <c r="V38" i="4"/>
  <c r="L345" i="7"/>
  <c r="H344" i="7"/>
  <c r="K345" i="7"/>
  <c r="M345" i="7"/>
  <c r="J345" i="7"/>
  <c r="AE55" i="7"/>
  <c r="AJ56" i="7"/>
  <c r="AM56" i="7"/>
  <c r="AK56" i="7"/>
  <c r="AL56" i="7"/>
  <c r="AD57" i="7"/>
  <c r="AF56" i="7"/>
  <c r="AG56" i="7"/>
  <c r="X78" i="7"/>
  <c r="AA78" i="7" s="1"/>
  <c r="V78" i="7"/>
  <c r="Z40" i="4" l="1"/>
  <c r="Y40" i="4"/>
  <c r="AA40" i="4"/>
  <c r="X40" i="4"/>
  <c r="V39" i="4"/>
  <c r="J346" i="7"/>
  <c r="L346" i="7"/>
  <c r="H345" i="7"/>
  <c r="K346" i="7"/>
  <c r="M346" i="7"/>
  <c r="AE56" i="7"/>
  <c r="AJ57" i="7"/>
  <c r="AM57" i="7"/>
  <c r="AK57" i="7"/>
  <c r="AL57" i="7"/>
  <c r="AD58" i="7"/>
  <c r="AF57" i="7"/>
  <c r="AG57" i="7"/>
  <c r="X79" i="7"/>
  <c r="AA79" i="7" s="1"/>
  <c r="V79" i="7"/>
  <c r="Y41" i="4" l="1"/>
  <c r="Z41" i="4"/>
  <c r="AA41" i="4"/>
  <c r="X41" i="4"/>
  <c r="V40" i="4"/>
  <c r="K347" i="7"/>
  <c r="H346" i="7"/>
  <c r="L347" i="7"/>
  <c r="M347" i="7"/>
  <c r="J347" i="7"/>
  <c r="AE57" i="7"/>
  <c r="AJ58" i="7"/>
  <c r="AM58" i="7"/>
  <c r="AL58" i="7"/>
  <c r="AK58" i="7"/>
  <c r="AD59" i="7"/>
  <c r="AF58" i="7"/>
  <c r="AG58" i="7"/>
  <c r="AE58" i="7" s="1"/>
  <c r="X80" i="7"/>
  <c r="AA80" i="7" s="1"/>
  <c r="V80" i="7"/>
  <c r="Y42" i="4" l="1"/>
  <c r="Z42" i="4"/>
  <c r="V42" i="4"/>
  <c r="AA42" i="4"/>
  <c r="X42" i="4"/>
  <c r="V41" i="4"/>
  <c r="H348" i="7"/>
  <c r="K348" i="7"/>
  <c r="L348" i="7"/>
  <c r="H347" i="7"/>
  <c r="M348" i="7"/>
  <c r="J348" i="7"/>
  <c r="AM59" i="7"/>
  <c r="AJ59" i="7"/>
  <c r="AL59" i="7"/>
  <c r="AK59" i="7"/>
  <c r="AD60" i="7"/>
  <c r="AF59" i="7"/>
  <c r="AG59" i="7"/>
  <c r="V81" i="7"/>
  <c r="X81" i="7"/>
  <c r="AA81" i="7" s="1"/>
  <c r="Y43" i="4" l="1"/>
  <c r="Z43" i="4"/>
  <c r="X43" i="4"/>
  <c r="AA43" i="4"/>
  <c r="K349" i="7"/>
  <c r="M349" i="7"/>
  <c r="L349" i="7"/>
  <c r="J349" i="7"/>
  <c r="AE59" i="7"/>
  <c r="AJ60" i="7"/>
  <c r="AM60" i="7"/>
  <c r="AK60" i="7"/>
  <c r="AL60" i="7"/>
  <c r="AD61" i="7"/>
  <c r="AF60" i="7"/>
  <c r="AG60" i="7"/>
  <c r="AE60" i="7" s="1"/>
  <c r="X82" i="7"/>
  <c r="AA82" i="7" s="1"/>
  <c r="V82" i="7"/>
  <c r="V44" i="4" l="1"/>
  <c r="V43" i="4"/>
  <c r="X44" i="4"/>
  <c r="Y44" i="4"/>
  <c r="Z44" i="4"/>
  <c r="AA44" i="4"/>
  <c r="M350" i="7"/>
  <c r="H350" i="7"/>
  <c r="J350" i="7"/>
  <c r="K350" i="7"/>
  <c r="H349" i="7"/>
  <c r="L350" i="7"/>
  <c r="AM61" i="7"/>
  <c r="AJ61" i="7"/>
  <c r="AL61" i="7"/>
  <c r="AK61" i="7"/>
  <c r="AD62" i="7"/>
  <c r="AF61" i="7"/>
  <c r="AG61" i="7"/>
  <c r="X83" i="7"/>
  <c r="AA83" i="7" s="1"/>
  <c r="V83" i="7"/>
  <c r="Y45" i="4" l="1"/>
  <c r="Z45" i="4"/>
  <c r="X45" i="4"/>
  <c r="AA45" i="4"/>
  <c r="L351" i="7"/>
  <c r="M351" i="7"/>
  <c r="K351" i="7"/>
  <c r="J351" i="7"/>
  <c r="AE61" i="7"/>
  <c r="AJ62" i="7"/>
  <c r="AM62" i="7"/>
  <c r="AL62" i="7"/>
  <c r="AK62" i="7"/>
  <c r="AD63" i="7"/>
  <c r="AF62" i="7"/>
  <c r="AG62" i="7"/>
  <c r="X84" i="7"/>
  <c r="AA84" i="7" s="1"/>
  <c r="V84" i="7"/>
  <c r="V45" i="4" l="1"/>
  <c r="AA46" i="4"/>
  <c r="X46" i="4"/>
  <c r="Y46" i="4"/>
  <c r="Z46" i="4"/>
  <c r="L352" i="7"/>
  <c r="J352" i="7"/>
  <c r="M352" i="7"/>
  <c r="H351" i="7"/>
  <c r="K352" i="7"/>
  <c r="AE62" i="7"/>
  <c r="AM63" i="7"/>
  <c r="AJ63" i="7"/>
  <c r="AL63" i="7"/>
  <c r="AK63" i="7"/>
  <c r="AD64" i="7"/>
  <c r="AF63" i="7"/>
  <c r="AG63" i="7"/>
  <c r="V85" i="7"/>
  <c r="X85" i="7"/>
  <c r="AA85" i="7" s="1"/>
  <c r="Z47" i="4" l="1"/>
  <c r="Y47" i="4"/>
  <c r="X47" i="4"/>
  <c r="AA47" i="4"/>
  <c r="V46" i="4"/>
  <c r="H352" i="7"/>
  <c r="K353" i="7"/>
  <c r="L353" i="7"/>
  <c r="J353" i="7"/>
  <c r="M353" i="7"/>
  <c r="AE63" i="7"/>
  <c r="AM64" i="7"/>
  <c r="AJ64" i="7"/>
  <c r="AK64" i="7"/>
  <c r="AL64" i="7"/>
  <c r="AD65" i="7"/>
  <c r="AF64" i="7"/>
  <c r="AG64" i="7"/>
  <c r="X86" i="7"/>
  <c r="AA86" i="7" s="1"/>
  <c r="V86" i="7"/>
  <c r="X48" i="4" l="1"/>
  <c r="Z48" i="4"/>
  <c r="V47" i="4"/>
  <c r="Y48" i="4"/>
  <c r="AA48" i="4"/>
  <c r="H353" i="7"/>
  <c r="J354" i="7"/>
  <c r="L354" i="7"/>
  <c r="K354" i="7"/>
  <c r="M354" i="7"/>
  <c r="AE64" i="7"/>
  <c r="AJ65" i="7"/>
  <c r="AM65" i="7"/>
  <c r="AK65" i="7"/>
  <c r="AL65" i="7"/>
  <c r="AD66" i="7"/>
  <c r="AF65" i="7"/>
  <c r="AG65" i="7"/>
  <c r="X87" i="7"/>
  <c r="AA87" i="7" s="1"/>
  <c r="V87" i="7"/>
  <c r="Z49" i="4" l="1"/>
  <c r="V48" i="4"/>
  <c r="Y49" i="4"/>
  <c r="AA49" i="4"/>
  <c r="X49" i="4"/>
  <c r="H354" i="7"/>
  <c r="M355" i="7"/>
  <c r="L355" i="7"/>
  <c r="K355" i="7"/>
  <c r="J355" i="7"/>
  <c r="AE65" i="7"/>
  <c r="AJ66" i="7"/>
  <c r="AM66" i="7"/>
  <c r="AL66" i="7"/>
  <c r="AK66" i="7"/>
  <c r="AD67" i="7"/>
  <c r="AF66" i="7"/>
  <c r="AG66" i="7"/>
  <c r="X88" i="7"/>
  <c r="AA88" i="7" s="1"/>
  <c r="V88" i="7"/>
  <c r="AA50" i="4" l="1"/>
  <c r="Z50" i="4"/>
  <c r="Y50" i="4"/>
  <c r="V49" i="4"/>
  <c r="X50" i="4"/>
  <c r="H355" i="7"/>
  <c r="K356" i="7"/>
  <c r="L356" i="7"/>
  <c r="M356" i="7"/>
  <c r="J356" i="7"/>
  <c r="AE66" i="7"/>
  <c r="AM67" i="7"/>
  <c r="AJ67" i="7"/>
  <c r="AL67" i="7"/>
  <c r="AK67" i="7"/>
  <c r="AD68" i="7"/>
  <c r="AF67" i="7"/>
  <c r="AG67" i="7"/>
  <c r="V89" i="7"/>
  <c r="X89" i="7"/>
  <c r="AA89" i="7" s="1"/>
  <c r="Z51" i="4" l="1"/>
  <c r="V50" i="4"/>
  <c r="Y51" i="4"/>
  <c r="X51" i="4"/>
  <c r="AA51" i="4"/>
  <c r="L357" i="7"/>
  <c r="H356" i="7"/>
  <c r="K357" i="7"/>
  <c r="J357" i="7"/>
  <c r="M357" i="7"/>
  <c r="AE67" i="7"/>
  <c r="AM68" i="7"/>
  <c r="AJ68" i="7"/>
  <c r="AK68" i="7"/>
  <c r="AL68" i="7"/>
  <c r="AD69" i="7"/>
  <c r="AF68" i="7"/>
  <c r="AG68" i="7"/>
  <c r="X90" i="7"/>
  <c r="AA90" i="7" s="1"/>
  <c r="V90" i="7"/>
  <c r="AA52" i="4" l="1"/>
  <c r="Y52" i="4"/>
  <c r="V51" i="4"/>
  <c r="Z52" i="4"/>
  <c r="X52" i="4"/>
  <c r="H357" i="7"/>
  <c r="L358" i="7"/>
  <c r="K358" i="7"/>
  <c r="J358" i="7"/>
  <c r="M358" i="7"/>
  <c r="AE68" i="7"/>
  <c r="AJ69" i="7"/>
  <c r="AM69" i="7"/>
  <c r="AL69" i="7"/>
  <c r="AK69" i="7"/>
  <c r="AD70" i="7"/>
  <c r="AF69" i="7"/>
  <c r="AG69" i="7"/>
  <c r="X91" i="7"/>
  <c r="AA91" i="7" s="1"/>
  <c r="V91" i="7"/>
  <c r="Z53" i="4" l="1"/>
  <c r="Y53" i="4"/>
  <c r="V52" i="4"/>
  <c r="AA53" i="4"/>
  <c r="X53" i="4"/>
  <c r="K359" i="7"/>
  <c r="H358" i="7"/>
  <c r="L359" i="7"/>
  <c r="M359" i="7"/>
  <c r="J359" i="7"/>
  <c r="AE69" i="7"/>
  <c r="AJ70" i="7"/>
  <c r="AM70" i="7"/>
  <c r="AK70" i="7"/>
  <c r="AL70" i="7"/>
  <c r="AD71" i="7"/>
  <c r="AF70" i="7"/>
  <c r="AG70" i="7"/>
  <c r="X92" i="7"/>
  <c r="AA92" i="7" s="1"/>
  <c r="V92" i="7"/>
  <c r="Z54" i="4" l="1"/>
  <c r="AA54" i="4"/>
  <c r="Y54" i="4"/>
  <c r="V53" i="4"/>
  <c r="X54" i="4"/>
  <c r="H359" i="7"/>
  <c r="L360" i="7"/>
  <c r="K360" i="7"/>
  <c r="M360" i="7"/>
  <c r="J360" i="7"/>
  <c r="AE70" i="7"/>
  <c r="AJ71" i="7"/>
  <c r="AM71" i="7"/>
  <c r="AL71" i="7"/>
  <c r="AK71" i="7"/>
  <c r="AD72" i="7"/>
  <c r="AF71" i="7"/>
  <c r="AG71" i="7"/>
  <c r="V93" i="7"/>
  <c r="X93" i="7"/>
  <c r="AA93" i="7" s="1"/>
  <c r="Y55" i="4" l="1"/>
  <c r="X55" i="4"/>
  <c r="Z55" i="4"/>
  <c r="V54" i="4"/>
  <c r="AA55" i="4"/>
  <c r="H360" i="7"/>
  <c r="K361" i="7"/>
  <c r="L361" i="7"/>
  <c r="M361" i="7"/>
  <c r="J361" i="7"/>
  <c r="AE71" i="7"/>
  <c r="AJ72" i="7"/>
  <c r="AM72" i="7"/>
  <c r="AK72" i="7"/>
  <c r="AL72" i="7"/>
  <c r="AD73" i="7"/>
  <c r="AF72" i="7"/>
  <c r="AG72" i="7"/>
  <c r="X94" i="7"/>
  <c r="AA94" i="7" s="1"/>
  <c r="V94" i="7"/>
  <c r="Z56" i="4" l="1"/>
  <c r="Y56" i="4"/>
  <c r="V55" i="4"/>
  <c r="AA56" i="4"/>
  <c r="X56" i="4"/>
  <c r="H361" i="7"/>
  <c r="L362" i="7"/>
  <c r="K362" i="7"/>
  <c r="M362" i="7"/>
  <c r="J362" i="7"/>
  <c r="AE72" i="7"/>
  <c r="AM73" i="7"/>
  <c r="AJ73" i="7"/>
  <c r="AK73" i="7"/>
  <c r="AL73" i="7"/>
  <c r="AD74" i="7"/>
  <c r="AF73" i="7"/>
  <c r="AG73" i="7"/>
  <c r="X95" i="7"/>
  <c r="AA95" i="7" s="1"/>
  <c r="V95" i="7"/>
  <c r="Z57" i="4" l="1"/>
  <c r="AA57" i="4"/>
  <c r="V56" i="4"/>
  <c r="Y57" i="4"/>
  <c r="X57" i="4"/>
  <c r="K363" i="7"/>
  <c r="H362" i="7"/>
  <c r="L363" i="7"/>
  <c r="J363" i="7"/>
  <c r="M363" i="7"/>
  <c r="AE73" i="7"/>
  <c r="AM74" i="7"/>
  <c r="AJ74" i="7"/>
  <c r="AK74" i="7"/>
  <c r="AL74" i="7"/>
  <c r="AD75" i="7"/>
  <c r="AF74" i="7"/>
  <c r="AG74" i="7"/>
  <c r="X96" i="7"/>
  <c r="AA96" i="7" s="1"/>
  <c r="V96" i="7"/>
  <c r="Y58" i="4" l="1"/>
  <c r="Z58" i="4"/>
  <c r="V57" i="4"/>
  <c r="X58" i="4"/>
  <c r="AA58" i="4"/>
  <c r="L364" i="7"/>
  <c r="K364" i="7"/>
  <c r="J364" i="7"/>
  <c r="H363" i="7"/>
  <c r="M364" i="7"/>
  <c r="AE74" i="7"/>
  <c r="AJ75" i="7"/>
  <c r="AM75" i="7"/>
  <c r="AL75" i="7"/>
  <c r="AK75" i="7"/>
  <c r="AD76" i="7"/>
  <c r="AF75" i="7"/>
  <c r="AG75" i="7"/>
  <c r="V97" i="7"/>
  <c r="X97" i="7"/>
  <c r="AA97" i="7" s="1"/>
  <c r="Y59" i="4" l="1"/>
  <c r="Z59" i="4"/>
  <c r="X59" i="4"/>
  <c r="AA59" i="4"/>
  <c r="V58" i="4"/>
  <c r="H364" i="7"/>
  <c r="K365" i="7"/>
  <c r="L365" i="7"/>
  <c r="M365" i="7"/>
  <c r="J365" i="7"/>
  <c r="AE75" i="7"/>
  <c r="AJ76" i="7"/>
  <c r="AM76" i="7"/>
  <c r="AL76" i="7"/>
  <c r="AK76" i="7"/>
  <c r="AD77" i="7"/>
  <c r="AF76" i="7"/>
  <c r="AG76" i="7"/>
  <c r="X98" i="7"/>
  <c r="AA98" i="7" s="1"/>
  <c r="V98" i="7"/>
  <c r="Y60" i="4" l="1"/>
  <c r="Z60" i="4"/>
  <c r="V59" i="4"/>
  <c r="AA60" i="4"/>
  <c r="X60" i="4"/>
  <c r="K366" i="7"/>
  <c r="L366" i="7"/>
  <c r="H365" i="7"/>
  <c r="M366" i="7"/>
  <c r="J366" i="7"/>
  <c r="AE76" i="7"/>
  <c r="AJ77" i="7"/>
  <c r="AM77" i="7"/>
  <c r="AL77" i="7"/>
  <c r="AK77" i="7"/>
  <c r="AD78" i="7"/>
  <c r="AF77" i="7"/>
  <c r="AG77" i="7"/>
  <c r="X99" i="7"/>
  <c r="AA99" i="7" s="1"/>
  <c r="V99" i="7"/>
  <c r="V60" i="4" l="1"/>
  <c r="Y61" i="4"/>
  <c r="Z61" i="4"/>
  <c r="AA61" i="4"/>
  <c r="X61" i="4"/>
  <c r="H366" i="7"/>
  <c r="K367" i="7"/>
  <c r="L367" i="7"/>
  <c r="M367" i="7"/>
  <c r="J367" i="7"/>
  <c r="AE77" i="7"/>
  <c r="AM78" i="7"/>
  <c r="AJ78" i="7"/>
  <c r="AK78" i="7"/>
  <c r="AL78" i="7"/>
  <c r="AD79" i="7"/>
  <c r="AF78" i="7"/>
  <c r="AG78" i="7"/>
  <c r="X100" i="7"/>
  <c r="AA100" i="7" s="1"/>
  <c r="V100" i="7"/>
  <c r="Z62" i="4" l="1"/>
  <c r="X62" i="4"/>
  <c r="Y62" i="4"/>
  <c r="V61" i="4"/>
  <c r="AA62" i="4"/>
  <c r="L368" i="7"/>
  <c r="J368" i="7"/>
  <c r="H367" i="7"/>
  <c r="K368" i="7"/>
  <c r="M368" i="7"/>
  <c r="AE78" i="7"/>
  <c r="AJ79" i="7"/>
  <c r="AM79" i="7"/>
  <c r="AL79" i="7"/>
  <c r="AK79" i="7"/>
  <c r="AD80" i="7"/>
  <c r="AF79" i="7"/>
  <c r="AG79" i="7"/>
  <c r="V101" i="7"/>
  <c r="X101" i="7"/>
  <c r="AA101" i="7" s="1"/>
  <c r="Z63" i="4" l="1"/>
  <c r="Y63" i="4"/>
  <c r="V62" i="4"/>
  <c r="AA63" i="4"/>
  <c r="X63" i="4"/>
  <c r="H368" i="7"/>
  <c r="K369" i="7"/>
  <c r="M369" i="7"/>
  <c r="L369" i="7"/>
  <c r="J369" i="7"/>
  <c r="AE79" i="7"/>
  <c r="AJ80" i="7"/>
  <c r="AM80" i="7"/>
  <c r="AK80" i="7"/>
  <c r="AL80" i="7"/>
  <c r="AD81" i="7"/>
  <c r="AF80" i="7"/>
  <c r="AG80" i="7"/>
  <c r="X102" i="7"/>
  <c r="AA102" i="7" s="1"/>
  <c r="V102" i="7"/>
  <c r="V63" i="4" l="1"/>
  <c r="Z64" i="4"/>
  <c r="Y64" i="4"/>
  <c r="AA64" i="4"/>
  <c r="X64" i="4"/>
  <c r="H369" i="7"/>
  <c r="K370" i="7"/>
  <c r="M370" i="7"/>
  <c r="L370" i="7"/>
  <c r="J370" i="7"/>
  <c r="AE80" i="7"/>
  <c r="AM81" i="7"/>
  <c r="AJ81" i="7"/>
  <c r="AL81" i="7"/>
  <c r="AK81" i="7"/>
  <c r="AD82" i="7"/>
  <c r="AF81" i="7"/>
  <c r="AG81" i="7"/>
  <c r="X103" i="7"/>
  <c r="AA103" i="7" s="1"/>
  <c r="V103" i="7"/>
  <c r="X65" i="4" l="1"/>
  <c r="Y65" i="4"/>
  <c r="Z65" i="4"/>
  <c r="V64" i="4"/>
  <c r="AA65" i="4"/>
  <c r="J371" i="7"/>
  <c r="H370" i="7"/>
  <c r="K371" i="7"/>
  <c r="L371" i="7"/>
  <c r="M371" i="7"/>
  <c r="AE81" i="7"/>
  <c r="AM82" i="7"/>
  <c r="AJ82" i="7"/>
  <c r="AK82" i="7"/>
  <c r="AL82" i="7"/>
  <c r="AD83" i="7"/>
  <c r="AF82" i="7"/>
  <c r="AG82" i="7"/>
  <c r="X104" i="7"/>
  <c r="AA104" i="7" s="1"/>
  <c r="V104" i="7"/>
  <c r="Y66" i="4" l="1"/>
  <c r="Z66" i="4"/>
  <c r="V65" i="4"/>
  <c r="X66" i="4"/>
  <c r="AA66" i="4"/>
  <c r="H371" i="7"/>
  <c r="K372" i="7"/>
  <c r="L372" i="7"/>
  <c r="J372" i="7"/>
  <c r="M372" i="7"/>
  <c r="AE82" i="7"/>
  <c r="AM83" i="7"/>
  <c r="AJ83" i="7"/>
  <c r="AK83" i="7"/>
  <c r="AL83" i="7"/>
  <c r="AD84" i="7"/>
  <c r="AF83" i="7"/>
  <c r="AG83" i="7"/>
  <c r="V105" i="7"/>
  <c r="X105" i="7"/>
  <c r="AA105" i="7" s="1"/>
  <c r="Y67" i="4" l="1"/>
  <c r="AA67" i="4"/>
  <c r="Z67" i="4"/>
  <c r="V66" i="4"/>
  <c r="X67" i="4"/>
  <c r="H372" i="7"/>
  <c r="L373" i="7"/>
  <c r="K373" i="7"/>
  <c r="J373" i="7"/>
  <c r="M373" i="7"/>
  <c r="AE83" i="7"/>
  <c r="AJ84" i="7"/>
  <c r="AM84" i="7"/>
  <c r="AK84" i="7"/>
  <c r="AL84" i="7"/>
  <c r="AD85" i="7"/>
  <c r="AF84" i="7"/>
  <c r="AG84" i="7"/>
  <c r="X106" i="7"/>
  <c r="AA106" i="7" s="1"/>
  <c r="V106" i="7"/>
  <c r="X68" i="4" l="1"/>
  <c r="Z68" i="4"/>
  <c r="V67" i="4"/>
  <c r="Y68" i="4"/>
  <c r="AA68" i="4"/>
  <c r="H373" i="7"/>
  <c r="L374" i="7"/>
  <c r="K374" i="7"/>
  <c r="M374" i="7"/>
  <c r="J374" i="7"/>
  <c r="AE84" i="7"/>
  <c r="AJ85" i="7"/>
  <c r="AM85" i="7"/>
  <c r="AK85" i="7"/>
  <c r="AL85" i="7"/>
  <c r="AD86" i="7"/>
  <c r="AF85" i="7"/>
  <c r="AG85" i="7"/>
  <c r="X107" i="7"/>
  <c r="AA107" i="7" s="1"/>
  <c r="V107" i="7"/>
  <c r="Z69" i="4" l="1"/>
  <c r="Y69" i="4"/>
  <c r="X69" i="4"/>
  <c r="AA69" i="4"/>
  <c r="V68" i="4"/>
  <c r="H374" i="7"/>
  <c r="K375" i="7"/>
  <c r="M375" i="7"/>
  <c r="L375" i="7"/>
  <c r="J375" i="7"/>
  <c r="AE85" i="7"/>
  <c r="AM86" i="7"/>
  <c r="AJ86" i="7"/>
  <c r="AL86" i="7"/>
  <c r="AK86" i="7"/>
  <c r="AD87" i="7"/>
  <c r="AF86" i="7"/>
  <c r="AG86" i="7"/>
  <c r="X108" i="7"/>
  <c r="AA108" i="7" s="1"/>
  <c r="V108" i="7"/>
  <c r="Y70" i="4" l="1"/>
  <c r="Z70" i="4"/>
  <c r="X70" i="4"/>
  <c r="V69" i="4"/>
  <c r="AA70" i="4"/>
  <c r="L376" i="7"/>
  <c r="H375" i="7"/>
  <c r="K376" i="7"/>
  <c r="J376" i="7"/>
  <c r="M376" i="7"/>
  <c r="AE86" i="7"/>
  <c r="AJ87" i="7"/>
  <c r="AM87" i="7"/>
  <c r="AL87" i="7"/>
  <c r="AK87" i="7"/>
  <c r="AD88" i="7"/>
  <c r="AF87" i="7"/>
  <c r="AG87" i="7"/>
  <c r="V109" i="7"/>
  <c r="X109" i="7"/>
  <c r="AA109" i="7" s="1"/>
  <c r="Z71" i="4" l="1"/>
  <c r="X71" i="4"/>
  <c r="Y71" i="4"/>
  <c r="AA71" i="4"/>
  <c r="V70" i="4"/>
  <c r="H376" i="7"/>
  <c r="L377" i="7"/>
  <c r="K377" i="7"/>
  <c r="M377" i="7"/>
  <c r="J377" i="7"/>
  <c r="AE87" i="7"/>
  <c r="AJ88" i="7"/>
  <c r="AM88" i="7"/>
  <c r="AK88" i="7"/>
  <c r="AL88" i="7"/>
  <c r="AD89" i="7"/>
  <c r="AF88" i="7"/>
  <c r="AG88" i="7"/>
  <c r="X110" i="7"/>
  <c r="AA110" i="7" s="1"/>
  <c r="V110" i="7"/>
  <c r="Z72" i="4" l="1"/>
  <c r="AA72" i="4"/>
  <c r="V71" i="4"/>
  <c r="Y72" i="4"/>
  <c r="X72" i="4"/>
  <c r="H377" i="7"/>
  <c r="L378" i="7"/>
  <c r="K378" i="7"/>
  <c r="M378" i="7"/>
  <c r="J378" i="7"/>
  <c r="AE88" i="7"/>
  <c r="AJ89" i="7"/>
  <c r="AM89" i="7"/>
  <c r="AL89" i="7"/>
  <c r="AK89" i="7"/>
  <c r="AD90" i="7"/>
  <c r="AF89" i="7"/>
  <c r="AG89" i="7"/>
  <c r="X111" i="7"/>
  <c r="AA111" i="7" s="1"/>
  <c r="V111" i="7"/>
  <c r="Y73" i="4" l="1"/>
  <c r="Z73" i="4"/>
  <c r="AA73" i="4"/>
  <c r="X73" i="4"/>
  <c r="V72" i="4"/>
  <c r="K379" i="7"/>
  <c r="L379" i="7"/>
  <c r="M379" i="7"/>
  <c r="H378" i="7"/>
  <c r="J379" i="7"/>
  <c r="AE89" i="7"/>
  <c r="AM90" i="7"/>
  <c r="AJ90" i="7"/>
  <c r="AK90" i="7"/>
  <c r="AL90" i="7"/>
  <c r="AD91" i="7"/>
  <c r="AF90" i="7"/>
  <c r="AG90" i="7"/>
  <c r="X112" i="7"/>
  <c r="AA112" i="7" s="1"/>
  <c r="V112" i="7"/>
  <c r="Y74" i="4" l="1"/>
  <c r="X74" i="4"/>
  <c r="Z74" i="4"/>
  <c r="AA74" i="4"/>
  <c r="V73" i="4"/>
  <c r="H379" i="7"/>
  <c r="J380" i="7"/>
  <c r="L380" i="7"/>
  <c r="K380" i="7"/>
  <c r="M380" i="7"/>
  <c r="AE90" i="7"/>
  <c r="AJ91" i="7"/>
  <c r="AM91" i="7"/>
  <c r="AK91" i="7"/>
  <c r="AL91" i="7"/>
  <c r="AD92" i="7"/>
  <c r="AF91" i="7"/>
  <c r="AG91" i="7"/>
  <c r="V113" i="7"/>
  <c r="X113" i="7"/>
  <c r="AA113" i="7" s="1"/>
  <c r="Z75" i="4" l="1"/>
  <c r="Y75" i="4"/>
  <c r="X75" i="4"/>
  <c r="V74" i="4"/>
  <c r="AA75" i="4"/>
  <c r="H380" i="7"/>
  <c r="L381" i="7"/>
  <c r="K381" i="7"/>
  <c r="M381" i="7"/>
  <c r="J381" i="7"/>
  <c r="AE91" i="7"/>
  <c r="AM92" i="7"/>
  <c r="AJ92" i="7"/>
  <c r="AK92" i="7"/>
  <c r="AL92" i="7"/>
  <c r="AD93" i="7"/>
  <c r="AF92" i="7"/>
  <c r="AG92" i="7"/>
  <c r="X114" i="7"/>
  <c r="AA114" i="7" s="1"/>
  <c r="V114" i="7"/>
  <c r="Y76" i="4" l="1"/>
  <c r="X76" i="4"/>
  <c r="V75" i="4"/>
  <c r="Z76" i="4"/>
  <c r="AA76" i="4"/>
  <c r="H381" i="7"/>
  <c r="L382" i="7"/>
  <c r="K382" i="7"/>
  <c r="J382" i="7"/>
  <c r="M382" i="7"/>
  <c r="AE92" i="7"/>
  <c r="AM93" i="7"/>
  <c r="AJ93" i="7"/>
  <c r="AK93" i="7"/>
  <c r="AL93" i="7"/>
  <c r="AD94" i="7"/>
  <c r="AF93" i="7"/>
  <c r="AG93" i="7"/>
  <c r="X115" i="7"/>
  <c r="AA115" i="7" s="1"/>
  <c r="V115" i="7"/>
  <c r="Z77" i="4" l="1"/>
  <c r="X77" i="4"/>
  <c r="V76" i="4"/>
  <c r="Y77" i="4"/>
  <c r="AA77" i="4"/>
  <c r="K383" i="7"/>
  <c r="H382" i="7"/>
  <c r="L383" i="7"/>
  <c r="J383" i="7"/>
  <c r="M383" i="7"/>
  <c r="AE93" i="7"/>
  <c r="AM94" i="7"/>
  <c r="AJ94" i="7"/>
  <c r="AL94" i="7"/>
  <c r="AK94" i="7"/>
  <c r="AD95" i="7"/>
  <c r="AF94" i="7"/>
  <c r="AG94" i="7"/>
  <c r="X116" i="7"/>
  <c r="AA116" i="7" s="1"/>
  <c r="V116" i="7"/>
  <c r="Y78" i="4" l="1"/>
  <c r="Z78" i="4"/>
  <c r="X78" i="4"/>
  <c r="AA78" i="4"/>
  <c r="V77" i="4"/>
  <c r="H383" i="7"/>
  <c r="L384" i="7"/>
  <c r="J384" i="7"/>
  <c r="K384" i="7"/>
  <c r="M384" i="7"/>
  <c r="AE94" i="7"/>
  <c r="AJ95" i="7"/>
  <c r="AM95" i="7"/>
  <c r="AL95" i="7"/>
  <c r="AK95" i="7"/>
  <c r="AD96" i="7"/>
  <c r="AF95" i="7"/>
  <c r="AG95" i="7"/>
  <c r="X117" i="7"/>
  <c r="AA117" i="7" s="1"/>
  <c r="V117" i="7"/>
  <c r="Y79" i="4" l="1"/>
  <c r="Z79" i="4"/>
  <c r="AA79" i="4"/>
  <c r="X79" i="4"/>
  <c r="V78" i="4"/>
  <c r="H384" i="7"/>
  <c r="K385" i="7"/>
  <c r="L385" i="7"/>
  <c r="M385" i="7"/>
  <c r="J385" i="7"/>
  <c r="AE95" i="7"/>
  <c r="AM96" i="7"/>
  <c r="AJ96" i="7"/>
  <c r="AL96" i="7"/>
  <c r="AK96" i="7"/>
  <c r="AD97" i="7"/>
  <c r="AF96" i="7"/>
  <c r="AG96" i="7"/>
  <c r="X118" i="7"/>
  <c r="AA118" i="7" s="1"/>
  <c r="V118" i="7"/>
  <c r="Y80" i="4" l="1"/>
  <c r="Z80" i="4"/>
  <c r="X80" i="4"/>
  <c r="AA80" i="4"/>
  <c r="V79" i="4"/>
  <c r="H385" i="7"/>
  <c r="K386" i="7"/>
  <c r="L386" i="7"/>
  <c r="J386" i="7"/>
  <c r="M386" i="7"/>
  <c r="AE96" i="7"/>
  <c r="AM97" i="7"/>
  <c r="AJ97" i="7"/>
  <c r="AL97" i="7"/>
  <c r="AK97" i="7"/>
  <c r="AD98" i="7"/>
  <c r="AF97" i="7"/>
  <c r="AG97" i="7"/>
  <c r="AE97" i="7" s="1"/>
  <c r="X119" i="7"/>
  <c r="AA119" i="7" s="1"/>
  <c r="V119" i="7"/>
  <c r="V81" i="4" l="1"/>
  <c r="Y81" i="4"/>
  <c r="Z81" i="4"/>
  <c r="X81" i="4"/>
  <c r="AA81" i="4"/>
  <c r="V80" i="4"/>
  <c r="H387" i="7"/>
  <c r="H386" i="7"/>
  <c r="L387" i="7"/>
  <c r="K387" i="7"/>
  <c r="J387" i="7"/>
  <c r="M387" i="7"/>
  <c r="AJ98" i="7"/>
  <c r="AM98" i="7"/>
  <c r="AK98" i="7"/>
  <c r="AL98" i="7"/>
  <c r="AD99" i="7"/>
  <c r="AF98" i="7"/>
  <c r="AG98" i="7"/>
  <c r="V120" i="7"/>
  <c r="X120" i="7"/>
  <c r="AA120" i="7" s="1"/>
  <c r="Y82" i="4" l="1"/>
  <c r="Z82" i="4"/>
  <c r="AA82" i="4"/>
  <c r="X82" i="4"/>
  <c r="K388" i="7"/>
  <c r="M388" i="7"/>
  <c r="L388" i="7"/>
  <c r="J388" i="7"/>
  <c r="AE98" i="7"/>
  <c r="AM99" i="7"/>
  <c r="AJ99" i="7"/>
  <c r="AL99" i="7"/>
  <c r="AK99" i="7"/>
  <c r="AD100" i="7"/>
  <c r="AF99" i="7"/>
  <c r="AG99" i="7"/>
  <c r="X121" i="7"/>
  <c r="AA121" i="7" s="1"/>
  <c r="V121" i="7"/>
  <c r="V82" i="4" l="1"/>
  <c r="AA83" i="4"/>
  <c r="Y83" i="4"/>
  <c r="Z83" i="4"/>
  <c r="X83" i="4"/>
  <c r="M389" i="7"/>
  <c r="J389" i="7"/>
  <c r="L389" i="7"/>
  <c r="H388" i="7"/>
  <c r="K389" i="7"/>
  <c r="AE99" i="7"/>
  <c r="AJ100" i="7"/>
  <c r="AM100" i="7"/>
  <c r="AL100" i="7"/>
  <c r="AK100" i="7"/>
  <c r="AD101" i="7"/>
  <c r="AF100" i="7"/>
  <c r="AG100" i="7"/>
  <c r="X122" i="7"/>
  <c r="AA122" i="7" s="1"/>
  <c r="V122" i="7"/>
  <c r="Z84" i="4" l="1"/>
  <c r="Y84" i="4"/>
  <c r="AA84" i="4"/>
  <c r="X84" i="4"/>
  <c r="V83" i="4"/>
  <c r="H389" i="7"/>
  <c r="K390" i="7"/>
  <c r="M390" i="7"/>
  <c r="L390" i="7"/>
  <c r="J390" i="7"/>
  <c r="AJ101" i="7"/>
  <c r="AM101" i="7"/>
  <c r="AK101" i="7"/>
  <c r="AL101" i="7"/>
  <c r="AE100" i="7"/>
  <c r="AD102" i="7"/>
  <c r="AF101" i="7"/>
  <c r="AG101" i="7"/>
  <c r="X123" i="7"/>
  <c r="AA123" i="7" s="1"/>
  <c r="V123" i="7"/>
  <c r="V84" i="4" l="1"/>
  <c r="X85" i="4"/>
  <c r="Z85" i="4"/>
  <c r="Y85" i="4"/>
  <c r="AA85" i="4"/>
  <c r="J391" i="7"/>
  <c r="H390" i="7"/>
  <c r="L391" i="7"/>
  <c r="K391" i="7"/>
  <c r="M391" i="7"/>
  <c r="AE101" i="7"/>
  <c r="AM102" i="7"/>
  <c r="AJ102" i="7"/>
  <c r="AK102" i="7"/>
  <c r="AL102" i="7"/>
  <c r="AD103" i="7"/>
  <c r="AF102" i="7"/>
  <c r="AG102" i="7"/>
  <c r="V124" i="7"/>
  <c r="X124" i="7"/>
  <c r="AA124" i="7" s="1"/>
  <c r="Z86" i="4" l="1"/>
  <c r="Y86" i="4"/>
  <c r="X86" i="4"/>
  <c r="AA86" i="4"/>
  <c r="V85" i="4"/>
  <c r="H391" i="7"/>
  <c r="L392" i="7"/>
  <c r="J392" i="7"/>
  <c r="K392" i="7"/>
  <c r="M392" i="7"/>
  <c r="AE102" i="7"/>
  <c r="AM103" i="7"/>
  <c r="AJ103" i="7"/>
  <c r="AK103" i="7"/>
  <c r="AL103" i="7"/>
  <c r="AD104" i="7"/>
  <c r="AF103" i="7"/>
  <c r="AG103" i="7"/>
  <c r="X125" i="7"/>
  <c r="AA125" i="7" s="1"/>
  <c r="V125" i="7"/>
  <c r="Z87" i="4" l="1"/>
  <c r="Y87" i="4"/>
  <c r="X87" i="4"/>
  <c r="AA87" i="4"/>
  <c r="V86" i="4"/>
  <c r="H392" i="7"/>
  <c r="L393" i="7"/>
  <c r="K393" i="7"/>
  <c r="J393" i="7"/>
  <c r="M393" i="7"/>
  <c r="AE103" i="7"/>
  <c r="AM104" i="7"/>
  <c r="AJ104" i="7"/>
  <c r="AL104" i="7"/>
  <c r="AK104" i="7"/>
  <c r="AD105" i="7"/>
  <c r="AF104" i="7"/>
  <c r="AG104" i="7"/>
  <c r="X126" i="7"/>
  <c r="AA126" i="7" s="1"/>
  <c r="V126" i="7"/>
  <c r="V87" i="4" l="1"/>
  <c r="Y88" i="4"/>
  <c r="Z88" i="4"/>
  <c r="X88" i="4"/>
  <c r="AA88" i="4"/>
  <c r="K394" i="7"/>
  <c r="L394" i="7"/>
  <c r="J394" i="7"/>
  <c r="H393" i="7"/>
  <c r="M394" i="7"/>
  <c r="AE104" i="7"/>
  <c r="AJ105" i="7"/>
  <c r="AM105" i="7"/>
  <c r="AK105" i="7"/>
  <c r="AL105" i="7"/>
  <c r="AD106" i="7"/>
  <c r="AF105" i="7"/>
  <c r="AG105" i="7"/>
  <c r="X127" i="7"/>
  <c r="AA127" i="7" s="1"/>
  <c r="V127" i="7"/>
  <c r="Z89" i="4" l="1"/>
  <c r="Y89" i="4"/>
  <c r="AA89" i="4"/>
  <c r="X89" i="4"/>
  <c r="V88" i="4"/>
  <c r="H394" i="7"/>
  <c r="L395" i="7"/>
  <c r="K395" i="7"/>
  <c r="M395" i="7"/>
  <c r="J395" i="7"/>
  <c r="AE105" i="7"/>
  <c r="AM106" i="7"/>
  <c r="AJ106" i="7"/>
  <c r="AK106" i="7"/>
  <c r="AL106" i="7"/>
  <c r="AD107" i="7"/>
  <c r="AF106" i="7"/>
  <c r="AG106" i="7"/>
  <c r="V128" i="7"/>
  <c r="X128" i="7"/>
  <c r="AA128" i="7" s="1"/>
  <c r="Z90" i="4" l="1"/>
  <c r="Y90" i="4"/>
  <c r="X90" i="4"/>
  <c r="AA90" i="4"/>
  <c r="V89" i="4"/>
  <c r="H395" i="7"/>
  <c r="K396" i="7"/>
  <c r="J396" i="7"/>
  <c r="L396" i="7"/>
  <c r="M396" i="7"/>
  <c r="AE106" i="7"/>
  <c r="AJ107" i="7"/>
  <c r="AM107" i="7"/>
  <c r="AK107" i="7"/>
  <c r="AL107" i="7"/>
  <c r="AD108" i="7"/>
  <c r="AF107" i="7"/>
  <c r="AG107" i="7"/>
  <c r="X129" i="7"/>
  <c r="AA129" i="7" s="1"/>
  <c r="V129" i="7"/>
  <c r="Z91" i="4" l="1"/>
  <c r="Y91" i="4"/>
  <c r="AA91" i="4"/>
  <c r="X91" i="4"/>
  <c r="V90" i="4"/>
  <c r="L397" i="7"/>
  <c r="H396" i="7"/>
  <c r="K397" i="7"/>
  <c r="M397" i="7"/>
  <c r="J397" i="7"/>
  <c r="AE107" i="7"/>
  <c r="AJ108" i="7"/>
  <c r="AM108" i="7"/>
  <c r="AL108" i="7"/>
  <c r="AK108" i="7"/>
  <c r="AD109" i="7"/>
  <c r="AF108" i="7"/>
  <c r="AG108" i="7"/>
  <c r="X130" i="7"/>
  <c r="AA130" i="7" s="1"/>
  <c r="V130" i="7"/>
  <c r="Y92" i="4" l="1"/>
  <c r="Z92" i="4"/>
  <c r="AA92" i="4"/>
  <c r="X92" i="4"/>
  <c r="V91" i="4"/>
  <c r="K398" i="7"/>
  <c r="L398" i="7"/>
  <c r="M398" i="7"/>
  <c r="H397" i="7"/>
  <c r="J398" i="7"/>
  <c r="AE108" i="7"/>
  <c r="AM109" i="7"/>
  <c r="AJ109" i="7"/>
  <c r="AL109" i="7"/>
  <c r="AK109" i="7"/>
  <c r="AD110" i="7"/>
  <c r="AF109" i="7"/>
  <c r="AG109" i="7"/>
  <c r="AE109" i="7" s="1"/>
  <c r="X131" i="7"/>
  <c r="AA131" i="7" s="1"/>
  <c r="V131" i="7"/>
  <c r="V93" i="4" l="1"/>
  <c r="Y93" i="4"/>
  <c r="Z93" i="4"/>
  <c r="X93" i="4"/>
  <c r="AA93" i="4"/>
  <c r="V92" i="4"/>
  <c r="H399" i="7"/>
  <c r="H398" i="7"/>
  <c r="K399" i="7"/>
  <c r="J399" i="7"/>
  <c r="L399" i="7"/>
  <c r="M399" i="7"/>
  <c r="AM110" i="7"/>
  <c r="AJ110" i="7"/>
  <c r="AL110" i="7"/>
  <c r="AK110" i="7"/>
  <c r="AD111" i="7"/>
  <c r="AF110" i="7"/>
  <c r="AG110" i="7"/>
  <c r="V132" i="7"/>
  <c r="X132" i="7"/>
  <c r="AA132" i="7" s="1"/>
  <c r="Y94" i="4" l="1"/>
  <c r="Z94" i="4"/>
  <c r="X94" i="4"/>
  <c r="AA94" i="4"/>
  <c r="K400" i="7"/>
  <c r="L400" i="7"/>
  <c r="M400" i="7"/>
  <c r="J400" i="7"/>
  <c r="AM111" i="7"/>
  <c r="AJ111" i="7"/>
  <c r="AK111" i="7"/>
  <c r="AL111" i="7"/>
  <c r="AE110" i="7"/>
  <c r="AD112" i="7"/>
  <c r="AF111" i="7"/>
  <c r="AG111" i="7"/>
  <c r="X133" i="7"/>
  <c r="AA133" i="7" s="1"/>
  <c r="V133" i="7"/>
  <c r="X95" i="4" l="1"/>
  <c r="AA95" i="4"/>
  <c r="V94" i="4"/>
  <c r="Z95" i="4"/>
  <c r="Y95" i="4"/>
  <c r="L401" i="7"/>
  <c r="J401" i="7"/>
  <c r="K401" i="7"/>
  <c r="M401" i="7"/>
  <c r="H400" i="7"/>
  <c r="AE111" i="7"/>
  <c r="AM112" i="7"/>
  <c r="AJ112" i="7"/>
  <c r="AL112" i="7"/>
  <c r="AK112" i="7"/>
  <c r="AD113" i="7"/>
  <c r="AF112" i="7"/>
  <c r="AG112" i="7"/>
  <c r="X134" i="7"/>
  <c r="AA134" i="7" s="1"/>
  <c r="V134" i="7"/>
  <c r="Y96" i="4" l="1"/>
  <c r="Z96" i="4"/>
  <c r="X96" i="4"/>
  <c r="AA96" i="4"/>
  <c r="V95" i="4"/>
  <c r="K402" i="7"/>
  <c r="H401" i="7"/>
  <c r="L402" i="7"/>
  <c r="J402" i="7"/>
  <c r="M402" i="7"/>
  <c r="AE112" i="7"/>
  <c r="AJ113" i="7"/>
  <c r="AM113" i="7"/>
  <c r="AL113" i="7"/>
  <c r="AK113" i="7"/>
  <c r="AD114" i="7"/>
  <c r="AF113" i="7"/>
  <c r="AG113" i="7"/>
  <c r="X135" i="7"/>
  <c r="AA135" i="7" s="1"/>
  <c r="V135" i="7"/>
  <c r="Y97" i="4" l="1"/>
  <c r="Z97" i="4"/>
  <c r="AA97" i="4"/>
  <c r="X97" i="4"/>
  <c r="V96" i="4"/>
  <c r="K403" i="7"/>
  <c r="L403" i="7"/>
  <c r="H402" i="7"/>
  <c r="M403" i="7"/>
  <c r="J403" i="7"/>
  <c r="AE113" i="7"/>
  <c r="AJ114" i="7"/>
  <c r="AM114" i="7"/>
  <c r="AK114" i="7"/>
  <c r="AL114" i="7"/>
  <c r="AD115" i="7"/>
  <c r="AF114" i="7"/>
  <c r="AG114" i="7"/>
  <c r="V136" i="7"/>
  <c r="X136" i="7"/>
  <c r="AA136" i="7" s="1"/>
  <c r="Z98" i="4" l="1"/>
  <c r="Y98" i="4"/>
  <c r="AA98" i="4"/>
  <c r="X98" i="4"/>
  <c r="V97" i="4"/>
  <c r="H403" i="7"/>
  <c r="L404" i="7"/>
  <c r="K404" i="7"/>
  <c r="M404" i="7"/>
  <c r="J404" i="7"/>
  <c r="AE114" i="7"/>
  <c r="AJ115" i="7"/>
  <c r="AM115" i="7"/>
  <c r="AK115" i="7"/>
  <c r="AL115" i="7"/>
  <c r="AD116" i="7"/>
  <c r="AF115" i="7"/>
  <c r="AG115" i="7"/>
  <c r="X137" i="7"/>
  <c r="AA137" i="7" s="1"/>
  <c r="V137" i="7"/>
  <c r="Z99" i="4" l="1"/>
  <c r="Y99" i="4"/>
  <c r="AA99" i="4"/>
  <c r="X99" i="4"/>
  <c r="V98" i="4"/>
  <c r="H404" i="7"/>
  <c r="K405" i="7"/>
  <c r="L405" i="7"/>
  <c r="M405" i="7"/>
  <c r="J405" i="7"/>
  <c r="AE115" i="7"/>
  <c r="AJ116" i="7"/>
  <c r="AM116" i="7"/>
  <c r="AL116" i="7"/>
  <c r="AK116" i="7"/>
  <c r="AD117" i="7"/>
  <c r="AF116" i="7"/>
  <c r="AG116" i="7"/>
  <c r="X138" i="7"/>
  <c r="AA138" i="7" s="1"/>
  <c r="V138" i="7"/>
  <c r="AA100" i="4" l="1"/>
  <c r="Z100" i="4"/>
  <c r="X100" i="4"/>
  <c r="Y100" i="4"/>
  <c r="V99" i="4"/>
  <c r="H405" i="7"/>
  <c r="K406" i="7"/>
  <c r="L406" i="7"/>
  <c r="M406" i="7"/>
  <c r="J406" i="7"/>
  <c r="AE116" i="7"/>
  <c r="AJ117" i="7"/>
  <c r="AM117" i="7"/>
  <c r="AL117" i="7"/>
  <c r="AK117" i="7"/>
  <c r="AD118" i="7"/>
  <c r="AF117" i="7"/>
  <c r="AG117" i="7"/>
  <c r="X139" i="7"/>
  <c r="AA139" i="7" s="1"/>
  <c r="V139" i="7"/>
  <c r="Y101" i="4" l="1"/>
  <c r="Z101" i="4"/>
  <c r="AA101" i="4"/>
  <c r="X101" i="4"/>
  <c r="V100" i="4"/>
  <c r="H406" i="7"/>
  <c r="K407" i="7"/>
  <c r="L407" i="7"/>
  <c r="M407" i="7"/>
  <c r="J407" i="7"/>
  <c r="AE117" i="7"/>
  <c r="AJ118" i="7"/>
  <c r="AM118" i="7"/>
  <c r="AL118" i="7"/>
  <c r="AK118" i="7"/>
  <c r="AD119" i="7"/>
  <c r="AF118" i="7"/>
  <c r="AG118" i="7"/>
  <c r="V140" i="7"/>
  <c r="X140" i="7"/>
  <c r="AA140" i="7" s="1"/>
  <c r="Y102" i="4" l="1"/>
  <c r="Z102" i="4"/>
  <c r="AA102" i="4"/>
  <c r="X102" i="4"/>
  <c r="V101" i="4"/>
  <c r="H407" i="7"/>
  <c r="K408" i="7"/>
  <c r="M408" i="7"/>
  <c r="L408" i="7"/>
  <c r="J408" i="7"/>
  <c r="AJ119" i="7"/>
  <c r="AM119" i="7"/>
  <c r="AL119" i="7"/>
  <c r="AK119" i="7"/>
  <c r="AE118" i="7"/>
  <c r="AD120" i="7"/>
  <c r="AF119" i="7"/>
  <c r="AG119" i="7"/>
  <c r="X141" i="7"/>
  <c r="AA141" i="7" s="1"/>
  <c r="V141" i="7"/>
  <c r="V102" i="4" l="1"/>
  <c r="Y103" i="4"/>
  <c r="Z103" i="4"/>
  <c r="AA103" i="4"/>
  <c r="X103" i="4"/>
  <c r="J409" i="7"/>
  <c r="H408" i="7"/>
  <c r="K409" i="7"/>
  <c r="L409" i="7"/>
  <c r="M409" i="7"/>
  <c r="AE119" i="7"/>
  <c r="AM120" i="7"/>
  <c r="AJ120" i="7"/>
  <c r="AK120" i="7"/>
  <c r="AL120" i="7"/>
  <c r="AD121" i="7"/>
  <c r="AF120" i="7"/>
  <c r="AG120" i="7"/>
  <c r="X142" i="7"/>
  <c r="AA142" i="7" s="1"/>
  <c r="V142" i="7"/>
  <c r="Z104" i="4" l="1"/>
  <c r="Y104" i="4"/>
  <c r="X104" i="4"/>
  <c r="AA104" i="4"/>
  <c r="V103" i="4"/>
  <c r="H409" i="7"/>
  <c r="L410" i="7"/>
  <c r="K410" i="7"/>
  <c r="J410" i="7"/>
  <c r="M410" i="7"/>
  <c r="AE120" i="7"/>
  <c r="AJ121" i="7"/>
  <c r="AM121" i="7"/>
  <c r="AK121" i="7"/>
  <c r="AL121" i="7"/>
  <c r="AD122" i="7"/>
  <c r="AF121" i="7"/>
  <c r="AG121" i="7"/>
  <c r="X143" i="7"/>
  <c r="AA143" i="7" s="1"/>
  <c r="V143" i="7"/>
  <c r="Z105" i="4" l="1"/>
  <c r="Y105" i="4"/>
  <c r="AA105" i="4"/>
  <c r="X105" i="4"/>
  <c r="V104" i="4"/>
  <c r="H410" i="7"/>
  <c r="K411" i="7"/>
  <c r="M411" i="7"/>
  <c r="L411" i="7"/>
  <c r="J411" i="7"/>
  <c r="AM122" i="7"/>
  <c r="AJ122" i="7"/>
  <c r="AL122" i="7"/>
  <c r="AK122" i="7"/>
  <c r="AE121" i="7"/>
  <c r="AD123" i="7"/>
  <c r="AF122" i="7"/>
  <c r="AG122" i="7"/>
  <c r="V144" i="7"/>
  <c r="X144" i="7"/>
  <c r="AA144" i="7" s="1"/>
  <c r="V105" i="4" l="1"/>
  <c r="Y106" i="4"/>
  <c r="Z106" i="4"/>
  <c r="X106" i="4"/>
  <c r="AA106" i="4"/>
  <c r="M412" i="7"/>
  <c r="K412" i="7"/>
  <c r="L412" i="7"/>
  <c r="H411" i="7"/>
  <c r="J412" i="7"/>
  <c r="AE122" i="7"/>
  <c r="AJ123" i="7"/>
  <c r="AM123" i="7"/>
  <c r="AL123" i="7"/>
  <c r="AK123" i="7"/>
  <c r="AD124" i="7"/>
  <c r="AF123" i="7"/>
  <c r="AG123" i="7"/>
  <c r="X145" i="7"/>
  <c r="AA145" i="7" s="1"/>
  <c r="V145" i="7"/>
  <c r="Y107" i="4" l="1"/>
  <c r="Z107" i="4"/>
  <c r="AA107" i="4"/>
  <c r="X107" i="4"/>
  <c r="V106" i="4"/>
  <c r="L413" i="7"/>
  <c r="H412" i="7"/>
  <c r="K413" i="7"/>
  <c r="M413" i="7"/>
  <c r="J413" i="7"/>
  <c r="AE123" i="7"/>
  <c r="AJ124" i="7"/>
  <c r="AM124" i="7"/>
  <c r="AK124" i="7"/>
  <c r="AL124" i="7"/>
  <c r="AD125" i="7"/>
  <c r="AF124" i="7"/>
  <c r="AG124" i="7"/>
  <c r="X146" i="7"/>
  <c r="AA146" i="7" s="1"/>
  <c r="V146" i="7"/>
  <c r="Z108" i="4" l="1"/>
  <c r="Y108" i="4"/>
  <c r="AA108" i="4"/>
  <c r="X108" i="4"/>
  <c r="V107" i="4"/>
  <c r="H413" i="7"/>
  <c r="L414" i="7"/>
  <c r="K414" i="7"/>
  <c r="M414" i="7"/>
  <c r="J414" i="7"/>
  <c r="AE124" i="7"/>
  <c r="AJ125" i="7"/>
  <c r="AM125" i="7"/>
  <c r="AL125" i="7"/>
  <c r="AK125" i="7"/>
  <c r="AD126" i="7"/>
  <c r="AF125" i="7"/>
  <c r="AG125" i="7"/>
  <c r="X147" i="7"/>
  <c r="AA147" i="7" s="1"/>
  <c r="V147" i="7"/>
  <c r="Y109" i="4" l="1"/>
  <c r="Z109" i="4"/>
  <c r="AA109" i="4"/>
  <c r="X109" i="4"/>
  <c r="V108" i="4"/>
  <c r="H414" i="7"/>
  <c r="L415" i="7"/>
  <c r="K415" i="7"/>
  <c r="M415" i="7"/>
  <c r="J415" i="7"/>
  <c r="AE125" i="7"/>
  <c r="AM126" i="7"/>
  <c r="AJ126" i="7"/>
  <c r="AK126" i="7"/>
  <c r="AL126" i="7"/>
  <c r="AD127" i="7"/>
  <c r="AF126" i="7"/>
  <c r="AG126" i="7"/>
  <c r="V148" i="7"/>
  <c r="X148" i="7"/>
  <c r="AA148" i="7" s="1"/>
  <c r="Z110" i="4" l="1"/>
  <c r="Y110" i="4"/>
  <c r="X110" i="4"/>
  <c r="AA110" i="4"/>
  <c r="V109" i="4"/>
  <c r="H415" i="7"/>
  <c r="L416" i="7"/>
  <c r="K416" i="7"/>
  <c r="J416" i="7"/>
  <c r="M416" i="7"/>
  <c r="AE126" i="7"/>
  <c r="AM127" i="7"/>
  <c r="AJ127" i="7"/>
  <c r="AL127" i="7"/>
  <c r="AK127" i="7"/>
  <c r="AD128" i="7"/>
  <c r="AF127" i="7"/>
  <c r="AG127" i="7"/>
  <c r="X149" i="7"/>
  <c r="AA149" i="7" s="1"/>
  <c r="V149" i="7"/>
  <c r="Y111" i="4" l="1"/>
  <c r="Z111" i="4"/>
  <c r="X111" i="4"/>
  <c r="AA111" i="4"/>
  <c r="V110" i="4"/>
  <c r="H416" i="7"/>
  <c r="K417" i="7"/>
  <c r="L417" i="7"/>
  <c r="J417" i="7"/>
  <c r="M417" i="7"/>
  <c r="AE127" i="7"/>
  <c r="AJ128" i="7"/>
  <c r="AM128" i="7"/>
  <c r="AK128" i="7"/>
  <c r="AL128" i="7"/>
  <c r="AD129" i="7"/>
  <c r="AF128" i="7"/>
  <c r="AG128" i="7"/>
  <c r="X150" i="7"/>
  <c r="AA150" i="7" s="1"/>
  <c r="V150" i="7"/>
  <c r="Z112" i="4" l="1"/>
  <c r="Y112" i="4"/>
  <c r="AA112" i="4"/>
  <c r="X112" i="4"/>
  <c r="V111" i="4"/>
  <c r="H417" i="7"/>
  <c r="L418" i="7"/>
  <c r="K418" i="7"/>
  <c r="M418" i="7"/>
  <c r="J418" i="7"/>
  <c r="AE128" i="7"/>
  <c r="AM129" i="7"/>
  <c r="AJ129" i="7"/>
  <c r="AK129" i="7"/>
  <c r="AL129" i="7"/>
  <c r="AD130" i="7"/>
  <c r="AF129" i="7"/>
  <c r="AG129" i="7"/>
  <c r="X151" i="7"/>
  <c r="AA151" i="7" s="1"/>
  <c r="V151" i="7"/>
  <c r="Z113" i="4" l="1"/>
  <c r="Y113" i="4"/>
  <c r="X113" i="4"/>
  <c r="AA113" i="4"/>
  <c r="V112" i="4"/>
  <c r="K419" i="7"/>
  <c r="H418" i="7"/>
  <c r="L419" i="7"/>
  <c r="J419" i="7"/>
  <c r="M419" i="7"/>
  <c r="AE129" i="7"/>
  <c r="AJ130" i="7"/>
  <c r="AM130" i="7"/>
  <c r="AL130" i="7"/>
  <c r="AK130" i="7"/>
  <c r="AD131" i="7"/>
  <c r="AF130" i="7"/>
  <c r="AG130" i="7"/>
  <c r="V152" i="7"/>
  <c r="X152" i="7"/>
  <c r="AA152" i="7" s="1"/>
  <c r="Y114" i="4" l="1"/>
  <c r="Z114" i="4"/>
  <c r="AA114" i="4"/>
  <c r="X114" i="4"/>
  <c r="V113" i="4"/>
  <c r="K420" i="7"/>
  <c r="H419" i="7"/>
  <c r="L420" i="7"/>
  <c r="M420" i="7"/>
  <c r="J420" i="7"/>
  <c r="AE130" i="7"/>
  <c r="AM131" i="7"/>
  <c r="AJ131" i="7"/>
  <c r="AK131" i="7"/>
  <c r="AL131" i="7"/>
  <c r="AD132" i="7"/>
  <c r="AF131" i="7"/>
  <c r="AG131" i="7"/>
  <c r="X153" i="7"/>
  <c r="AA153" i="7" s="1"/>
  <c r="V153" i="7"/>
  <c r="Z115" i="4" l="1"/>
  <c r="Y115" i="4"/>
  <c r="X115" i="4"/>
  <c r="AA115" i="4"/>
  <c r="V114" i="4"/>
  <c r="J421" i="7"/>
  <c r="H420" i="7"/>
  <c r="L421" i="7"/>
  <c r="K421" i="7"/>
  <c r="M421" i="7"/>
  <c r="AE131" i="7"/>
  <c r="AJ132" i="7"/>
  <c r="AM132" i="7"/>
  <c r="AK132" i="7"/>
  <c r="AL132" i="7"/>
  <c r="AD133" i="7"/>
  <c r="AF132" i="7"/>
  <c r="AG132" i="7"/>
  <c r="X154" i="7"/>
  <c r="AA154" i="7" s="1"/>
  <c r="V154" i="7"/>
  <c r="Z116" i="4" l="1"/>
  <c r="Y116" i="4"/>
  <c r="AA116" i="4"/>
  <c r="X116" i="4"/>
  <c r="V115" i="4"/>
  <c r="H421" i="7"/>
  <c r="L422" i="7"/>
  <c r="K422" i="7"/>
  <c r="M422" i="7"/>
  <c r="J422" i="7"/>
  <c r="AE132" i="7"/>
  <c r="AJ133" i="7"/>
  <c r="AM133" i="7"/>
  <c r="AK133" i="7"/>
  <c r="AL133" i="7"/>
  <c r="AD134" i="7"/>
  <c r="AF133" i="7"/>
  <c r="AG133" i="7"/>
  <c r="X155" i="7"/>
  <c r="AA155" i="7" s="1"/>
  <c r="V155" i="7"/>
  <c r="Z117" i="4" l="1"/>
  <c r="Y117" i="4"/>
  <c r="AA117" i="4"/>
  <c r="X117" i="4"/>
  <c r="V116" i="4"/>
  <c r="H422" i="7"/>
  <c r="L423" i="7"/>
  <c r="K423" i="7"/>
  <c r="M423" i="7"/>
  <c r="J423" i="7"/>
  <c r="AE133" i="7"/>
  <c r="AJ134" i="7"/>
  <c r="AM134" i="7"/>
  <c r="AK134" i="7"/>
  <c r="AL134" i="7"/>
  <c r="AD135" i="7"/>
  <c r="AF134" i="7"/>
  <c r="AG134" i="7"/>
  <c r="V156" i="7"/>
  <c r="X156" i="7"/>
  <c r="AA156" i="7" s="1"/>
  <c r="Z118" i="4" l="1"/>
  <c r="Y118" i="4"/>
  <c r="AA118" i="4"/>
  <c r="X118" i="4"/>
  <c r="V117" i="4"/>
  <c r="H423" i="7"/>
  <c r="K424" i="7"/>
  <c r="L424" i="7"/>
  <c r="M424" i="7"/>
  <c r="J424" i="7"/>
  <c r="AE134" i="7"/>
  <c r="AJ135" i="7"/>
  <c r="AM135" i="7"/>
  <c r="AL135" i="7"/>
  <c r="AK135" i="7"/>
  <c r="AD136" i="7"/>
  <c r="AF135" i="7"/>
  <c r="AG135" i="7"/>
  <c r="X157" i="7"/>
  <c r="AA157" i="7" s="1"/>
  <c r="V157" i="7"/>
  <c r="Y119" i="4" l="1"/>
  <c r="Z119" i="4"/>
  <c r="AA119" i="4"/>
  <c r="X119" i="4"/>
  <c r="V118" i="4"/>
  <c r="H424" i="7"/>
  <c r="K425" i="7"/>
  <c r="L425" i="7"/>
  <c r="M425" i="7"/>
  <c r="J425" i="7"/>
  <c r="AE135" i="7"/>
  <c r="AM136" i="7"/>
  <c r="AJ136" i="7"/>
  <c r="AK136" i="7"/>
  <c r="AL136" i="7"/>
  <c r="AD137" i="7"/>
  <c r="AF136" i="7"/>
  <c r="AG136" i="7"/>
  <c r="X158" i="7"/>
  <c r="AA158" i="7" s="1"/>
  <c r="V158" i="7"/>
  <c r="Z120" i="4" l="1"/>
  <c r="X120" i="4"/>
  <c r="V119" i="4"/>
  <c r="Y120" i="4"/>
  <c r="AA120" i="4"/>
  <c r="H425" i="7"/>
  <c r="K426" i="7"/>
  <c r="L426" i="7"/>
  <c r="J426" i="7"/>
  <c r="M426" i="7"/>
  <c r="AE136" i="7"/>
  <c r="AM137" i="7"/>
  <c r="AJ137" i="7"/>
  <c r="AK137" i="7"/>
  <c r="AL137" i="7"/>
  <c r="AD138" i="7"/>
  <c r="AF137" i="7"/>
  <c r="AG137" i="7"/>
  <c r="X159" i="7"/>
  <c r="AA159" i="7" s="1"/>
  <c r="V159" i="7"/>
  <c r="Z121" i="4" l="1"/>
  <c r="Y121" i="4"/>
  <c r="X121" i="4"/>
  <c r="AA121" i="4"/>
  <c r="V120" i="4"/>
  <c r="H426" i="7"/>
  <c r="K427" i="7"/>
  <c r="L427" i="7"/>
  <c r="J427" i="7"/>
  <c r="M427" i="7"/>
  <c r="AE137" i="7"/>
  <c r="AJ138" i="7"/>
  <c r="AM138" i="7"/>
  <c r="AL138" i="7"/>
  <c r="AK138" i="7"/>
  <c r="AD139" i="7"/>
  <c r="AF138" i="7"/>
  <c r="AG138" i="7"/>
  <c r="V160" i="7"/>
  <c r="X160" i="7"/>
  <c r="AA160" i="7" s="1"/>
  <c r="Y122" i="4" l="1"/>
  <c r="Z122" i="4"/>
  <c r="AA122" i="4"/>
  <c r="X122" i="4"/>
  <c r="V121" i="4"/>
  <c r="K428" i="7"/>
  <c r="L428" i="7"/>
  <c r="M428" i="7"/>
  <c r="H427" i="7"/>
  <c r="J428" i="7"/>
  <c r="AE138" i="7"/>
  <c r="AM139" i="7"/>
  <c r="AJ139" i="7"/>
  <c r="AL139" i="7"/>
  <c r="AK139" i="7"/>
  <c r="AD140" i="7"/>
  <c r="AF139" i="7"/>
  <c r="AG139" i="7"/>
  <c r="X161" i="7"/>
  <c r="AA161" i="7" s="1"/>
  <c r="V161" i="7"/>
  <c r="Y123" i="4" l="1"/>
  <c r="Z123" i="4"/>
  <c r="X123" i="4"/>
  <c r="AA123" i="4"/>
  <c r="V122" i="4"/>
  <c r="H428" i="7"/>
  <c r="K429" i="7"/>
  <c r="L429" i="7"/>
  <c r="J429" i="7"/>
  <c r="M429" i="7"/>
  <c r="AE139" i="7"/>
  <c r="AM140" i="7"/>
  <c r="AJ140" i="7"/>
  <c r="AL140" i="7"/>
  <c r="AK140" i="7"/>
  <c r="AD141" i="7"/>
  <c r="AF140" i="7"/>
  <c r="AG140" i="7"/>
  <c r="AE140" i="7" s="1"/>
  <c r="X162" i="7"/>
  <c r="AA162" i="7" s="1"/>
  <c r="V162" i="7"/>
  <c r="V124" i="4" l="1"/>
  <c r="Y124" i="4"/>
  <c r="Z124" i="4"/>
  <c r="X124" i="4"/>
  <c r="AA124" i="4"/>
  <c r="V123" i="4"/>
  <c r="K430" i="7"/>
  <c r="H429" i="7"/>
  <c r="J430" i="7"/>
  <c r="H430" i="7"/>
  <c r="L430" i="7"/>
  <c r="M430" i="7"/>
  <c r="AJ141" i="7"/>
  <c r="AM141" i="7"/>
  <c r="AK141" i="7"/>
  <c r="AL141" i="7"/>
  <c r="AD142" i="7"/>
  <c r="AF141" i="7"/>
  <c r="AG141" i="7"/>
  <c r="X163" i="7"/>
  <c r="AA163" i="7" s="1"/>
  <c r="V163" i="7"/>
  <c r="Z125" i="4" l="1"/>
  <c r="Y125" i="4"/>
  <c r="AA125" i="4"/>
  <c r="X125" i="4"/>
  <c r="K431" i="7"/>
  <c r="L431" i="7"/>
  <c r="M431" i="7"/>
  <c r="J431" i="7"/>
  <c r="AE141" i="7"/>
  <c r="AJ142" i="7"/>
  <c r="AM142" i="7"/>
  <c r="AK142" i="7"/>
  <c r="AL142" i="7"/>
  <c r="AD143" i="7"/>
  <c r="AF142" i="7"/>
  <c r="AG142" i="7"/>
  <c r="V164" i="7"/>
  <c r="X164" i="7"/>
  <c r="AA164" i="7" s="1"/>
  <c r="X126" i="4" l="1"/>
  <c r="V125" i="4"/>
  <c r="Z126" i="4"/>
  <c r="Y126" i="4"/>
  <c r="AA126" i="4"/>
  <c r="K432" i="7"/>
  <c r="J432" i="7"/>
  <c r="H431" i="7"/>
  <c r="M432" i="7"/>
  <c r="L432" i="7"/>
  <c r="AE142" i="7"/>
  <c r="AJ143" i="7"/>
  <c r="AM143" i="7"/>
  <c r="AL143" i="7"/>
  <c r="AK143" i="7"/>
  <c r="AD144" i="7"/>
  <c r="AF143" i="7"/>
  <c r="AG143" i="7"/>
  <c r="X165" i="7"/>
  <c r="AA165" i="7" s="1"/>
  <c r="V165" i="7"/>
  <c r="Y127" i="4" l="1"/>
  <c r="Z127" i="4"/>
  <c r="AA127" i="4"/>
  <c r="X127" i="4"/>
  <c r="V126" i="4"/>
  <c r="H432" i="7"/>
  <c r="K433" i="7"/>
  <c r="L433" i="7"/>
  <c r="M433" i="7"/>
  <c r="J433" i="7"/>
  <c r="AE143" i="7"/>
  <c r="AJ144" i="7"/>
  <c r="AM144" i="7"/>
  <c r="AK144" i="7"/>
  <c r="AL144" i="7"/>
  <c r="AD145" i="7"/>
  <c r="AF144" i="7"/>
  <c r="AG144" i="7"/>
  <c r="AE144" i="7" s="1"/>
  <c r="X167" i="7"/>
  <c r="AA167" i="7" s="1"/>
  <c r="V167" i="7"/>
  <c r="V128" i="4" l="1"/>
  <c r="Z128" i="4"/>
  <c r="Y128" i="4"/>
  <c r="AA128" i="4"/>
  <c r="X128" i="4"/>
  <c r="V127" i="4"/>
  <c r="H434" i="7"/>
  <c r="H433" i="7"/>
  <c r="L434" i="7"/>
  <c r="K434" i="7"/>
  <c r="M434" i="7"/>
  <c r="J434" i="7"/>
  <c r="AM145" i="7"/>
  <c r="AJ145" i="7"/>
  <c r="AL145" i="7"/>
  <c r="AK145" i="7"/>
  <c r="AD146" i="7"/>
  <c r="AF145" i="7"/>
  <c r="AG145" i="7"/>
  <c r="X168" i="7"/>
  <c r="AA168" i="7" s="1"/>
  <c r="V168" i="7"/>
  <c r="Y129" i="4" l="1"/>
  <c r="X129" i="4"/>
  <c r="Z129" i="4"/>
  <c r="AA129" i="4"/>
  <c r="M435" i="7"/>
  <c r="K435" i="7"/>
  <c r="L435" i="7"/>
  <c r="J435" i="7"/>
  <c r="AE145" i="7"/>
  <c r="AM146" i="7"/>
  <c r="AJ146" i="7"/>
  <c r="AK146" i="7"/>
  <c r="AL146" i="7"/>
  <c r="AD147" i="7"/>
  <c r="AF146" i="7"/>
  <c r="AG146" i="7"/>
  <c r="AE146" i="7" s="1"/>
  <c r="V169" i="7"/>
  <c r="X169" i="7"/>
  <c r="AA169" i="7" s="1"/>
  <c r="AA130" i="4" l="1"/>
  <c r="V129" i="4"/>
  <c r="V130" i="4"/>
  <c r="Z130" i="4"/>
  <c r="Y130" i="4"/>
  <c r="X130" i="4"/>
  <c r="J436" i="7"/>
  <c r="M436" i="7"/>
  <c r="K436" i="7"/>
  <c r="H435" i="7"/>
  <c r="H436" i="7"/>
  <c r="L436" i="7"/>
  <c r="AJ147" i="7"/>
  <c r="AM147" i="7"/>
  <c r="AK147" i="7"/>
  <c r="AL147" i="7"/>
  <c r="AD148" i="7"/>
  <c r="AF147" i="7"/>
  <c r="AG147" i="7"/>
  <c r="X170" i="7"/>
  <c r="AA170" i="7" s="1"/>
  <c r="V170" i="7"/>
  <c r="Z131" i="4" l="1"/>
  <c r="Y131" i="4"/>
  <c r="AA131" i="4"/>
  <c r="X131" i="4"/>
  <c r="M437" i="7"/>
  <c r="J437" i="7"/>
  <c r="L437" i="7"/>
  <c r="K437" i="7"/>
  <c r="AE147" i="7"/>
  <c r="AJ148" i="7"/>
  <c r="AM148" i="7"/>
  <c r="AK148" i="7"/>
  <c r="AL148" i="7"/>
  <c r="AD149" i="7"/>
  <c r="AF148" i="7"/>
  <c r="AG148" i="7"/>
  <c r="AE148" i="7" s="1"/>
  <c r="X171" i="7"/>
  <c r="AA171" i="7" s="1"/>
  <c r="V171" i="7"/>
  <c r="X132" i="4" l="1"/>
  <c r="V131" i="4"/>
  <c r="V132" i="4"/>
  <c r="Z132" i="4"/>
  <c r="Y132" i="4"/>
  <c r="AA132" i="4"/>
  <c r="J438" i="7"/>
  <c r="H438" i="7"/>
  <c r="K438" i="7"/>
  <c r="M438" i="7"/>
  <c r="H437" i="7"/>
  <c r="L438" i="7"/>
  <c r="AM149" i="7"/>
  <c r="AJ149" i="7"/>
  <c r="AL149" i="7"/>
  <c r="AK149" i="7"/>
  <c r="AD150" i="7"/>
  <c r="AF149" i="7"/>
  <c r="AG149" i="7"/>
  <c r="X172" i="7"/>
  <c r="AA172" i="7" s="1"/>
  <c r="V172" i="7"/>
  <c r="Y133" i="4" l="1"/>
  <c r="Z133" i="4"/>
  <c r="X133" i="4"/>
  <c r="AA133" i="4"/>
  <c r="M439" i="7"/>
  <c r="K439" i="7"/>
  <c r="L439" i="7"/>
  <c r="J439" i="7"/>
  <c r="AE149" i="7"/>
  <c r="AJ150" i="7"/>
  <c r="AM150" i="7"/>
  <c r="AL150" i="7"/>
  <c r="AK150" i="7"/>
  <c r="AD151" i="7"/>
  <c r="AF150" i="7"/>
  <c r="AG150" i="7"/>
  <c r="V173" i="7"/>
  <c r="X173" i="7"/>
  <c r="AA173" i="7" s="1"/>
  <c r="X134" i="4" l="1"/>
  <c r="V133" i="4"/>
  <c r="Y134" i="4"/>
  <c r="Z134" i="4"/>
  <c r="AA134" i="4"/>
  <c r="L440" i="7"/>
  <c r="J440" i="7"/>
  <c r="H439" i="7"/>
  <c r="M440" i="7"/>
  <c r="K440" i="7"/>
  <c r="AE150" i="7"/>
  <c r="AJ151" i="7"/>
  <c r="AM151" i="7"/>
  <c r="AK151" i="7"/>
  <c r="AL151" i="7"/>
  <c r="AD152" i="7"/>
  <c r="AF151" i="7"/>
  <c r="AG151" i="7"/>
  <c r="X174" i="7"/>
  <c r="AA174" i="7" s="1"/>
  <c r="V174" i="7"/>
  <c r="Z135" i="4" l="1"/>
  <c r="Y135" i="4"/>
  <c r="AA135" i="4"/>
  <c r="X135" i="4"/>
  <c r="V134" i="4"/>
  <c r="H440" i="7"/>
  <c r="L441" i="7"/>
  <c r="K441" i="7"/>
  <c r="M441" i="7"/>
  <c r="J441" i="7"/>
  <c r="AE151" i="7"/>
  <c r="AJ152" i="7"/>
  <c r="AM152" i="7"/>
  <c r="AK152" i="7"/>
  <c r="AL152" i="7"/>
  <c r="AD153" i="7"/>
  <c r="AF152" i="7"/>
  <c r="AG152" i="7"/>
  <c r="AE152" i="7" s="1"/>
  <c r="X175" i="7"/>
  <c r="AA175" i="7" s="1"/>
  <c r="V175" i="7"/>
  <c r="AA136" i="4" l="1"/>
  <c r="V136" i="4"/>
  <c r="Z136" i="4"/>
  <c r="Y136" i="4"/>
  <c r="X136" i="4"/>
  <c r="V135" i="4"/>
  <c r="H442" i="7"/>
  <c r="K442" i="7"/>
  <c r="H441" i="7"/>
  <c r="L442" i="7"/>
  <c r="M442" i="7"/>
  <c r="J442" i="7"/>
  <c r="AM153" i="7"/>
  <c r="AJ153" i="7"/>
  <c r="AL153" i="7"/>
  <c r="AK153" i="7"/>
  <c r="AD154" i="7"/>
  <c r="AF153" i="7"/>
  <c r="AG153" i="7"/>
  <c r="X176" i="7"/>
  <c r="AA176" i="7" s="1"/>
  <c r="V176" i="7"/>
  <c r="Z137" i="4" l="1"/>
  <c r="Y137" i="4"/>
  <c r="X137" i="4"/>
  <c r="AA137" i="4"/>
  <c r="L443" i="7"/>
  <c r="K443" i="7"/>
  <c r="M443" i="7"/>
  <c r="J443" i="7"/>
  <c r="AE153" i="7"/>
  <c r="AJ154" i="7"/>
  <c r="AM154" i="7"/>
  <c r="AK154" i="7"/>
  <c r="AL154" i="7"/>
  <c r="AD155" i="7"/>
  <c r="AF154" i="7"/>
  <c r="AG154" i="7"/>
  <c r="AE154" i="7" s="1"/>
  <c r="V177" i="7"/>
  <c r="X177" i="7"/>
  <c r="AA177" i="7" s="1"/>
  <c r="X138" i="4" l="1"/>
  <c r="V137" i="4"/>
  <c r="V138" i="4"/>
  <c r="Z138" i="4"/>
  <c r="Y138" i="4"/>
  <c r="AA138" i="4"/>
  <c r="M444" i="7"/>
  <c r="H443" i="7"/>
  <c r="H444" i="7"/>
  <c r="K444" i="7"/>
  <c r="J444" i="7"/>
  <c r="L444" i="7"/>
  <c r="AJ155" i="7"/>
  <c r="AM155" i="7"/>
  <c r="AK155" i="7"/>
  <c r="AL155" i="7"/>
  <c r="AD156" i="7"/>
  <c r="AF155" i="7"/>
  <c r="AG155" i="7"/>
  <c r="X178" i="7"/>
  <c r="AA178" i="7" s="1"/>
  <c r="V178" i="7"/>
  <c r="Z139" i="4" l="1"/>
  <c r="Y139" i="4"/>
  <c r="AA139" i="4"/>
  <c r="X139" i="4"/>
  <c r="L445" i="7"/>
  <c r="K445" i="7"/>
  <c r="M445" i="7"/>
  <c r="J445" i="7"/>
  <c r="AE155" i="7"/>
  <c r="AM156" i="7"/>
  <c r="AJ156" i="7"/>
  <c r="AK156" i="7"/>
  <c r="AL156" i="7"/>
  <c r="AD157" i="7"/>
  <c r="AF156" i="7"/>
  <c r="AG156" i="7"/>
  <c r="X179" i="7"/>
  <c r="AA179" i="7" s="1"/>
  <c r="V179" i="7"/>
  <c r="AA140" i="4" l="1"/>
  <c r="V139" i="4"/>
  <c r="Z140" i="4"/>
  <c r="Y140" i="4"/>
  <c r="X140" i="4"/>
  <c r="H445" i="7"/>
  <c r="J446" i="7"/>
  <c r="K446" i="7"/>
  <c r="M446" i="7"/>
  <c r="L446" i="7"/>
  <c r="AE156" i="7"/>
  <c r="AJ157" i="7"/>
  <c r="AM157" i="7"/>
  <c r="AK157" i="7"/>
  <c r="AL157" i="7"/>
  <c r="AD158" i="7"/>
  <c r="AF157" i="7"/>
  <c r="AG157" i="7"/>
  <c r="X180" i="7"/>
  <c r="AA180" i="7" s="1"/>
  <c r="V180" i="7"/>
  <c r="Z141" i="4" l="1"/>
  <c r="Y141" i="4"/>
  <c r="AA141" i="4"/>
  <c r="X141" i="4"/>
  <c r="V140" i="4"/>
  <c r="H446" i="7"/>
  <c r="L447" i="7"/>
  <c r="K447" i="7"/>
  <c r="M447" i="7"/>
  <c r="J447" i="7"/>
  <c r="AE157" i="7"/>
  <c r="AM158" i="7"/>
  <c r="AJ158" i="7"/>
  <c r="AL158" i="7"/>
  <c r="AK158" i="7"/>
  <c r="AD159" i="7"/>
  <c r="AF158" i="7"/>
  <c r="AG158" i="7"/>
  <c r="V181" i="7"/>
  <c r="X181" i="7"/>
  <c r="AA181" i="7" s="1"/>
  <c r="Y142" i="4" l="1"/>
  <c r="Z142" i="4"/>
  <c r="X142" i="4"/>
  <c r="AA142" i="4"/>
  <c r="V141" i="4"/>
  <c r="H447" i="7"/>
  <c r="K448" i="7"/>
  <c r="L448" i="7"/>
  <c r="J448" i="7"/>
  <c r="M448" i="7"/>
  <c r="AE158" i="7"/>
  <c r="AM159" i="7"/>
  <c r="AJ159" i="7"/>
  <c r="AL159" i="7"/>
  <c r="AK159" i="7"/>
  <c r="AD160" i="7"/>
  <c r="AF159" i="7"/>
  <c r="AG159" i="7"/>
  <c r="X182" i="7"/>
  <c r="AA182" i="7" s="1"/>
  <c r="V182" i="7"/>
  <c r="Y143" i="4" l="1"/>
  <c r="Z143" i="4"/>
  <c r="X143" i="4"/>
  <c r="AA143" i="4"/>
  <c r="V142" i="4"/>
  <c r="H448" i="7"/>
  <c r="K449" i="7"/>
  <c r="L449" i="7"/>
  <c r="J449" i="7"/>
  <c r="M449" i="7"/>
  <c r="AE159" i="7"/>
  <c r="AJ160" i="7"/>
  <c r="AM160" i="7"/>
  <c r="AL160" i="7"/>
  <c r="AK160" i="7"/>
  <c r="AD161" i="7"/>
  <c r="AF160" i="7"/>
  <c r="AG160" i="7"/>
  <c r="X183" i="7"/>
  <c r="AA183" i="7" s="1"/>
  <c r="V183" i="7"/>
  <c r="Y144" i="4" l="1"/>
  <c r="Z144" i="4"/>
  <c r="AA144" i="4"/>
  <c r="X144" i="4"/>
  <c r="V143" i="4"/>
  <c r="K450" i="7"/>
  <c r="L450" i="7"/>
  <c r="M450" i="7"/>
  <c r="H449" i="7"/>
  <c r="J450" i="7"/>
  <c r="AE160" i="7"/>
  <c r="AJ161" i="7"/>
  <c r="AM161" i="7"/>
  <c r="AL161" i="7"/>
  <c r="AK161" i="7"/>
  <c r="AD162" i="7"/>
  <c r="AF161" i="7"/>
  <c r="AG161" i="7"/>
  <c r="X184" i="7"/>
  <c r="AA184" i="7" s="1"/>
  <c r="V184" i="7"/>
  <c r="F13" i="7"/>
  <c r="Y145" i="4" l="1"/>
  <c r="Z145" i="4"/>
  <c r="AA145" i="4"/>
  <c r="X145" i="4"/>
  <c r="V144" i="4"/>
  <c r="H450" i="7"/>
  <c r="K451" i="7"/>
  <c r="L451" i="7"/>
  <c r="M451" i="7"/>
  <c r="J451" i="7"/>
  <c r="AE161" i="7"/>
  <c r="AM162" i="7"/>
  <c r="AJ162" i="7"/>
  <c r="AK162" i="7"/>
  <c r="AL162" i="7"/>
  <c r="AD163" i="7"/>
  <c r="AF162" i="7"/>
  <c r="AG162" i="7"/>
  <c r="I58" i="7"/>
  <c r="I61" i="7"/>
  <c r="I56" i="7"/>
  <c r="I59" i="7"/>
  <c r="I62" i="7"/>
  <c r="I60" i="7"/>
  <c r="I57" i="7"/>
  <c r="I55" i="7"/>
  <c r="X185" i="7"/>
  <c r="AA185" i="7" s="1"/>
  <c r="V185" i="7"/>
  <c r="I52" i="7"/>
  <c r="I54" i="7"/>
  <c r="I53" i="7"/>
  <c r="I51" i="7"/>
  <c r="F15" i="7"/>
  <c r="G45" i="7"/>
  <c r="G42" i="7"/>
  <c r="G43" i="7"/>
  <c r="G41" i="7"/>
  <c r="M15" i="7"/>
  <c r="G44" i="7"/>
  <c r="Q40" i="4" l="1"/>
  <c r="Q9" i="4"/>
  <c r="G20" i="4" s="1"/>
  <c r="Z146" i="4"/>
  <c r="Y146" i="4"/>
  <c r="X146" i="4"/>
  <c r="AA146" i="4"/>
  <c r="V145" i="4"/>
  <c r="C346" i="7"/>
  <c r="C315" i="7"/>
  <c r="L452" i="7"/>
  <c r="H451" i="7"/>
  <c r="K452" i="7"/>
  <c r="J452" i="7"/>
  <c r="M452" i="7"/>
  <c r="AE162" i="7"/>
  <c r="AM163" i="7"/>
  <c r="AJ163" i="7"/>
  <c r="AL163" i="7"/>
  <c r="AK163" i="7"/>
  <c r="AD164" i="7"/>
  <c r="AF163" i="7"/>
  <c r="AG163" i="7"/>
  <c r="D163" i="7"/>
  <c r="D165" i="7" s="1"/>
  <c r="C165" i="7" s="1"/>
  <c r="I19" i="3"/>
  <c r="I16" i="3"/>
  <c r="I21" i="3"/>
  <c r="I13" i="3"/>
  <c r="I20" i="3"/>
  <c r="I18" i="3"/>
  <c r="I15" i="3"/>
  <c r="I14" i="3"/>
  <c r="I23" i="3"/>
  <c r="I12" i="3"/>
  <c r="I17" i="3"/>
  <c r="I22" i="3"/>
  <c r="C15" i="7"/>
  <c r="X186" i="7"/>
  <c r="AA186" i="7" s="1"/>
  <c r="V186" i="7"/>
  <c r="Q20" i="4" l="1"/>
  <c r="X147" i="4"/>
  <c r="AA147" i="4"/>
  <c r="Q24" i="4"/>
  <c r="H19" i="1"/>
  <c r="Y147" i="4"/>
  <c r="Z147" i="4"/>
  <c r="V146" i="4"/>
  <c r="C326" i="7"/>
  <c r="C330" i="7"/>
  <c r="H452" i="7"/>
  <c r="L453" i="7"/>
  <c r="K453" i="7"/>
  <c r="J453" i="7"/>
  <c r="M453" i="7"/>
  <c r="AE163" i="7"/>
  <c r="AM164" i="7"/>
  <c r="AJ164" i="7"/>
  <c r="AL164" i="7"/>
  <c r="AK164" i="7"/>
  <c r="AD165" i="7"/>
  <c r="AF164" i="7"/>
  <c r="AG164" i="7"/>
  <c r="C163" i="7"/>
  <c r="H8" i="5"/>
  <c r="O21" i="3"/>
  <c r="O22" i="3"/>
  <c r="O12" i="3"/>
  <c r="O14" i="3"/>
  <c r="O15" i="3"/>
  <c r="O19" i="3"/>
  <c r="O18" i="3"/>
  <c r="D15" i="7"/>
  <c r="D26" i="7"/>
  <c r="O20" i="3"/>
  <c r="O17" i="3"/>
  <c r="O23" i="3"/>
  <c r="C26" i="7"/>
  <c r="O13" i="3"/>
  <c r="O16" i="3"/>
  <c r="X187" i="7"/>
  <c r="AA187" i="7" s="1"/>
  <c r="V187" i="7"/>
  <c r="F95" i="7"/>
  <c r="F89" i="7"/>
  <c r="F88" i="7"/>
  <c r="F92" i="7"/>
  <c r="F93" i="7"/>
  <c r="F87" i="7"/>
  <c r="F97" i="7"/>
  <c r="F91" i="7"/>
  <c r="F94" i="7"/>
  <c r="F98" i="7"/>
  <c r="F90" i="7"/>
  <c r="F96" i="7"/>
  <c r="R50" i="4" l="1"/>
  <c r="R44" i="4"/>
  <c r="Q50" i="4"/>
  <c r="Q44" i="4"/>
  <c r="Y148" i="4"/>
  <c r="AA148" i="4"/>
  <c r="Z148" i="4"/>
  <c r="V147" i="4"/>
  <c r="X148" i="4"/>
  <c r="Q26" i="4"/>
  <c r="C350" i="7"/>
  <c r="C356" i="7"/>
  <c r="D350" i="7"/>
  <c r="D356" i="7"/>
  <c r="K454" i="7"/>
  <c r="M454" i="7"/>
  <c r="L454" i="7"/>
  <c r="C332" i="7"/>
  <c r="J454" i="7"/>
  <c r="H453" i="7"/>
  <c r="M16" i="7"/>
  <c r="H63" i="7" s="1"/>
  <c r="AE164" i="7"/>
  <c r="AM165" i="7"/>
  <c r="AJ165" i="7"/>
  <c r="AK165" i="7"/>
  <c r="AL165" i="7"/>
  <c r="AD167" i="7"/>
  <c r="AF165" i="7"/>
  <c r="AG165" i="7"/>
  <c r="V188" i="7"/>
  <c r="X188" i="7"/>
  <c r="AA188" i="7" s="1"/>
  <c r="K20" i="14"/>
  <c r="Z149" i="4" l="1"/>
  <c r="X149" i="4"/>
  <c r="Y149" i="4"/>
  <c r="AA149" i="4"/>
  <c r="V148" i="4"/>
  <c r="L455" i="7"/>
  <c r="K455" i="7"/>
  <c r="M455" i="7"/>
  <c r="H454" i="7"/>
  <c r="J455" i="7"/>
  <c r="AE165" i="7"/>
  <c r="AM167" i="7"/>
  <c r="AJ167" i="7"/>
  <c r="AK167" i="7"/>
  <c r="AL167" i="7"/>
  <c r="AD168" i="7"/>
  <c r="AF167" i="7"/>
  <c r="AG167" i="7"/>
  <c r="X189" i="7"/>
  <c r="AA189" i="7" s="1"/>
  <c r="V189" i="7"/>
  <c r="T12" i="3"/>
  <c r="T22" i="3"/>
  <c r="T18" i="3"/>
  <c r="T16" i="3"/>
  <c r="T13" i="3"/>
  <c r="T20" i="3"/>
  <c r="T17" i="3"/>
  <c r="T21" i="3"/>
  <c r="F46" i="7"/>
  <c r="K23" i="5"/>
  <c r="K19" i="5"/>
  <c r="H20" i="6"/>
  <c r="M17" i="7"/>
  <c r="O16" i="7" s="1"/>
  <c r="K22" i="5"/>
  <c r="K21" i="5"/>
  <c r="P22" i="3"/>
  <c r="P19" i="3"/>
  <c r="P23" i="3"/>
  <c r="P12" i="3"/>
  <c r="P20" i="3"/>
  <c r="P18" i="3"/>
  <c r="P21" i="3"/>
  <c r="P16" i="3"/>
  <c r="P13" i="3"/>
  <c r="P17" i="3"/>
  <c r="AW8" i="7"/>
  <c r="AX8" i="7" s="1"/>
  <c r="AT39" i="7" s="1"/>
  <c r="P14" i="3"/>
  <c r="P15" i="3"/>
  <c r="K20" i="5"/>
  <c r="Z150" i="4" l="1"/>
  <c r="Y150" i="4"/>
  <c r="X150" i="4"/>
  <c r="AA150" i="4"/>
  <c r="V149" i="4"/>
  <c r="H455" i="7"/>
  <c r="L456" i="7"/>
  <c r="K456" i="7"/>
  <c r="J456" i="7"/>
  <c r="M456" i="7"/>
  <c r="AM168" i="7"/>
  <c r="AJ168" i="7"/>
  <c r="AK168" i="7"/>
  <c r="AL168" i="7"/>
  <c r="AE167" i="7"/>
  <c r="AD169" i="7"/>
  <c r="AF168" i="7"/>
  <c r="AG168" i="7"/>
  <c r="BC2" i="7"/>
  <c r="BD2" i="7" s="1"/>
  <c r="AT46" i="7" s="1"/>
  <c r="X190" i="7"/>
  <c r="AA190" i="7" s="1"/>
  <c r="V190" i="7"/>
  <c r="T19" i="3"/>
  <c r="T23" i="3"/>
  <c r="H14" i="1"/>
  <c r="H20" i="1"/>
  <c r="X151" i="4" l="1"/>
  <c r="V150" i="4"/>
  <c r="Z151" i="4"/>
  <c r="Y151" i="4"/>
  <c r="AA151" i="4"/>
  <c r="M457" i="7"/>
  <c r="H456" i="7"/>
  <c r="L457" i="7"/>
  <c r="K457" i="7"/>
  <c r="J457" i="7"/>
  <c r="AM169" i="7"/>
  <c r="AJ169" i="7"/>
  <c r="AL169" i="7"/>
  <c r="AK169" i="7"/>
  <c r="AE168" i="7"/>
  <c r="AD170" i="7"/>
  <c r="AF169" i="7"/>
  <c r="AG169" i="7"/>
  <c r="AE169" i="7" s="1"/>
  <c r="BL5" i="7"/>
  <c r="BM5" i="7" s="1"/>
  <c r="X191" i="7"/>
  <c r="AA191" i="7" s="1"/>
  <c r="V191" i="7"/>
  <c r="L20" i="5"/>
  <c r="C20" i="5" s="1"/>
  <c r="A42" i="7"/>
  <c r="L23" i="5"/>
  <c r="C23" i="5" s="1"/>
  <c r="A45" i="7"/>
  <c r="L21" i="5"/>
  <c r="C21" i="5" s="1"/>
  <c r="A43" i="7"/>
  <c r="L19" i="5"/>
  <c r="C19" i="5" s="1"/>
  <c r="A41" i="7"/>
  <c r="L22" i="5"/>
  <c r="C22" i="5" s="1"/>
  <c r="A44" i="7"/>
  <c r="V152" i="4" l="1"/>
  <c r="V151" i="4"/>
  <c r="Y152" i="4"/>
  <c r="Z152" i="4"/>
  <c r="X152" i="4"/>
  <c r="AA152" i="4"/>
  <c r="H458" i="7"/>
  <c r="M458" i="7"/>
  <c r="K458" i="7"/>
  <c r="L458" i="7"/>
  <c r="H457" i="7"/>
  <c r="J458" i="7"/>
  <c r="L11" i="5"/>
  <c r="L8" i="5"/>
  <c r="BH3" i="7" s="1"/>
  <c r="BI3" i="7" s="1"/>
  <c r="L10" i="5"/>
  <c r="BH4" i="7" s="1"/>
  <c r="BI4" i="7" s="1"/>
  <c r="L7" i="5"/>
  <c r="D33" i="7" s="1"/>
  <c r="AM170" i="7"/>
  <c r="AJ170" i="7"/>
  <c r="AL170" i="7"/>
  <c r="AK170" i="7"/>
  <c r="AD171" i="7"/>
  <c r="AF170" i="7"/>
  <c r="AG170" i="7"/>
  <c r="V192" i="7"/>
  <c r="X192" i="7"/>
  <c r="AA192" i="7" s="1"/>
  <c r="E33" i="7"/>
  <c r="BH8" i="7"/>
  <c r="BI8" i="7" s="1"/>
  <c r="BH7" i="7"/>
  <c r="BI7" i="7" s="1"/>
  <c r="Z153" i="4" l="1"/>
  <c r="Y153" i="4"/>
  <c r="X153" i="4"/>
  <c r="AA153" i="4"/>
  <c r="J459" i="7"/>
  <c r="M459" i="7"/>
  <c r="K459" i="7"/>
  <c r="L459" i="7"/>
  <c r="AE170" i="7"/>
  <c r="AJ171" i="7"/>
  <c r="AM171" i="7"/>
  <c r="AK171" i="7"/>
  <c r="AL171" i="7"/>
  <c r="AD172" i="7"/>
  <c r="AF171" i="7"/>
  <c r="AG171" i="7"/>
  <c r="L9" i="5"/>
  <c r="X193" i="7"/>
  <c r="AA193" i="7" s="1"/>
  <c r="V193" i="7"/>
  <c r="BH6" i="7"/>
  <c r="BH2" i="7"/>
  <c r="BI2" i="7" s="1"/>
  <c r="AT51" i="7" s="1"/>
  <c r="V153" i="4" l="1"/>
  <c r="X154" i="4"/>
  <c r="Z154" i="4"/>
  <c r="Y154" i="4"/>
  <c r="AA154" i="4"/>
  <c r="J460" i="7"/>
  <c r="H459" i="7"/>
  <c r="K460" i="7"/>
  <c r="M460" i="7"/>
  <c r="L460" i="7"/>
  <c r="AE171" i="7"/>
  <c r="AJ172" i="7"/>
  <c r="AM172" i="7"/>
  <c r="AK172" i="7"/>
  <c r="AL172" i="7"/>
  <c r="AD173" i="7"/>
  <c r="AF172" i="7"/>
  <c r="AG172" i="7"/>
  <c r="BI6" i="7"/>
  <c r="AT52" i="7" s="1"/>
  <c r="X194" i="7"/>
  <c r="AA194" i="7" s="1"/>
  <c r="V194" i="7"/>
  <c r="T14" i="3"/>
  <c r="Z155" i="4" l="1"/>
  <c r="Y155" i="4"/>
  <c r="AA155" i="4"/>
  <c r="X155" i="4"/>
  <c r="V154" i="4"/>
  <c r="M461" i="7"/>
  <c r="H460" i="7"/>
  <c r="L461" i="7"/>
  <c r="K461" i="7"/>
  <c r="J461" i="7"/>
  <c r="AE172" i="7"/>
  <c r="AM173" i="7"/>
  <c r="AJ173" i="7"/>
  <c r="AL173" i="7"/>
  <c r="AK173" i="7"/>
  <c r="AD174" i="7"/>
  <c r="AF173" i="7"/>
  <c r="AG173" i="7"/>
  <c r="X195" i="7"/>
  <c r="AA195" i="7" s="1"/>
  <c r="V195" i="7"/>
  <c r="Y156" i="4" l="1"/>
  <c r="Z156" i="4"/>
  <c r="X156" i="4"/>
  <c r="AA156" i="4"/>
  <c r="V155" i="4"/>
  <c r="K462" i="7"/>
  <c r="H461" i="7"/>
  <c r="L462" i="7"/>
  <c r="J462" i="7"/>
  <c r="M462" i="7"/>
  <c r="AE173" i="7"/>
  <c r="AJ174" i="7"/>
  <c r="AM174" i="7"/>
  <c r="AL174" i="7"/>
  <c r="AK174" i="7"/>
  <c r="AD175" i="7"/>
  <c r="AF174" i="7"/>
  <c r="AG174" i="7"/>
  <c r="AE174" i="7" s="1"/>
  <c r="V196" i="7"/>
  <c r="X196" i="7"/>
  <c r="AA196" i="7" s="1"/>
  <c r="T15" i="3"/>
  <c r="H64" i="7"/>
  <c r="V157" i="4" l="1"/>
  <c r="Y157" i="4"/>
  <c r="Z157" i="4"/>
  <c r="AA157" i="4"/>
  <c r="X157" i="4"/>
  <c r="V156" i="4"/>
  <c r="H462" i="7"/>
  <c r="L463" i="7"/>
  <c r="M463" i="7"/>
  <c r="H463" i="7"/>
  <c r="K463" i="7"/>
  <c r="J463" i="7"/>
  <c r="AM175" i="7"/>
  <c r="AJ175" i="7"/>
  <c r="AK175" i="7"/>
  <c r="AL175" i="7"/>
  <c r="AD176" i="7"/>
  <c r="AF175" i="7"/>
  <c r="AG175" i="7"/>
  <c r="X197" i="7"/>
  <c r="AA197" i="7" s="1"/>
  <c r="V197" i="7"/>
  <c r="Z158" i="4" l="1"/>
  <c r="Y158" i="4"/>
  <c r="X158" i="4"/>
  <c r="AA158" i="4"/>
  <c r="L464" i="7"/>
  <c r="J464" i="7"/>
  <c r="K464" i="7"/>
  <c r="M464" i="7"/>
  <c r="AE175" i="7"/>
  <c r="AM176" i="7"/>
  <c r="AJ176" i="7"/>
  <c r="AK176" i="7"/>
  <c r="AL176" i="7"/>
  <c r="AD177" i="7"/>
  <c r="AF176" i="7"/>
  <c r="AG176" i="7"/>
  <c r="H95" i="7"/>
  <c r="U20" i="3"/>
  <c r="U22" i="3"/>
  <c r="H97" i="7"/>
  <c r="H98" i="7"/>
  <c r="U23" i="3"/>
  <c r="U16" i="3"/>
  <c r="H91" i="7"/>
  <c r="U21" i="3"/>
  <c r="H96" i="7"/>
  <c r="H94" i="7"/>
  <c r="U19" i="3"/>
  <c r="H93" i="7"/>
  <c r="U18" i="3"/>
  <c r="U17" i="3"/>
  <c r="H92" i="7"/>
  <c r="X198" i="7"/>
  <c r="AA198" i="7" s="1"/>
  <c r="V198" i="7"/>
  <c r="B55" i="7"/>
  <c r="B56" i="7"/>
  <c r="B62" i="7"/>
  <c r="B58" i="7"/>
  <c r="B60" i="7"/>
  <c r="B57" i="7"/>
  <c r="B59" i="7"/>
  <c r="B61" i="7"/>
  <c r="B53" i="7"/>
  <c r="B51" i="7"/>
  <c r="B54" i="7"/>
  <c r="B52" i="7"/>
  <c r="V158" i="4" l="1"/>
  <c r="AA159" i="4"/>
  <c r="Z159" i="4"/>
  <c r="Y159" i="4"/>
  <c r="X159" i="4"/>
  <c r="M465" i="7"/>
  <c r="J465" i="7"/>
  <c r="K465" i="7"/>
  <c r="H464" i="7"/>
  <c r="L465" i="7"/>
  <c r="AE176" i="7"/>
  <c r="AJ177" i="7"/>
  <c r="AM177" i="7"/>
  <c r="AL177" i="7"/>
  <c r="AK177" i="7"/>
  <c r="AD178" i="7"/>
  <c r="AF177" i="7"/>
  <c r="AG177" i="7"/>
  <c r="B33" i="7"/>
  <c r="X199" i="7"/>
  <c r="AA199" i="7" s="1"/>
  <c r="V199" i="7"/>
  <c r="H87" i="7"/>
  <c r="U12" i="3"/>
  <c r="U15" i="3"/>
  <c r="H90" i="7"/>
  <c r="H88" i="7"/>
  <c r="U13" i="3"/>
  <c r="U14" i="3"/>
  <c r="H89" i="7"/>
  <c r="Y160" i="4" l="1"/>
  <c r="Z160" i="4"/>
  <c r="AA160" i="4"/>
  <c r="X160" i="4"/>
  <c r="V159" i="4"/>
  <c r="L466" i="7"/>
  <c r="H465" i="7"/>
  <c r="K466" i="7"/>
  <c r="M466" i="7"/>
  <c r="J466" i="7"/>
  <c r="AE177" i="7"/>
  <c r="AJ178" i="7"/>
  <c r="AM178" i="7"/>
  <c r="AL178" i="7"/>
  <c r="AK178" i="7"/>
  <c r="AD179" i="7"/>
  <c r="AF178" i="7"/>
  <c r="AG178" i="7"/>
  <c r="V200" i="7"/>
  <c r="X200" i="7"/>
  <c r="AA200" i="7" s="1"/>
  <c r="Y161" i="4" l="1"/>
  <c r="X161" i="4"/>
  <c r="Z161" i="4"/>
  <c r="AA161" i="4"/>
  <c r="V160" i="4"/>
  <c r="K467" i="7"/>
  <c r="M467" i="7"/>
  <c r="H466" i="7"/>
  <c r="L467" i="7"/>
  <c r="J467" i="7"/>
  <c r="AE178" i="7"/>
  <c r="AM179" i="7"/>
  <c r="AJ179" i="7"/>
  <c r="AL179" i="7"/>
  <c r="AK179" i="7"/>
  <c r="AD180" i="7"/>
  <c r="AF179" i="7"/>
  <c r="AG179" i="7"/>
  <c r="X201" i="7"/>
  <c r="AA201" i="7" s="1"/>
  <c r="V201" i="7"/>
  <c r="Y162" i="4" l="1"/>
  <c r="Z162" i="4"/>
  <c r="X162" i="4"/>
  <c r="AA162" i="4"/>
  <c r="V161" i="4"/>
  <c r="H467" i="7"/>
  <c r="K468" i="7"/>
  <c r="L468" i="7"/>
  <c r="J468" i="7"/>
  <c r="M468" i="7"/>
  <c r="AE179" i="7"/>
  <c r="AM180" i="7"/>
  <c r="AJ180" i="7"/>
  <c r="AK180" i="7"/>
  <c r="AL180" i="7"/>
  <c r="AD181" i="7"/>
  <c r="AF180" i="7"/>
  <c r="AG180" i="7"/>
  <c r="X202" i="7"/>
  <c r="AA202" i="7" s="1"/>
  <c r="V202" i="7"/>
  <c r="Z163" i="4" l="1"/>
  <c r="Y163" i="4"/>
  <c r="X163" i="4"/>
  <c r="AA163" i="4"/>
  <c r="V162" i="4"/>
  <c r="H468" i="7"/>
  <c r="K469" i="7"/>
  <c r="L469" i="7"/>
  <c r="J469" i="7"/>
  <c r="M469" i="7"/>
  <c r="AE180" i="7"/>
  <c r="AM181" i="7"/>
  <c r="AJ181" i="7"/>
  <c r="AK181" i="7"/>
  <c r="AL181" i="7"/>
  <c r="AD182" i="7"/>
  <c r="AF181" i="7"/>
  <c r="AG181" i="7"/>
  <c r="X203" i="7"/>
  <c r="AA203" i="7" s="1"/>
  <c r="V203" i="7"/>
  <c r="Z164" i="4" l="1"/>
  <c r="Y164" i="4"/>
  <c r="X164" i="4"/>
  <c r="AA164" i="4"/>
  <c r="V163" i="4"/>
  <c r="H469" i="7"/>
  <c r="K470" i="7"/>
  <c r="L470" i="7"/>
  <c r="J470" i="7"/>
  <c r="M470" i="7"/>
  <c r="AE181" i="7"/>
  <c r="AM182" i="7"/>
  <c r="AJ182" i="7"/>
  <c r="AL182" i="7"/>
  <c r="AK182" i="7"/>
  <c r="AD183" i="7"/>
  <c r="AF182" i="7"/>
  <c r="AG182" i="7"/>
  <c r="V204" i="7"/>
  <c r="X204" i="7"/>
  <c r="AA204" i="7" s="1"/>
  <c r="Y165" i="4" l="1"/>
  <c r="Z165" i="4"/>
  <c r="X165" i="4"/>
  <c r="AA165" i="4"/>
  <c r="V164" i="4"/>
  <c r="J471" i="7"/>
  <c r="H470" i="7"/>
  <c r="K471" i="7"/>
  <c r="L471" i="7"/>
  <c r="M471" i="7"/>
  <c r="AJ183" i="7"/>
  <c r="AM183" i="7"/>
  <c r="AL183" i="7"/>
  <c r="AK183" i="7"/>
  <c r="AE182" i="7"/>
  <c r="AD184" i="7"/>
  <c r="AF183" i="7"/>
  <c r="AG183" i="7"/>
  <c r="AE183" i="7" s="1"/>
  <c r="X205" i="7"/>
  <c r="AA205" i="7" s="1"/>
  <c r="V205" i="7"/>
  <c r="V166" i="4" l="1"/>
  <c r="V165" i="4"/>
  <c r="Y166" i="4"/>
  <c r="Z166" i="4"/>
  <c r="AA166" i="4"/>
  <c r="X166" i="4"/>
  <c r="J472" i="7"/>
  <c r="K472" i="7"/>
  <c r="H472" i="7"/>
  <c r="H471" i="7"/>
  <c r="L472" i="7"/>
  <c r="M472" i="7"/>
  <c r="AM184" i="7"/>
  <c r="AJ184" i="7"/>
  <c r="AL184" i="7"/>
  <c r="AK184" i="7"/>
  <c r="AD185" i="7"/>
  <c r="AF184" i="7"/>
  <c r="AG184" i="7"/>
  <c r="X206" i="7"/>
  <c r="AA206" i="7" s="1"/>
  <c r="V206" i="7"/>
  <c r="Y167" i="4" l="1"/>
  <c r="Z167" i="4"/>
  <c r="X167" i="4"/>
  <c r="AA167" i="4"/>
  <c r="K473" i="7"/>
  <c r="J473" i="7"/>
  <c r="M473" i="7"/>
  <c r="L473" i="7"/>
  <c r="AE184" i="7"/>
  <c r="AJ185" i="7"/>
  <c r="AM185" i="7"/>
  <c r="AL185" i="7"/>
  <c r="AK185" i="7"/>
  <c r="AD186" i="7"/>
  <c r="AF185" i="7"/>
  <c r="AG185" i="7"/>
  <c r="X207" i="7"/>
  <c r="AA207" i="7" s="1"/>
  <c r="V207" i="7"/>
  <c r="X168" i="4" l="1"/>
  <c r="V167" i="4"/>
  <c r="Y168" i="4"/>
  <c r="Z168" i="4"/>
  <c r="AA168" i="4"/>
  <c r="L474" i="7"/>
  <c r="M474" i="7"/>
  <c r="J474" i="7"/>
  <c r="H473" i="7"/>
  <c r="K474" i="7"/>
  <c r="AE185" i="7"/>
  <c r="AJ186" i="7"/>
  <c r="AM186" i="7"/>
  <c r="AK186" i="7"/>
  <c r="AL186" i="7"/>
  <c r="AD187" i="7"/>
  <c r="AF186" i="7"/>
  <c r="AG186" i="7"/>
  <c r="V208" i="7"/>
  <c r="X208" i="7"/>
  <c r="AA208" i="7" s="1"/>
  <c r="Z169" i="4" l="1"/>
  <c r="Y169" i="4"/>
  <c r="AA169" i="4"/>
  <c r="X169" i="4"/>
  <c r="V168" i="4"/>
  <c r="H474" i="7"/>
  <c r="K475" i="7"/>
  <c r="L475" i="7"/>
  <c r="M475" i="7"/>
  <c r="J475" i="7"/>
  <c r="AJ187" i="7"/>
  <c r="AM187" i="7"/>
  <c r="AL187" i="7"/>
  <c r="AK187" i="7"/>
  <c r="AE186" i="7"/>
  <c r="AD188" i="7"/>
  <c r="AF187" i="7"/>
  <c r="AG187" i="7"/>
  <c r="X209" i="7"/>
  <c r="AA209" i="7" s="1"/>
  <c r="V209" i="7"/>
  <c r="V169" i="4" l="1"/>
  <c r="Y170" i="4"/>
  <c r="Z170" i="4"/>
  <c r="AA170" i="4"/>
  <c r="X170" i="4"/>
  <c r="H475" i="7"/>
  <c r="J476" i="7"/>
  <c r="L476" i="7"/>
  <c r="K476" i="7"/>
  <c r="M476" i="7"/>
  <c r="AE187" i="7"/>
  <c r="AM188" i="7"/>
  <c r="AJ188" i="7"/>
  <c r="AL188" i="7"/>
  <c r="AK188" i="7"/>
  <c r="AD189" i="7"/>
  <c r="AF188" i="7"/>
  <c r="AG188" i="7"/>
  <c r="X210" i="7"/>
  <c r="AA210" i="7" s="1"/>
  <c r="V210" i="7"/>
  <c r="Y171" i="4" l="1"/>
  <c r="Z171" i="4"/>
  <c r="X171" i="4"/>
  <c r="AA171" i="4"/>
  <c r="V170" i="4"/>
  <c r="H476" i="7"/>
  <c r="L477" i="7"/>
  <c r="K477" i="7"/>
  <c r="J477" i="7"/>
  <c r="M477" i="7"/>
  <c r="AE188" i="7"/>
  <c r="AJ189" i="7"/>
  <c r="AM189" i="7"/>
  <c r="AK189" i="7"/>
  <c r="AL189" i="7"/>
  <c r="AD190" i="7"/>
  <c r="AF189" i="7"/>
  <c r="AG189" i="7"/>
  <c r="AE189" i="7" s="1"/>
  <c r="X211" i="7"/>
  <c r="AA211" i="7" s="1"/>
  <c r="V211" i="7"/>
  <c r="V172" i="4" l="1"/>
  <c r="Z172" i="4"/>
  <c r="Y172" i="4"/>
  <c r="AA172" i="4"/>
  <c r="X172" i="4"/>
  <c r="V171" i="4"/>
  <c r="H478" i="7"/>
  <c r="L478" i="7"/>
  <c r="K478" i="7"/>
  <c r="H477" i="7"/>
  <c r="M478" i="7"/>
  <c r="J478" i="7"/>
  <c r="AJ190" i="7"/>
  <c r="AM190" i="7"/>
  <c r="AL190" i="7"/>
  <c r="AK190" i="7"/>
  <c r="AD191" i="7"/>
  <c r="AF190" i="7"/>
  <c r="AG190" i="7"/>
  <c r="V212" i="7"/>
  <c r="X212" i="7"/>
  <c r="AA212" i="7" s="1"/>
  <c r="Y173" i="4" l="1"/>
  <c r="Z173" i="4"/>
  <c r="AA173" i="4"/>
  <c r="X173" i="4"/>
  <c r="K479" i="7"/>
  <c r="M479" i="7"/>
  <c r="L479" i="7"/>
  <c r="J479" i="7"/>
  <c r="AE190" i="7"/>
  <c r="AM191" i="7"/>
  <c r="AJ191" i="7"/>
  <c r="AL191" i="7"/>
  <c r="AK191" i="7"/>
  <c r="AD192" i="7"/>
  <c r="AF191" i="7"/>
  <c r="AG191" i="7"/>
  <c r="X213" i="7"/>
  <c r="AA213" i="7" s="1"/>
  <c r="V213" i="7"/>
  <c r="AA174" i="4" l="1"/>
  <c r="V173" i="4"/>
  <c r="Y174" i="4"/>
  <c r="Z174" i="4"/>
  <c r="X174" i="4"/>
  <c r="L480" i="7"/>
  <c r="J480" i="7"/>
  <c r="H479" i="7"/>
  <c r="M480" i="7"/>
  <c r="K480" i="7"/>
  <c r="AE191" i="7"/>
  <c r="AJ192" i="7"/>
  <c r="AM192" i="7"/>
  <c r="AL192" i="7"/>
  <c r="AK192" i="7"/>
  <c r="AD193" i="7"/>
  <c r="AF192" i="7"/>
  <c r="AG192" i="7"/>
  <c r="X214" i="7"/>
  <c r="AA214" i="7" s="1"/>
  <c r="V214" i="7"/>
  <c r="Y175" i="4" l="1"/>
  <c r="Z175" i="4"/>
  <c r="AA175" i="4"/>
  <c r="X175" i="4"/>
  <c r="V174" i="4"/>
  <c r="K481" i="7"/>
  <c r="H480" i="7"/>
  <c r="L481" i="7"/>
  <c r="M481" i="7"/>
  <c r="J481" i="7"/>
  <c r="AE192" i="7"/>
  <c r="AJ193" i="7"/>
  <c r="AM193" i="7"/>
  <c r="AL193" i="7"/>
  <c r="AK193" i="7"/>
  <c r="AD194" i="7"/>
  <c r="AF193" i="7"/>
  <c r="AG193" i="7"/>
  <c r="X215" i="7"/>
  <c r="AA215" i="7" s="1"/>
  <c r="V215" i="7"/>
  <c r="Y176" i="4" l="1"/>
  <c r="Z176" i="4"/>
  <c r="AA176" i="4"/>
  <c r="X176" i="4"/>
  <c r="V175" i="4"/>
  <c r="H481" i="7"/>
  <c r="K482" i="7"/>
  <c r="L482" i="7"/>
  <c r="M482" i="7"/>
  <c r="J482" i="7"/>
  <c r="AE193" i="7"/>
  <c r="AJ194" i="7"/>
  <c r="AM194" i="7"/>
  <c r="AK194" i="7"/>
  <c r="AL194" i="7"/>
  <c r="AD195" i="7"/>
  <c r="AF194" i="7"/>
  <c r="AG194" i="7"/>
  <c r="V216" i="7"/>
  <c r="X216" i="7"/>
  <c r="AA216" i="7" s="1"/>
  <c r="Z177" i="4" l="1"/>
  <c r="Y177" i="4"/>
  <c r="AA177" i="4"/>
  <c r="X177" i="4"/>
  <c r="V176" i="4"/>
  <c r="H482" i="7"/>
  <c r="L483" i="7"/>
  <c r="K483" i="7"/>
  <c r="M483" i="7"/>
  <c r="J483" i="7"/>
  <c r="AE194" i="7"/>
  <c r="AJ195" i="7"/>
  <c r="AM195" i="7"/>
  <c r="AK195" i="7"/>
  <c r="AL195" i="7"/>
  <c r="AD196" i="7"/>
  <c r="AF195" i="7"/>
  <c r="AG195" i="7"/>
  <c r="X217" i="7"/>
  <c r="AA217" i="7" s="1"/>
  <c r="V217" i="7"/>
  <c r="Z178" i="4" l="1"/>
  <c r="Y178" i="4"/>
  <c r="AA178" i="4"/>
  <c r="X178" i="4"/>
  <c r="V177" i="4"/>
  <c r="L484" i="7"/>
  <c r="H483" i="7"/>
  <c r="K484" i="7"/>
  <c r="M484" i="7"/>
  <c r="J484" i="7"/>
  <c r="AE195" i="7"/>
  <c r="AM196" i="7"/>
  <c r="AJ196" i="7"/>
  <c r="AL196" i="7"/>
  <c r="AK196" i="7"/>
  <c r="AD197" i="7"/>
  <c r="AF196" i="7"/>
  <c r="AG196" i="7"/>
  <c r="X218" i="7"/>
  <c r="AA218" i="7" s="1"/>
  <c r="V218" i="7"/>
  <c r="Y179" i="4" l="1"/>
  <c r="Z179" i="4"/>
  <c r="X179" i="4"/>
  <c r="AA179" i="4"/>
  <c r="V178" i="4"/>
  <c r="H484" i="7"/>
  <c r="K485" i="7"/>
  <c r="J485" i="7"/>
  <c r="L485" i="7"/>
  <c r="M485" i="7"/>
  <c r="AE196" i="7"/>
  <c r="AJ197" i="7"/>
  <c r="AM197" i="7"/>
  <c r="AK197" i="7"/>
  <c r="AL197" i="7"/>
  <c r="AD198" i="7"/>
  <c r="AF197" i="7"/>
  <c r="AG197" i="7"/>
  <c r="X219" i="7"/>
  <c r="AA219" i="7" s="1"/>
  <c r="V219" i="7"/>
  <c r="Z180" i="4" l="1"/>
  <c r="Y180" i="4"/>
  <c r="AA180" i="4"/>
  <c r="X180" i="4"/>
  <c r="V179" i="4"/>
  <c r="H485" i="7"/>
  <c r="K486" i="7"/>
  <c r="M486" i="7"/>
  <c r="L486" i="7"/>
  <c r="J486" i="7"/>
  <c r="AE197" i="7"/>
  <c r="AJ198" i="7"/>
  <c r="AM198" i="7"/>
  <c r="AK198" i="7"/>
  <c r="AL198" i="7"/>
  <c r="AD199" i="7"/>
  <c r="AF198" i="7"/>
  <c r="AG198" i="7"/>
  <c r="AE198" i="7" s="1"/>
  <c r="V220" i="7"/>
  <c r="X220" i="7"/>
  <c r="AA220" i="7" s="1"/>
  <c r="V181" i="4" l="1"/>
  <c r="Z181" i="4"/>
  <c r="Y181" i="4"/>
  <c r="AA181" i="4"/>
  <c r="X181" i="4"/>
  <c r="V180" i="4"/>
  <c r="H486" i="7"/>
  <c r="M487" i="7"/>
  <c r="H487" i="7"/>
  <c r="L487" i="7"/>
  <c r="K487" i="7"/>
  <c r="J487" i="7"/>
  <c r="AJ199" i="7"/>
  <c r="AM199" i="7"/>
  <c r="AK199" i="7"/>
  <c r="AL199" i="7"/>
  <c r="AD200" i="7"/>
  <c r="AF199" i="7"/>
  <c r="AG199" i="7"/>
  <c r="X221" i="7"/>
  <c r="AA221" i="7" s="1"/>
  <c r="V221" i="7"/>
  <c r="Z182" i="4" l="1"/>
  <c r="Y182" i="4"/>
  <c r="AA182" i="4"/>
  <c r="X182" i="4"/>
  <c r="M488" i="7"/>
  <c r="J488" i="7"/>
  <c r="K488" i="7"/>
  <c r="L488" i="7"/>
  <c r="AE199" i="7"/>
  <c r="AJ200" i="7"/>
  <c r="AM200" i="7"/>
  <c r="AK200" i="7"/>
  <c r="AL200" i="7"/>
  <c r="AD201" i="7"/>
  <c r="AF200" i="7"/>
  <c r="AG200" i="7"/>
  <c r="X222" i="7"/>
  <c r="AA222" i="7" s="1"/>
  <c r="V222" i="7"/>
  <c r="X183" i="4" l="1"/>
  <c r="V182" i="4"/>
  <c r="Z183" i="4"/>
  <c r="Y183" i="4"/>
  <c r="AA183" i="4"/>
  <c r="H488" i="7"/>
  <c r="K489" i="7"/>
  <c r="J489" i="7"/>
  <c r="M489" i="7"/>
  <c r="L489" i="7"/>
  <c r="AE200" i="7"/>
  <c r="AJ201" i="7"/>
  <c r="AM201" i="7"/>
  <c r="AK201" i="7"/>
  <c r="AL201" i="7"/>
  <c r="AD202" i="7"/>
  <c r="AF201" i="7"/>
  <c r="AG201" i="7"/>
  <c r="Z184" i="4" l="1"/>
  <c r="Y184" i="4"/>
  <c r="AA184" i="4"/>
  <c r="X184" i="4"/>
  <c r="V183" i="4"/>
  <c r="H489" i="7"/>
  <c r="K490" i="7"/>
  <c r="L490" i="7"/>
  <c r="M490" i="7"/>
  <c r="J490" i="7"/>
  <c r="AE201" i="7"/>
  <c r="AJ202" i="7"/>
  <c r="AM202" i="7"/>
  <c r="AL202" i="7"/>
  <c r="AK202" i="7"/>
  <c r="AD203" i="7"/>
  <c r="AF202" i="7"/>
  <c r="AG202" i="7"/>
  <c r="Y185" i="4" l="1"/>
  <c r="Z185" i="4"/>
  <c r="AA185" i="4"/>
  <c r="X185" i="4"/>
  <c r="V184" i="4"/>
  <c r="H490" i="7"/>
  <c r="K491" i="7"/>
  <c r="M491" i="7"/>
  <c r="L491" i="7"/>
  <c r="J491" i="7"/>
  <c r="AE202" i="7"/>
  <c r="AM203" i="7"/>
  <c r="AJ203" i="7"/>
  <c r="AK203" i="7"/>
  <c r="AL203" i="7"/>
  <c r="AD204" i="7"/>
  <c r="AF203" i="7"/>
  <c r="AG203" i="7"/>
  <c r="AE203" i="7" s="1"/>
  <c r="V186" i="4" l="1"/>
  <c r="Z186" i="4"/>
  <c r="Y186" i="4"/>
  <c r="X186" i="4"/>
  <c r="AA186" i="4"/>
  <c r="V185" i="4"/>
  <c r="H491" i="7"/>
  <c r="K492" i="7"/>
  <c r="J492" i="7"/>
  <c r="H492" i="7"/>
  <c r="L492" i="7"/>
  <c r="M492" i="7"/>
  <c r="AM204" i="7"/>
  <c r="AJ204" i="7"/>
  <c r="AL204" i="7"/>
  <c r="AK204" i="7"/>
  <c r="AD205" i="7"/>
  <c r="AF204" i="7"/>
  <c r="AG204" i="7"/>
  <c r="AN19" i="7"/>
  <c r="AO19" i="7"/>
  <c r="AP19" i="7"/>
  <c r="Y187" i="4" l="1"/>
  <c r="Z187" i="4"/>
  <c r="X187" i="4"/>
  <c r="AA187" i="4"/>
  <c r="J493" i="7"/>
  <c r="K493" i="7"/>
  <c r="M493" i="7"/>
  <c r="L493" i="7"/>
  <c r="AM205" i="7"/>
  <c r="AJ205" i="7"/>
  <c r="AL205" i="7"/>
  <c r="AK205" i="7"/>
  <c r="AP24" i="7"/>
  <c r="AP32" i="7"/>
  <c r="AP40" i="7"/>
  <c r="AP48" i="7"/>
  <c r="AP56" i="7"/>
  <c r="AP64" i="7"/>
  <c r="AP72" i="7"/>
  <c r="AP80" i="7"/>
  <c r="AP88" i="7"/>
  <c r="AP96" i="7"/>
  <c r="AP104" i="7"/>
  <c r="AP112" i="7"/>
  <c r="AP120" i="7"/>
  <c r="AP128" i="7"/>
  <c r="AP136" i="7"/>
  <c r="AP144" i="7"/>
  <c r="AP152" i="7"/>
  <c r="AP160" i="7"/>
  <c r="AP169" i="7"/>
  <c r="AP177" i="7"/>
  <c r="AP185" i="7"/>
  <c r="AP25" i="7"/>
  <c r="AP33" i="7"/>
  <c r="AP41" i="7"/>
  <c r="AP49" i="7"/>
  <c r="AP57" i="7"/>
  <c r="AP65" i="7"/>
  <c r="AP73" i="7"/>
  <c r="AP81" i="7"/>
  <c r="AP89" i="7"/>
  <c r="AP97" i="7"/>
  <c r="AP105" i="7"/>
  <c r="AP113" i="7"/>
  <c r="AP121" i="7"/>
  <c r="AP129" i="7"/>
  <c r="AP137" i="7"/>
  <c r="AP145" i="7"/>
  <c r="AP153" i="7"/>
  <c r="AP161" i="7"/>
  <c r="AP170" i="7"/>
  <c r="AP178" i="7"/>
  <c r="AP186" i="7"/>
  <c r="AP194" i="7"/>
  <c r="AP202" i="7"/>
  <c r="AP55" i="7"/>
  <c r="AP71" i="7"/>
  <c r="AP95" i="7"/>
  <c r="AP127" i="7"/>
  <c r="AP168" i="7"/>
  <c r="AP26" i="7"/>
  <c r="AP34" i="7"/>
  <c r="AP42" i="7"/>
  <c r="AP50" i="7"/>
  <c r="AP58" i="7"/>
  <c r="AP66" i="7"/>
  <c r="AP74" i="7"/>
  <c r="AP82" i="7"/>
  <c r="AP90" i="7"/>
  <c r="AP98" i="7"/>
  <c r="AP106" i="7"/>
  <c r="AP114" i="7"/>
  <c r="AP122" i="7"/>
  <c r="AP130" i="7"/>
  <c r="AP138" i="7"/>
  <c r="AP146" i="7"/>
  <c r="AP154" i="7"/>
  <c r="AP162" i="7"/>
  <c r="AP171" i="7"/>
  <c r="AP179" i="7"/>
  <c r="AP187" i="7"/>
  <c r="AP195" i="7"/>
  <c r="AP203" i="7"/>
  <c r="AP47" i="7"/>
  <c r="AP79" i="7"/>
  <c r="AP103" i="7"/>
  <c r="AP135" i="7"/>
  <c r="AP176" i="7"/>
  <c r="AP27" i="7"/>
  <c r="AP35" i="7"/>
  <c r="AP43" i="7"/>
  <c r="AP51" i="7"/>
  <c r="AP59" i="7"/>
  <c r="AP67" i="7"/>
  <c r="AP75" i="7"/>
  <c r="AP83" i="7"/>
  <c r="AP91" i="7"/>
  <c r="AP99" i="7"/>
  <c r="AP107" i="7"/>
  <c r="AP115" i="7"/>
  <c r="AP123" i="7"/>
  <c r="AP131" i="7"/>
  <c r="AP139" i="7"/>
  <c r="AP147" i="7"/>
  <c r="AP155" i="7"/>
  <c r="AP163" i="7"/>
  <c r="AP172" i="7"/>
  <c r="AP180" i="7"/>
  <c r="AP188" i="7"/>
  <c r="AP196" i="7"/>
  <c r="AP204" i="7"/>
  <c r="AP39" i="7"/>
  <c r="AP87" i="7"/>
  <c r="AP143" i="7"/>
  <c r="AP192" i="7"/>
  <c r="AP201" i="7"/>
  <c r="AP28" i="7"/>
  <c r="AP36" i="7"/>
  <c r="AP44" i="7"/>
  <c r="AP52" i="7"/>
  <c r="AP60" i="7"/>
  <c r="AP68" i="7"/>
  <c r="AP76" i="7"/>
  <c r="AP84" i="7"/>
  <c r="AP92" i="7"/>
  <c r="AP100" i="7"/>
  <c r="AP108" i="7"/>
  <c r="AP116" i="7"/>
  <c r="AP124" i="7"/>
  <c r="AP132" i="7"/>
  <c r="AP140" i="7"/>
  <c r="AP148" i="7"/>
  <c r="AP156" i="7"/>
  <c r="AP164" i="7"/>
  <c r="AP173" i="7"/>
  <c r="AP181" i="7"/>
  <c r="AP189" i="7"/>
  <c r="AP197" i="7"/>
  <c r="AP205" i="7"/>
  <c r="AP151" i="7"/>
  <c r="AP29" i="7"/>
  <c r="AP37" i="7"/>
  <c r="AP45" i="7"/>
  <c r="AP53" i="7"/>
  <c r="AP61" i="7"/>
  <c r="AP69" i="7"/>
  <c r="AP77" i="7"/>
  <c r="AP85" i="7"/>
  <c r="AP93" i="7"/>
  <c r="AP101" i="7"/>
  <c r="AP109" i="7"/>
  <c r="AP117" i="7"/>
  <c r="AP125" i="7"/>
  <c r="AP133" i="7"/>
  <c r="AP141" i="7"/>
  <c r="AP149" i="7"/>
  <c r="AP157" i="7"/>
  <c r="AP165" i="7"/>
  <c r="AP174" i="7"/>
  <c r="AP182" i="7"/>
  <c r="AP190" i="7"/>
  <c r="AP198" i="7"/>
  <c r="AP31" i="7"/>
  <c r="AP63" i="7"/>
  <c r="AP111" i="7"/>
  <c r="AP159" i="7"/>
  <c r="AP200" i="7"/>
  <c r="AP193" i="7"/>
  <c r="AP30" i="7"/>
  <c r="AP38" i="7"/>
  <c r="AP46" i="7"/>
  <c r="AP54" i="7"/>
  <c r="AP62" i="7"/>
  <c r="AP70" i="7"/>
  <c r="AP78" i="7"/>
  <c r="AP86" i="7"/>
  <c r="AP94" i="7"/>
  <c r="AP102" i="7"/>
  <c r="AP110" i="7"/>
  <c r="AP118" i="7"/>
  <c r="AP126" i="7"/>
  <c r="AP134" i="7"/>
  <c r="AP142" i="7"/>
  <c r="AP150" i="7"/>
  <c r="AP158" i="7"/>
  <c r="AP167" i="7"/>
  <c r="AP175" i="7"/>
  <c r="AP183" i="7"/>
  <c r="AP191" i="7"/>
  <c r="AP199" i="7"/>
  <c r="AP23" i="7"/>
  <c r="AP119" i="7"/>
  <c r="AP184" i="7"/>
  <c r="AP22" i="7"/>
  <c r="AO24" i="7"/>
  <c r="AO28" i="7"/>
  <c r="AO32" i="7"/>
  <c r="AO36" i="7"/>
  <c r="AO40" i="7"/>
  <c r="AO44" i="7"/>
  <c r="AO48" i="7"/>
  <c r="AO52" i="7"/>
  <c r="AO56" i="7"/>
  <c r="AO60" i="7"/>
  <c r="AO64" i="7"/>
  <c r="AO68" i="7"/>
  <c r="AO72" i="7"/>
  <c r="AO76" i="7"/>
  <c r="AO80" i="7"/>
  <c r="AO84" i="7"/>
  <c r="AO88" i="7"/>
  <c r="AO92" i="7"/>
  <c r="AO96" i="7"/>
  <c r="AO116" i="7"/>
  <c r="AO128" i="7"/>
  <c r="AO140" i="7"/>
  <c r="AO156" i="7"/>
  <c r="AO181" i="7"/>
  <c r="AO183" i="7"/>
  <c r="AO100" i="7"/>
  <c r="AO173" i="7"/>
  <c r="AO205" i="7"/>
  <c r="AO25" i="7"/>
  <c r="AO29" i="7"/>
  <c r="AO33" i="7"/>
  <c r="AO37" i="7"/>
  <c r="AO41" i="7"/>
  <c r="AO45" i="7"/>
  <c r="AO49" i="7"/>
  <c r="AO53" i="7"/>
  <c r="AO57" i="7"/>
  <c r="AO61" i="7"/>
  <c r="AO65" i="7"/>
  <c r="AO69" i="7"/>
  <c r="AO73" i="7"/>
  <c r="AO77" i="7"/>
  <c r="AO81" i="7"/>
  <c r="AO85" i="7"/>
  <c r="AO89" i="7"/>
  <c r="AO93" i="7"/>
  <c r="AO97" i="7"/>
  <c r="AO101" i="7"/>
  <c r="AO105" i="7"/>
  <c r="AO109" i="7"/>
  <c r="AO113" i="7"/>
  <c r="AO117" i="7"/>
  <c r="AO121" i="7"/>
  <c r="AO125" i="7"/>
  <c r="AO129" i="7"/>
  <c r="AO133" i="7"/>
  <c r="AO137" i="7"/>
  <c r="AO141" i="7"/>
  <c r="AO145" i="7"/>
  <c r="AO149" i="7"/>
  <c r="AO153" i="7"/>
  <c r="AO157" i="7"/>
  <c r="AO161" i="7"/>
  <c r="AO165" i="7"/>
  <c r="AO170" i="7"/>
  <c r="AO174" i="7"/>
  <c r="AO178" i="7"/>
  <c r="AO182" i="7"/>
  <c r="AO186" i="7"/>
  <c r="AO190" i="7"/>
  <c r="AO194" i="7"/>
  <c r="AO198" i="7"/>
  <c r="AO202" i="7"/>
  <c r="AO179" i="7"/>
  <c r="AO195" i="7"/>
  <c r="AO22" i="7"/>
  <c r="AO120" i="7"/>
  <c r="AO152" i="7"/>
  <c r="AO177" i="7"/>
  <c r="AO197" i="7"/>
  <c r="AO175" i="7"/>
  <c r="AO104" i="7"/>
  <c r="AO132" i="7"/>
  <c r="AO148" i="7"/>
  <c r="AO169" i="7"/>
  <c r="AO189" i="7"/>
  <c r="AO26" i="7"/>
  <c r="AO30" i="7"/>
  <c r="AO34" i="7"/>
  <c r="AO38" i="7"/>
  <c r="AO42" i="7"/>
  <c r="AO46" i="7"/>
  <c r="AO50" i="7"/>
  <c r="AO54" i="7"/>
  <c r="AO58" i="7"/>
  <c r="AO62" i="7"/>
  <c r="AO66" i="7"/>
  <c r="AO70" i="7"/>
  <c r="AO74" i="7"/>
  <c r="AO78" i="7"/>
  <c r="AO82" i="7"/>
  <c r="AO86" i="7"/>
  <c r="AO90" i="7"/>
  <c r="AO94" i="7"/>
  <c r="AO98" i="7"/>
  <c r="AO102" i="7"/>
  <c r="AO106" i="7"/>
  <c r="AO110" i="7"/>
  <c r="AO114" i="7"/>
  <c r="AO118" i="7"/>
  <c r="AO122" i="7"/>
  <c r="AO126" i="7"/>
  <c r="AO130" i="7"/>
  <c r="AO134" i="7"/>
  <c r="AO138" i="7"/>
  <c r="AO142" i="7"/>
  <c r="AO146" i="7"/>
  <c r="AO150" i="7"/>
  <c r="AO154" i="7"/>
  <c r="AO158" i="7"/>
  <c r="AO162" i="7"/>
  <c r="AO167" i="7"/>
  <c r="AO171" i="7"/>
  <c r="AO187" i="7"/>
  <c r="AO191" i="7"/>
  <c r="AO199" i="7"/>
  <c r="AO203" i="7"/>
  <c r="AO108" i="7"/>
  <c r="AO160" i="7"/>
  <c r="AO193" i="7"/>
  <c r="AO112" i="7"/>
  <c r="AO23" i="7"/>
  <c r="AO27" i="7"/>
  <c r="AO31" i="7"/>
  <c r="AO35" i="7"/>
  <c r="AO39" i="7"/>
  <c r="AO43" i="7"/>
  <c r="AO47" i="7"/>
  <c r="AO51" i="7"/>
  <c r="AO55" i="7"/>
  <c r="AO59" i="7"/>
  <c r="AO63" i="7"/>
  <c r="AO67" i="7"/>
  <c r="AO71" i="7"/>
  <c r="AO75" i="7"/>
  <c r="AO79" i="7"/>
  <c r="AO83" i="7"/>
  <c r="AO87" i="7"/>
  <c r="AO91" i="7"/>
  <c r="AO95" i="7"/>
  <c r="AO99" i="7"/>
  <c r="AO103" i="7"/>
  <c r="AO107" i="7"/>
  <c r="AO111" i="7"/>
  <c r="AO115" i="7"/>
  <c r="AO119" i="7"/>
  <c r="AO123" i="7"/>
  <c r="AO127" i="7"/>
  <c r="AO131" i="7"/>
  <c r="AO135" i="7"/>
  <c r="AO139" i="7"/>
  <c r="AO143" i="7"/>
  <c r="AO147" i="7"/>
  <c r="AO151" i="7"/>
  <c r="AO155" i="7"/>
  <c r="AO159" i="7"/>
  <c r="AO163" i="7"/>
  <c r="AO168" i="7"/>
  <c r="AO172" i="7"/>
  <c r="AO176" i="7"/>
  <c r="AO180" i="7"/>
  <c r="AO184" i="7"/>
  <c r="AO188" i="7"/>
  <c r="AO192" i="7"/>
  <c r="AO196" i="7"/>
  <c r="AO200" i="7"/>
  <c r="AO204" i="7"/>
  <c r="AO124" i="7"/>
  <c r="AO136" i="7"/>
  <c r="AO144" i="7"/>
  <c r="AO164" i="7"/>
  <c r="AO185" i="7"/>
  <c r="AO201" i="7"/>
  <c r="AN24" i="7"/>
  <c r="AN32" i="7"/>
  <c r="AN40" i="7"/>
  <c r="AN48" i="7"/>
  <c r="AN56" i="7"/>
  <c r="AN64" i="7"/>
  <c r="AN72" i="7"/>
  <c r="AN80" i="7"/>
  <c r="AN88" i="7"/>
  <c r="AN96" i="7"/>
  <c r="AN104" i="7"/>
  <c r="AN112" i="7"/>
  <c r="AN120" i="7"/>
  <c r="AN128" i="7"/>
  <c r="AN136" i="7"/>
  <c r="AN144" i="7"/>
  <c r="AN152" i="7"/>
  <c r="AN160" i="7"/>
  <c r="AN169" i="7"/>
  <c r="AN177" i="7"/>
  <c r="AN185" i="7"/>
  <c r="AN193" i="7"/>
  <c r="AN201" i="7"/>
  <c r="AN37" i="7"/>
  <c r="AN53" i="7"/>
  <c r="AN77" i="7"/>
  <c r="AN93" i="7"/>
  <c r="AN109" i="7"/>
  <c r="AN133" i="7"/>
  <c r="AN157" i="7"/>
  <c r="AN22" i="7"/>
  <c r="AN27" i="7"/>
  <c r="AN35" i="7"/>
  <c r="AN43" i="7"/>
  <c r="AN51" i="7"/>
  <c r="AN59" i="7"/>
  <c r="AN67" i="7"/>
  <c r="AN75" i="7"/>
  <c r="AN83" i="7"/>
  <c r="AN91" i="7"/>
  <c r="AN99" i="7"/>
  <c r="AN107" i="7"/>
  <c r="AN115" i="7"/>
  <c r="AN123" i="7"/>
  <c r="AN131" i="7"/>
  <c r="AN139" i="7"/>
  <c r="AN147" i="7"/>
  <c r="AN155" i="7"/>
  <c r="AN163" i="7"/>
  <c r="AN172" i="7"/>
  <c r="AN180" i="7"/>
  <c r="AN188" i="7"/>
  <c r="AN196" i="7"/>
  <c r="AN204" i="7"/>
  <c r="AN125" i="7"/>
  <c r="AN30" i="7"/>
  <c r="AN38" i="7"/>
  <c r="AN46" i="7"/>
  <c r="AN54" i="7"/>
  <c r="AN62" i="7"/>
  <c r="AN70" i="7"/>
  <c r="AN78" i="7"/>
  <c r="AN86" i="7"/>
  <c r="AN94" i="7"/>
  <c r="AN102" i="7"/>
  <c r="AN110" i="7"/>
  <c r="AN118" i="7"/>
  <c r="AN126" i="7"/>
  <c r="AN134" i="7"/>
  <c r="AN142" i="7"/>
  <c r="AN150" i="7"/>
  <c r="AN158" i="7"/>
  <c r="AN167" i="7"/>
  <c r="AN175" i="7"/>
  <c r="AN183" i="7"/>
  <c r="AN191" i="7"/>
  <c r="AN199" i="7"/>
  <c r="AN29" i="7"/>
  <c r="AN190" i="7"/>
  <c r="AN25" i="7"/>
  <c r="AN33" i="7"/>
  <c r="AN41" i="7"/>
  <c r="AN49" i="7"/>
  <c r="AN57" i="7"/>
  <c r="AN65" i="7"/>
  <c r="AN73" i="7"/>
  <c r="AN81" i="7"/>
  <c r="AN89" i="7"/>
  <c r="AN97" i="7"/>
  <c r="AN105" i="7"/>
  <c r="AN113" i="7"/>
  <c r="AN121" i="7"/>
  <c r="AN129" i="7"/>
  <c r="AN137" i="7"/>
  <c r="AN145" i="7"/>
  <c r="AN153" i="7"/>
  <c r="AN161" i="7"/>
  <c r="AN170" i="7"/>
  <c r="AN178" i="7"/>
  <c r="AN186" i="7"/>
  <c r="AN194" i="7"/>
  <c r="AN202" i="7"/>
  <c r="AN174" i="7"/>
  <c r="AN28" i="7"/>
  <c r="AN36" i="7"/>
  <c r="AN44" i="7"/>
  <c r="AN52" i="7"/>
  <c r="AN60" i="7"/>
  <c r="AN68" i="7"/>
  <c r="AN76" i="7"/>
  <c r="AN84" i="7"/>
  <c r="AN92" i="7"/>
  <c r="AN100" i="7"/>
  <c r="AN108" i="7"/>
  <c r="AN116" i="7"/>
  <c r="AN124" i="7"/>
  <c r="AN132" i="7"/>
  <c r="AN140" i="7"/>
  <c r="AN148" i="7"/>
  <c r="AN156" i="7"/>
  <c r="AN164" i="7"/>
  <c r="AN173" i="7"/>
  <c r="AN181" i="7"/>
  <c r="AN189" i="7"/>
  <c r="AN197" i="7"/>
  <c r="AN205" i="7"/>
  <c r="AN23" i="7"/>
  <c r="AN31" i="7"/>
  <c r="AN39" i="7"/>
  <c r="AN47" i="7"/>
  <c r="AN55" i="7"/>
  <c r="AN63" i="7"/>
  <c r="AN71" i="7"/>
  <c r="AN79" i="7"/>
  <c r="AN87" i="7"/>
  <c r="AN95" i="7"/>
  <c r="AN103" i="7"/>
  <c r="AN111" i="7"/>
  <c r="AN119" i="7"/>
  <c r="AN127" i="7"/>
  <c r="AN135" i="7"/>
  <c r="AN143" i="7"/>
  <c r="AN151" i="7"/>
  <c r="AN159" i="7"/>
  <c r="AN168" i="7"/>
  <c r="AN176" i="7"/>
  <c r="AN184" i="7"/>
  <c r="AN192" i="7"/>
  <c r="AN200" i="7"/>
  <c r="AN45" i="7"/>
  <c r="AN61" i="7"/>
  <c r="AN69" i="7"/>
  <c r="AN85" i="7"/>
  <c r="AN101" i="7"/>
  <c r="AN117" i="7"/>
  <c r="AN149" i="7"/>
  <c r="AN165" i="7"/>
  <c r="AN182" i="7"/>
  <c r="AN198" i="7"/>
  <c r="AN26" i="7"/>
  <c r="AN34" i="7"/>
  <c r="AN42" i="7"/>
  <c r="AN50" i="7"/>
  <c r="AN58" i="7"/>
  <c r="AN66" i="7"/>
  <c r="AN74" i="7"/>
  <c r="AN82" i="7"/>
  <c r="AN90" i="7"/>
  <c r="AN98" i="7"/>
  <c r="AN106" i="7"/>
  <c r="AN114" i="7"/>
  <c r="AN122" i="7"/>
  <c r="AN130" i="7"/>
  <c r="AN138" i="7"/>
  <c r="AN146" i="7"/>
  <c r="AN154" i="7"/>
  <c r="AN162" i="7"/>
  <c r="AN171" i="7"/>
  <c r="AN179" i="7"/>
  <c r="AN187" i="7"/>
  <c r="AN195" i="7"/>
  <c r="AN203" i="7"/>
  <c r="AN141" i="7"/>
  <c r="AE204" i="7"/>
  <c r="AD206" i="7"/>
  <c r="AP206" i="7" s="1"/>
  <c r="AF205" i="7"/>
  <c r="AG205" i="7"/>
  <c r="BC3" i="7"/>
  <c r="BD3" i="7" s="1"/>
  <c r="BC4" i="7"/>
  <c r="BD4" i="7" s="1"/>
  <c r="BC5" i="7"/>
  <c r="BD5" i="7" s="1"/>
  <c r="AB42" i="4" l="1"/>
  <c r="AB29" i="4"/>
  <c r="AB156" i="4"/>
  <c r="AB94" i="4"/>
  <c r="AB21" i="4"/>
  <c r="AC120" i="4"/>
  <c r="AC83" i="4"/>
  <c r="AC27" i="4"/>
  <c r="AC42" i="4"/>
  <c r="AC49" i="4"/>
  <c r="AC48" i="4"/>
  <c r="AD78" i="4"/>
  <c r="AD15" i="4"/>
  <c r="AD77" i="4"/>
  <c r="AD156" i="4"/>
  <c r="AD44" i="4"/>
  <c r="AD155" i="4"/>
  <c r="X188" i="4"/>
  <c r="AB146" i="4"/>
  <c r="AB183" i="4"/>
  <c r="AB71" i="4"/>
  <c r="AB173" i="4"/>
  <c r="AB163" i="4"/>
  <c r="AB51" i="4"/>
  <c r="AB184" i="4"/>
  <c r="AB72" i="4"/>
  <c r="AC79" i="4"/>
  <c r="AC94" i="4"/>
  <c r="AC38" i="4"/>
  <c r="AC180" i="4"/>
  <c r="AC101" i="4"/>
  <c r="AC164" i="4"/>
  <c r="AD70" i="4"/>
  <c r="AD69" i="4"/>
  <c r="AD148" i="4"/>
  <c r="AD36" i="4"/>
  <c r="AD147" i="4"/>
  <c r="AD146" i="4"/>
  <c r="AA188" i="4"/>
  <c r="AB26" i="4"/>
  <c r="AC187" i="4"/>
  <c r="AB10" i="4"/>
  <c r="AB89" i="4"/>
  <c r="AB160" i="4"/>
  <c r="AC26" i="4"/>
  <c r="AD158" i="4"/>
  <c r="AD124" i="4"/>
  <c r="AB181" i="4"/>
  <c r="AB116" i="4"/>
  <c r="AB81" i="4"/>
  <c r="AB40" i="4"/>
  <c r="AC63" i="4"/>
  <c r="AC134" i="4"/>
  <c r="AC6" i="4"/>
  <c r="AC100" i="4"/>
  <c r="AD38" i="4"/>
  <c r="AD37" i="4"/>
  <c r="AD116" i="4"/>
  <c r="AD115" i="4"/>
  <c r="AD56" i="4"/>
  <c r="AB31" i="4"/>
  <c r="AB11" i="4"/>
  <c r="AC171" i="4"/>
  <c r="AC96" i="4"/>
  <c r="AC81" i="4"/>
  <c r="AC24" i="4"/>
  <c r="AD30" i="4"/>
  <c r="AD29" i="4"/>
  <c r="AD175" i="4"/>
  <c r="AD107" i="4"/>
  <c r="AD189" i="4"/>
  <c r="AB98" i="4"/>
  <c r="AB149" i="4"/>
  <c r="AB135" i="4"/>
  <c r="AB23" i="4"/>
  <c r="AB100" i="4"/>
  <c r="AB177" i="4"/>
  <c r="AB65" i="4"/>
  <c r="AB150" i="4"/>
  <c r="AB38" i="4"/>
  <c r="AB115" i="4"/>
  <c r="AB6" i="4"/>
  <c r="AB136" i="4"/>
  <c r="AB24" i="4"/>
  <c r="AC167" i="4"/>
  <c r="AC111" i="4"/>
  <c r="AC55" i="4"/>
  <c r="AC176" i="4"/>
  <c r="AC126" i="4"/>
  <c r="AC70" i="4"/>
  <c r="AC14" i="4"/>
  <c r="AC162" i="4"/>
  <c r="AC133" i="4"/>
  <c r="AC77" i="4"/>
  <c r="AC21" i="4"/>
  <c r="AC76" i="4"/>
  <c r="AC20" i="4"/>
  <c r="AD134" i="4"/>
  <c r="AD22" i="4"/>
  <c r="AD133" i="4"/>
  <c r="AD21" i="4"/>
  <c r="AD100" i="4"/>
  <c r="AD127" i="4"/>
  <c r="AD99" i="4"/>
  <c r="AD87" i="4"/>
  <c r="AD98" i="4"/>
  <c r="AD79" i="4"/>
  <c r="AD97" i="4"/>
  <c r="AD152" i="4"/>
  <c r="AD40" i="4"/>
  <c r="AB9" i="4"/>
  <c r="AC158" i="4"/>
  <c r="AD42" i="4"/>
  <c r="AB148" i="4"/>
  <c r="AC108" i="4"/>
  <c r="AC157" i="4"/>
  <c r="AD181" i="4"/>
  <c r="AD34" i="4"/>
  <c r="AB105" i="4"/>
  <c r="AC90" i="4"/>
  <c r="AD137" i="4"/>
  <c r="AB97" i="4"/>
  <c r="AC30" i="4"/>
  <c r="AD72" i="4"/>
  <c r="AB159" i="4"/>
  <c r="AC179" i="4"/>
  <c r="AC33" i="4"/>
  <c r="AD11" i="4"/>
  <c r="AB114" i="4"/>
  <c r="AB152" i="4"/>
  <c r="AC29" i="4"/>
  <c r="AD168" i="4"/>
  <c r="AB158" i="4"/>
  <c r="AC115" i="4"/>
  <c r="AC25" i="4"/>
  <c r="AD141" i="4"/>
  <c r="AD119" i="4"/>
  <c r="AB15" i="4"/>
  <c r="AB57" i="4"/>
  <c r="AB142" i="4"/>
  <c r="AB30" i="4"/>
  <c r="AB107" i="4"/>
  <c r="AB141" i="4"/>
  <c r="AB128" i="4"/>
  <c r="AB16" i="4"/>
  <c r="AC163" i="4"/>
  <c r="AC107" i="4"/>
  <c r="AC51" i="4"/>
  <c r="AC144" i="4"/>
  <c r="AC122" i="4"/>
  <c r="AC66" i="4"/>
  <c r="AC10" i="4"/>
  <c r="AC185" i="4"/>
  <c r="AC129" i="4"/>
  <c r="AC73" i="4"/>
  <c r="AC17" i="4"/>
  <c r="AC72" i="4"/>
  <c r="AC16" i="4"/>
  <c r="AD126" i="4"/>
  <c r="AD14" i="4"/>
  <c r="AD125" i="4"/>
  <c r="AD13" i="4"/>
  <c r="AD92" i="4"/>
  <c r="AD71" i="4"/>
  <c r="AD91" i="4"/>
  <c r="AD63" i="4"/>
  <c r="AD90" i="4"/>
  <c r="AD55" i="4"/>
  <c r="AD89" i="4"/>
  <c r="AD144" i="4"/>
  <c r="AD32" i="4"/>
  <c r="AB121" i="4"/>
  <c r="AC98" i="4"/>
  <c r="AD43" i="4"/>
  <c r="AD35" i="4"/>
  <c r="AB168" i="4"/>
  <c r="AC93" i="4"/>
  <c r="AD18" i="4"/>
  <c r="AB27" i="4"/>
  <c r="AC145" i="4"/>
  <c r="AD121" i="4"/>
  <c r="AB131" i="4"/>
  <c r="AC141" i="4"/>
  <c r="AD159" i="4"/>
  <c r="AB185" i="4"/>
  <c r="AC130" i="4"/>
  <c r="AD105" i="4"/>
  <c r="AB127" i="4"/>
  <c r="AB101" i="4"/>
  <c r="AB119" i="4"/>
  <c r="AB7" i="4"/>
  <c r="AB84" i="4"/>
  <c r="AB161" i="4"/>
  <c r="AB49" i="4"/>
  <c r="AB134" i="4"/>
  <c r="AB22" i="4"/>
  <c r="AB99" i="4"/>
  <c r="AB117" i="4"/>
  <c r="AB120" i="4"/>
  <c r="AB8" i="4"/>
  <c r="AC159" i="4"/>
  <c r="AC103" i="4"/>
  <c r="AC47" i="4"/>
  <c r="AC92" i="4"/>
  <c r="AC118" i="4"/>
  <c r="AC62" i="4"/>
  <c r="AC172" i="4"/>
  <c r="AC181" i="4"/>
  <c r="AC125" i="4"/>
  <c r="AC69" i="4"/>
  <c r="AC13" i="4"/>
  <c r="AC68" i="4"/>
  <c r="AC12" i="4"/>
  <c r="AD118" i="4"/>
  <c r="AD176" i="4"/>
  <c r="AD117" i="4"/>
  <c r="AD135" i="4"/>
  <c r="AD84" i="4"/>
  <c r="AD23" i="4"/>
  <c r="AD83" i="4"/>
  <c r="AD31" i="4"/>
  <c r="AD82" i="4"/>
  <c r="AD39" i="4"/>
  <c r="AD81" i="4"/>
  <c r="AD136" i="4"/>
  <c r="AD24" i="4"/>
  <c r="AB44" i="4"/>
  <c r="AC161" i="4"/>
  <c r="AD153" i="4"/>
  <c r="AB86" i="4"/>
  <c r="AC150" i="4"/>
  <c r="AC44" i="4"/>
  <c r="AD33" i="4"/>
  <c r="AB28" i="4"/>
  <c r="AC146" i="4"/>
  <c r="AD25" i="4"/>
  <c r="AB70" i="4"/>
  <c r="AC149" i="4"/>
  <c r="AD17" i="4"/>
  <c r="AB47" i="4"/>
  <c r="AC123" i="4"/>
  <c r="AC89" i="4"/>
  <c r="AD122" i="4"/>
  <c r="AB39" i="4"/>
  <c r="AC119" i="4"/>
  <c r="AD150" i="4"/>
  <c r="AD151" i="4"/>
  <c r="AB106" i="4"/>
  <c r="AB123" i="4"/>
  <c r="AC74" i="4"/>
  <c r="AD160" i="4"/>
  <c r="AB90" i="4"/>
  <c r="AB188" i="4"/>
  <c r="AB41" i="4"/>
  <c r="AB126" i="4"/>
  <c r="AB14" i="4"/>
  <c r="AB91" i="4"/>
  <c r="AB93" i="4"/>
  <c r="AB112" i="4"/>
  <c r="AC184" i="4"/>
  <c r="AC155" i="4"/>
  <c r="AC99" i="4"/>
  <c r="AC43" i="4"/>
  <c r="AC186" i="4"/>
  <c r="AC114" i="4"/>
  <c r="AC58" i="4"/>
  <c r="AC152" i="4"/>
  <c r="AC177" i="4"/>
  <c r="AC121" i="4"/>
  <c r="AC65" i="4"/>
  <c r="AC9" i="4"/>
  <c r="AC64" i="4"/>
  <c r="AC8" i="4"/>
  <c r="AD110" i="4"/>
  <c r="AD183" i="4"/>
  <c r="AD109" i="4"/>
  <c r="AD188" i="4"/>
  <c r="AD76" i="4"/>
  <c r="AD187" i="4"/>
  <c r="AD75" i="4"/>
  <c r="AD186" i="4"/>
  <c r="AD74" i="4"/>
  <c r="AD185" i="4"/>
  <c r="AD73" i="4"/>
  <c r="AD128" i="4"/>
  <c r="AD16" i="4"/>
  <c r="AB171" i="4"/>
  <c r="AC105" i="4"/>
  <c r="AD41" i="4"/>
  <c r="AB113" i="4"/>
  <c r="AC135" i="4"/>
  <c r="AC45" i="4"/>
  <c r="AD88" i="4"/>
  <c r="AB63" i="4"/>
  <c r="AC75" i="4"/>
  <c r="AD80" i="4"/>
  <c r="AB35" i="4"/>
  <c r="AC37" i="4"/>
  <c r="AD129" i="4"/>
  <c r="AB12" i="4"/>
  <c r="AC67" i="4"/>
  <c r="AC32" i="4"/>
  <c r="AD10" i="4"/>
  <c r="AB19" i="4"/>
  <c r="AC28" i="4"/>
  <c r="AD113" i="4"/>
  <c r="AB144" i="4"/>
  <c r="AC137" i="4"/>
  <c r="AD48" i="4"/>
  <c r="AB178" i="4"/>
  <c r="AB118" i="4"/>
  <c r="AB104" i="4"/>
  <c r="AC151" i="4"/>
  <c r="AC95" i="4"/>
  <c r="AC39" i="4"/>
  <c r="AC182" i="4"/>
  <c r="AC110" i="4"/>
  <c r="AC54" i="4"/>
  <c r="AC132" i="4"/>
  <c r="AC173" i="4"/>
  <c r="AC117" i="4"/>
  <c r="AC61" i="4"/>
  <c r="AC188" i="4"/>
  <c r="AC60" i="4"/>
  <c r="AD6" i="4"/>
  <c r="AD102" i="4"/>
  <c r="AD143" i="4"/>
  <c r="AD101" i="4"/>
  <c r="AD180" i="4"/>
  <c r="AD68" i="4"/>
  <c r="AD179" i="4"/>
  <c r="AD67" i="4"/>
  <c r="AD178" i="4"/>
  <c r="AD66" i="4"/>
  <c r="AD177" i="4"/>
  <c r="AD65" i="4"/>
  <c r="AD120" i="4"/>
  <c r="AD8" i="4"/>
  <c r="AB154" i="4"/>
  <c r="AB80" i="4"/>
  <c r="AC166" i="4"/>
  <c r="AD154" i="4"/>
  <c r="AB36" i="4"/>
  <c r="AC23" i="4"/>
  <c r="AD182" i="4"/>
  <c r="AD145" i="4"/>
  <c r="AB64" i="4"/>
  <c r="AD26" i="4"/>
  <c r="AB18" i="4"/>
  <c r="AC183" i="4"/>
  <c r="AC124" i="4"/>
  <c r="AD130" i="4"/>
  <c r="AB174" i="4"/>
  <c r="AC82" i="4"/>
  <c r="AD9" i="4"/>
  <c r="AB166" i="4"/>
  <c r="AC22" i="4"/>
  <c r="AD114" i="4"/>
  <c r="AB73" i="4"/>
  <c r="AC18" i="4"/>
  <c r="AD111" i="4"/>
  <c r="AB169" i="4"/>
  <c r="AB186" i="4"/>
  <c r="AB172" i="4"/>
  <c r="AC147" i="4"/>
  <c r="AC106" i="4"/>
  <c r="AC169" i="4"/>
  <c r="AC113" i="4"/>
  <c r="AC57" i="4"/>
  <c r="AC56" i="4"/>
  <c r="AD167" i="4"/>
  <c r="AD94" i="4"/>
  <c r="AD95" i="4"/>
  <c r="AD93" i="4"/>
  <c r="AD172" i="4"/>
  <c r="AD60" i="4"/>
  <c r="AD171" i="4"/>
  <c r="AD59" i="4"/>
  <c r="AD170" i="4"/>
  <c r="AD58" i="4"/>
  <c r="AD169" i="4"/>
  <c r="AD57" i="4"/>
  <c r="AD112" i="4"/>
  <c r="Y188" i="4"/>
  <c r="AB79" i="4"/>
  <c r="AB59" i="4"/>
  <c r="AC139" i="4"/>
  <c r="AC154" i="4"/>
  <c r="AD7" i="4"/>
  <c r="AD96" i="4"/>
  <c r="AB34" i="4"/>
  <c r="AB138" i="4"/>
  <c r="AB175" i="4"/>
  <c r="AB140" i="4"/>
  <c r="AB13" i="4"/>
  <c r="AB78" i="4"/>
  <c r="AB155" i="4"/>
  <c r="AB43" i="4"/>
  <c r="AB176" i="4"/>
  <c r="AC131" i="4"/>
  <c r="AC19" i="4"/>
  <c r="AC34" i="4"/>
  <c r="AC160" i="4"/>
  <c r="AC153" i="4"/>
  <c r="AC97" i="4"/>
  <c r="AC41" i="4"/>
  <c r="AC140" i="4"/>
  <c r="AC40" i="4"/>
  <c r="AD174" i="4"/>
  <c r="AD62" i="4"/>
  <c r="AD173" i="4"/>
  <c r="AD61" i="4"/>
  <c r="AD140" i="4"/>
  <c r="AD28" i="4"/>
  <c r="AD139" i="4"/>
  <c r="AD27" i="4"/>
  <c r="AD138" i="4"/>
  <c r="AB130" i="4"/>
  <c r="AB167" i="4"/>
  <c r="AB55" i="4"/>
  <c r="AB132" i="4"/>
  <c r="AB20" i="4"/>
  <c r="AB182" i="4"/>
  <c r="AB147" i="4"/>
  <c r="AB56" i="4"/>
  <c r="AC127" i="4"/>
  <c r="AC71" i="4"/>
  <c r="AC15" i="4"/>
  <c r="AC142" i="4"/>
  <c r="AC86" i="4"/>
  <c r="AC136" i="4"/>
  <c r="AC36" i="4"/>
  <c r="AD166" i="4"/>
  <c r="AD54" i="4"/>
  <c r="AD165" i="4"/>
  <c r="AD53" i="4"/>
  <c r="AD132" i="4"/>
  <c r="AD20" i="4"/>
  <c r="AD131" i="4"/>
  <c r="AD19" i="4"/>
  <c r="AB122" i="4"/>
  <c r="AB124" i="4"/>
  <c r="AB62" i="4"/>
  <c r="AB139" i="4"/>
  <c r="AB48" i="4"/>
  <c r="AC11" i="4"/>
  <c r="AC138" i="4"/>
  <c r="AC104" i="4"/>
  <c r="AC112" i="4"/>
  <c r="AD46" i="4"/>
  <c r="AD157" i="4"/>
  <c r="AD45" i="4"/>
  <c r="AD12" i="4"/>
  <c r="AD123" i="4"/>
  <c r="AD64" i="4"/>
  <c r="AB151" i="4"/>
  <c r="AB157" i="4"/>
  <c r="AB54" i="4"/>
  <c r="AC175" i="4"/>
  <c r="AC7" i="4"/>
  <c r="AC78" i="4"/>
  <c r="AC85" i="4"/>
  <c r="AD149" i="4"/>
  <c r="AD184" i="4"/>
  <c r="AB165" i="4"/>
  <c r="AB143" i="4"/>
  <c r="AB108" i="4"/>
  <c r="AB46" i="4"/>
  <c r="AB32" i="4"/>
  <c r="AC59" i="4"/>
  <c r="AC178" i="4"/>
  <c r="AC80" i="4"/>
  <c r="AD142" i="4"/>
  <c r="AD108" i="4"/>
  <c r="AD106" i="4"/>
  <c r="V187" i="4"/>
  <c r="AB133" i="4"/>
  <c r="AB92" i="4"/>
  <c r="AB125" i="4"/>
  <c r="AB82" i="4"/>
  <c r="AB74" i="4"/>
  <c r="AB85" i="4"/>
  <c r="AB111" i="4"/>
  <c r="AB76" i="4"/>
  <c r="AB153" i="4"/>
  <c r="AB66" i="4"/>
  <c r="AB69" i="4"/>
  <c r="AB103" i="4"/>
  <c r="AB180" i="4"/>
  <c r="AB68" i="4"/>
  <c r="AB145" i="4"/>
  <c r="AB33" i="4"/>
  <c r="AB109" i="4"/>
  <c r="AB83" i="4"/>
  <c r="AB77" i="4"/>
  <c r="AC168" i="4"/>
  <c r="AB170" i="4"/>
  <c r="AB58" i="4"/>
  <c r="AB53" i="4"/>
  <c r="AB95" i="4"/>
  <c r="AB60" i="4"/>
  <c r="AB137" i="4"/>
  <c r="AB25" i="4"/>
  <c r="AB110" i="4"/>
  <c r="AB187" i="4"/>
  <c r="AB75" i="4"/>
  <c r="AB61" i="4"/>
  <c r="AB96" i="4"/>
  <c r="AC148" i="4"/>
  <c r="AC91" i="4"/>
  <c r="AC35" i="4"/>
  <c r="AC174" i="4"/>
  <c r="AC50" i="4"/>
  <c r="AC116" i="4"/>
  <c r="AC156" i="4"/>
  <c r="AB162" i="4"/>
  <c r="AB50" i="4"/>
  <c r="AB45" i="4"/>
  <c r="AB87" i="4"/>
  <c r="AB164" i="4"/>
  <c r="AB52" i="4"/>
  <c r="AB129" i="4"/>
  <c r="AB17" i="4"/>
  <c r="AB102" i="4"/>
  <c r="AB179" i="4"/>
  <c r="AB67" i="4"/>
  <c r="AB37" i="4"/>
  <c r="AB88" i="4"/>
  <c r="AC128" i="4"/>
  <c r="AC143" i="4"/>
  <c r="AC87" i="4"/>
  <c r="AC31" i="4"/>
  <c r="AC170" i="4"/>
  <c r="AC102" i="4"/>
  <c r="AC46" i="4"/>
  <c r="AC88" i="4"/>
  <c r="AC165" i="4"/>
  <c r="AC109" i="4"/>
  <c r="AC53" i="4"/>
  <c r="AC84" i="4"/>
  <c r="AC52" i="4"/>
  <c r="AD103" i="4"/>
  <c r="AD86" i="4"/>
  <c r="AD47" i="4"/>
  <c r="AD85" i="4"/>
  <c r="AD164" i="4"/>
  <c r="AD52" i="4"/>
  <c r="AD163" i="4"/>
  <c r="AD51" i="4"/>
  <c r="AD162" i="4"/>
  <c r="AD50" i="4"/>
  <c r="AD161" i="4"/>
  <c r="AD49" i="4"/>
  <c r="AD104" i="4"/>
  <c r="Z188" i="4"/>
  <c r="N460" i="7"/>
  <c r="N396" i="7"/>
  <c r="N332" i="7"/>
  <c r="N391" i="7"/>
  <c r="N465" i="7"/>
  <c r="N401" i="7"/>
  <c r="N337" i="7"/>
  <c r="N462" i="7"/>
  <c r="N398" i="7"/>
  <c r="N334" i="7"/>
  <c r="N459" i="7"/>
  <c r="N395" i="7"/>
  <c r="N331" i="7"/>
  <c r="N464" i="7"/>
  <c r="N400" i="7"/>
  <c r="N336" i="7"/>
  <c r="N461" i="7"/>
  <c r="N397" i="7"/>
  <c r="N333" i="7"/>
  <c r="N367" i="7"/>
  <c r="N450" i="7"/>
  <c r="N386" i="7"/>
  <c r="N322" i="7"/>
  <c r="O493" i="7"/>
  <c r="O461" i="7"/>
  <c r="O429" i="7"/>
  <c r="O397" i="7"/>
  <c r="O365" i="7"/>
  <c r="O333" i="7"/>
  <c r="O450" i="7"/>
  <c r="O452" i="7"/>
  <c r="O420" i="7"/>
  <c r="O388" i="7"/>
  <c r="O356" i="7"/>
  <c r="O324" i="7"/>
  <c r="O464" i="7"/>
  <c r="O491" i="7"/>
  <c r="O459" i="7"/>
  <c r="O427" i="7"/>
  <c r="O395" i="7"/>
  <c r="O363" i="7"/>
  <c r="O331" i="7"/>
  <c r="O472" i="7"/>
  <c r="O378" i="7"/>
  <c r="O346" i="7"/>
  <c r="O314" i="7"/>
  <c r="AE162" i="4"/>
  <c r="P464" i="7"/>
  <c r="AE98" i="4"/>
  <c r="P400" i="7"/>
  <c r="AE34" i="4"/>
  <c r="P336" i="7"/>
  <c r="AE19" i="4"/>
  <c r="P321" i="7"/>
  <c r="AE129" i="4"/>
  <c r="P431" i="7"/>
  <c r="AE65" i="4"/>
  <c r="P367" i="7"/>
  <c r="AE192" i="4"/>
  <c r="P494" i="7"/>
  <c r="AE128" i="4"/>
  <c r="P430" i="7"/>
  <c r="AE64" i="4"/>
  <c r="P366" i="7"/>
  <c r="AE179" i="4"/>
  <c r="P481" i="7"/>
  <c r="AE159" i="4"/>
  <c r="P461" i="7"/>
  <c r="AE95" i="4"/>
  <c r="P397" i="7"/>
  <c r="AE31" i="4"/>
  <c r="P333" i="7"/>
  <c r="AE190" i="4"/>
  <c r="P492" i="7"/>
  <c r="AE126" i="4"/>
  <c r="P428" i="7"/>
  <c r="AE62" i="4"/>
  <c r="P364" i="7"/>
  <c r="AE115" i="4"/>
  <c r="P417" i="7"/>
  <c r="AE157" i="4"/>
  <c r="P459" i="7"/>
  <c r="AE93" i="4"/>
  <c r="P395" i="7"/>
  <c r="AE29" i="4"/>
  <c r="P331" i="7"/>
  <c r="AE132" i="4"/>
  <c r="P434" i="7"/>
  <c r="AE68" i="4"/>
  <c r="P370" i="7"/>
  <c r="K494" i="7"/>
  <c r="N388" i="7"/>
  <c r="N324" i="7"/>
  <c r="N375" i="7"/>
  <c r="N457" i="7"/>
  <c r="N393" i="7"/>
  <c r="N329" i="7"/>
  <c r="N454" i="7"/>
  <c r="N390" i="7"/>
  <c r="N326" i="7"/>
  <c r="N451" i="7"/>
  <c r="N387" i="7"/>
  <c r="N323" i="7"/>
  <c r="N456" i="7"/>
  <c r="N392" i="7"/>
  <c r="N328" i="7"/>
  <c r="N453" i="7"/>
  <c r="N389" i="7"/>
  <c r="N325" i="7"/>
  <c r="N343" i="7"/>
  <c r="N442" i="7"/>
  <c r="N378" i="7"/>
  <c r="N314" i="7"/>
  <c r="O489" i="7"/>
  <c r="O457" i="7"/>
  <c r="O425" i="7"/>
  <c r="O393" i="7"/>
  <c r="O361" i="7"/>
  <c r="O329" i="7"/>
  <c r="O398" i="7"/>
  <c r="O448" i="7"/>
  <c r="O416" i="7"/>
  <c r="O384" i="7"/>
  <c r="O352" i="7"/>
  <c r="O320" i="7"/>
  <c r="O486" i="7"/>
  <c r="O487" i="7"/>
  <c r="O455" i="7"/>
  <c r="O423" i="7"/>
  <c r="O391" i="7"/>
  <c r="O359" i="7"/>
  <c r="O327" i="7"/>
  <c r="O470" i="7"/>
  <c r="O374" i="7"/>
  <c r="O342" i="7"/>
  <c r="AE10" i="4"/>
  <c r="P312" i="7"/>
  <c r="AE154" i="4"/>
  <c r="P456" i="7"/>
  <c r="AE90" i="4"/>
  <c r="P392" i="7"/>
  <c r="AE26" i="4"/>
  <c r="P328" i="7"/>
  <c r="AE185" i="4"/>
  <c r="P487" i="7"/>
  <c r="AE121" i="4"/>
  <c r="P423" i="7"/>
  <c r="AE57" i="4"/>
  <c r="P359" i="7"/>
  <c r="AE184" i="4"/>
  <c r="P486" i="7"/>
  <c r="AE120" i="4"/>
  <c r="P422" i="7"/>
  <c r="AE56" i="4"/>
  <c r="P358" i="7"/>
  <c r="AE131" i="4"/>
  <c r="P433" i="7"/>
  <c r="AE151" i="4"/>
  <c r="P453" i="7"/>
  <c r="AE87" i="4"/>
  <c r="P389" i="7"/>
  <c r="AE23" i="4"/>
  <c r="P325" i="7"/>
  <c r="AE182" i="4"/>
  <c r="P484" i="7"/>
  <c r="AE118" i="4"/>
  <c r="P420" i="7"/>
  <c r="AE54" i="4"/>
  <c r="P356" i="7"/>
  <c r="AE83" i="4"/>
  <c r="P385" i="7"/>
  <c r="AE149" i="4"/>
  <c r="P451" i="7"/>
  <c r="AE85" i="4"/>
  <c r="P387" i="7"/>
  <c r="AE21" i="4"/>
  <c r="P323" i="7"/>
  <c r="AE124" i="4"/>
  <c r="P426" i="7"/>
  <c r="AE60" i="4"/>
  <c r="P362" i="7"/>
  <c r="L494" i="7"/>
  <c r="H493" i="7"/>
  <c r="N444" i="7"/>
  <c r="N380" i="7"/>
  <c r="N316" i="7"/>
  <c r="N359" i="7"/>
  <c r="N449" i="7"/>
  <c r="N385" i="7"/>
  <c r="N321" i="7"/>
  <c r="N446" i="7"/>
  <c r="N382" i="7"/>
  <c r="N318" i="7"/>
  <c r="N443" i="7"/>
  <c r="N379" i="7"/>
  <c r="N315" i="7"/>
  <c r="N448" i="7"/>
  <c r="N384" i="7"/>
  <c r="N320" i="7"/>
  <c r="N445" i="7"/>
  <c r="N381" i="7"/>
  <c r="N317" i="7"/>
  <c r="N327" i="7"/>
  <c r="N434" i="7"/>
  <c r="N370" i="7"/>
  <c r="O490" i="7"/>
  <c r="O485" i="7"/>
  <c r="O453" i="7"/>
  <c r="O421" i="7"/>
  <c r="O389" i="7"/>
  <c r="O357" i="7"/>
  <c r="O325" i="7"/>
  <c r="O492" i="7"/>
  <c r="O444" i="7"/>
  <c r="O412" i="7"/>
  <c r="O380" i="7"/>
  <c r="O348" i="7"/>
  <c r="O316" i="7"/>
  <c r="O466" i="7"/>
  <c r="O483" i="7"/>
  <c r="O451" i="7"/>
  <c r="O419" i="7"/>
  <c r="O387" i="7"/>
  <c r="O355" i="7"/>
  <c r="O323" i="7"/>
  <c r="O446" i="7"/>
  <c r="O370" i="7"/>
  <c r="O338" i="7"/>
  <c r="AE171" i="4"/>
  <c r="P473" i="7"/>
  <c r="AE146" i="4"/>
  <c r="P448" i="7"/>
  <c r="AE82" i="4"/>
  <c r="P384" i="7"/>
  <c r="AE18" i="4"/>
  <c r="P320" i="7"/>
  <c r="AE177" i="4"/>
  <c r="P479" i="7"/>
  <c r="AE113" i="4"/>
  <c r="P415" i="7"/>
  <c r="AE49" i="4"/>
  <c r="P351" i="7"/>
  <c r="AE176" i="4"/>
  <c r="P478" i="7"/>
  <c r="AE112" i="4"/>
  <c r="P414" i="7"/>
  <c r="AE48" i="4"/>
  <c r="P350" i="7"/>
  <c r="AE75" i="4"/>
  <c r="P377" i="7"/>
  <c r="AE143" i="4"/>
  <c r="P445" i="7"/>
  <c r="AE79" i="4"/>
  <c r="P381" i="7"/>
  <c r="AE15" i="4"/>
  <c r="P317" i="7"/>
  <c r="AE174" i="4"/>
  <c r="P476" i="7"/>
  <c r="AE110" i="4"/>
  <c r="P412" i="7"/>
  <c r="AE46" i="4"/>
  <c r="P348" i="7"/>
  <c r="AE59" i="4"/>
  <c r="P361" i="7"/>
  <c r="AE141" i="4"/>
  <c r="P443" i="7"/>
  <c r="AE77" i="4"/>
  <c r="P379" i="7"/>
  <c r="AE13" i="4"/>
  <c r="P315" i="7"/>
  <c r="AE116" i="4"/>
  <c r="P418" i="7"/>
  <c r="AE52" i="4"/>
  <c r="P354" i="7"/>
  <c r="J494" i="7"/>
  <c r="N452" i="7"/>
  <c r="N431" i="7"/>
  <c r="N436" i="7"/>
  <c r="N372" i="7"/>
  <c r="N487" i="7"/>
  <c r="N351" i="7"/>
  <c r="N441" i="7"/>
  <c r="N377" i="7"/>
  <c r="N313" i="7"/>
  <c r="N438" i="7"/>
  <c r="N374" i="7"/>
  <c r="N463" i="7"/>
  <c r="N435" i="7"/>
  <c r="N371" i="7"/>
  <c r="N479" i="7"/>
  <c r="N440" i="7"/>
  <c r="N376" i="7"/>
  <c r="N415" i="7"/>
  <c r="N437" i="7"/>
  <c r="N373" i="7"/>
  <c r="N312" i="7"/>
  <c r="N490" i="7"/>
  <c r="N426" i="7"/>
  <c r="N362" i="7"/>
  <c r="O474" i="7"/>
  <c r="O481" i="7"/>
  <c r="O449" i="7"/>
  <c r="O417" i="7"/>
  <c r="O385" i="7"/>
  <c r="O353" i="7"/>
  <c r="O321" i="7"/>
  <c r="O488" i="7"/>
  <c r="O440" i="7"/>
  <c r="O408" i="7"/>
  <c r="O376" i="7"/>
  <c r="O344" i="7"/>
  <c r="O478" i="7"/>
  <c r="O442" i="7"/>
  <c r="O479" i="7"/>
  <c r="O447" i="7"/>
  <c r="O415" i="7"/>
  <c r="O383" i="7"/>
  <c r="O351" i="7"/>
  <c r="O319" i="7"/>
  <c r="O430" i="7"/>
  <c r="O366" i="7"/>
  <c r="O334" i="7"/>
  <c r="AE107" i="4"/>
  <c r="P409" i="7"/>
  <c r="AE138" i="4"/>
  <c r="P440" i="7"/>
  <c r="AE74" i="4"/>
  <c r="P376" i="7"/>
  <c r="AE180" i="4"/>
  <c r="P482" i="7"/>
  <c r="AE169" i="4"/>
  <c r="P471" i="7"/>
  <c r="AE105" i="4"/>
  <c r="P407" i="7"/>
  <c r="AE41" i="4"/>
  <c r="P343" i="7"/>
  <c r="AE168" i="4"/>
  <c r="P470" i="7"/>
  <c r="AE104" i="4"/>
  <c r="P406" i="7"/>
  <c r="AE40" i="4"/>
  <c r="P342" i="7"/>
  <c r="AE27" i="4"/>
  <c r="P329" i="7"/>
  <c r="AE135" i="4"/>
  <c r="P437" i="7"/>
  <c r="AE71" i="4"/>
  <c r="P373" i="7"/>
  <c r="AE163" i="4"/>
  <c r="P465" i="7"/>
  <c r="AE166" i="4"/>
  <c r="P468" i="7"/>
  <c r="AE102" i="4"/>
  <c r="P404" i="7"/>
  <c r="AE38" i="4"/>
  <c r="P340" i="7"/>
  <c r="AE43" i="4"/>
  <c r="P345" i="7"/>
  <c r="AE133" i="4"/>
  <c r="P435" i="7"/>
  <c r="AE69" i="4"/>
  <c r="P371" i="7"/>
  <c r="AE172" i="4"/>
  <c r="P474" i="7"/>
  <c r="AE108" i="4"/>
  <c r="P410" i="7"/>
  <c r="AE44" i="4"/>
  <c r="P346" i="7"/>
  <c r="M494" i="7"/>
  <c r="N492" i="7"/>
  <c r="N428" i="7"/>
  <c r="N364" i="7"/>
  <c r="N471" i="7"/>
  <c r="N335" i="7"/>
  <c r="N433" i="7"/>
  <c r="N369" i="7"/>
  <c r="N494" i="7"/>
  <c r="N430" i="7"/>
  <c r="N366" i="7"/>
  <c r="N491" i="7"/>
  <c r="N427" i="7"/>
  <c r="N363" i="7"/>
  <c r="N319" i="7"/>
  <c r="N432" i="7"/>
  <c r="N368" i="7"/>
  <c r="N493" i="7"/>
  <c r="N429" i="7"/>
  <c r="N365" i="7"/>
  <c r="N447" i="7"/>
  <c r="N482" i="7"/>
  <c r="N418" i="7"/>
  <c r="N354" i="7"/>
  <c r="O454" i="7"/>
  <c r="O477" i="7"/>
  <c r="O445" i="7"/>
  <c r="O413" i="7"/>
  <c r="O381" i="7"/>
  <c r="O349" i="7"/>
  <c r="O317" i="7"/>
  <c r="O480" i="7"/>
  <c r="O436" i="7"/>
  <c r="O404" i="7"/>
  <c r="O372" i="7"/>
  <c r="O340" i="7"/>
  <c r="O458" i="7"/>
  <c r="O410" i="7"/>
  <c r="O475" i="7"/>
  <c r="O443" i="7"/>
  <c r="O411" i="7"/>
  <c r="O379" i="7"/>
  <c r="O347" i="7"/>
  <c r="O315" i="7"/>
  <c r="O418" i="7"/>
  <c r="O362" i="7"/>
  <c r="O330" i="7"/>
  <c r="AE11" i="4"/>
  <c r="P313" i="7"/>
  <c r="AE130" i="4"/>
  <c r="P432" i="7"/>
  <c r="AE66" i="4"/>
  <c r="P368" i="7"/>
  <c r="AE187" i="4"/>
  <c r="P489" i="7"/>
  <c r="AE161" i="4"/>
  <c r="P463" i="7"/>
  <c r="AE97" i="4"/>
  <c r="P399" i="7"/>
  <c r="AE33" i="4"/>
  <c r="P335" i="7"/>
  <c r="AE160" i="4"/>
  <c r="P462" i="7"/>
  <c r="AE96" i="4"/>
  <c r="P398" i="7"/>
  <c r="AE32" i="4"/>
  <c r="P334" i="7"/>
  <c r="AE191" i="4"/>
  <c r="P493" i="7"/>
  <c r="AE127" i="4"/>
  <c r="P429" i="7"/>
  <c r="AE63" i="4"/>
  <c r="P365" i="7"/>
  <c r="AE123" i="4"/>
  <c r="P425" i="7"/>
  <c r="AE158" i="4"/>
  <c r="P460" i="7"/>
  <c r="AE94" i="4"/>
  <c r="P396" i="7"/>
  <c r="AE30" i="4"/>
  <c r="P332" i="7"/>
  <c r="AE189" i="4"/>
  <c r="P491" i="7"/>
  <c r="AE125" i="4"/>
  <c r="P427" i="7"/>
  <c r="AE61" i="4"/>
  <c r="P363" i="7"/>
  <c r="AE164" i="4"/>
  <c r="P466" i="7"/>
  <c r="AE100" i="4"/>
  <c r="P402" i="7"/>
  <c r="AE36" i="4"/>
  <c r="P338" i="7"/>
  <c r="N484" i="7"/>
  <c r="N420" i="7"/>
  <c r="N356" i="7"/>
  <c r="N455" i="7"/>
  <c r="N489" i="7"/>
  <c r="N425" i="7"/>
  <c r="N361" i="7"/>
  <c r="N486" i="7"/>
  <c r="N422" i="7"/>
  <c r="N358" i="7"/>
  <c r="N483" i="7"/>
  <c r="N419" i="7"/>
  <c r="N355" i="7"/>
  <c r="N488" i="7"/>
  <c r="N424" i="7"/>
  <c r="N360" i="7"/>
  <c r="N485" i="7"/>
  <c r="N421" i="7"/>
  <c r="N357" i="7"/>
  <c r="N423" i="7"/>
  <c r="N474" i="7"/>
  <c r="N410" i="7"/>
  <c r="N346" i="7"/>
  <c r="O434" i="7"/>
  <c r="O473" i="7"/>
  <c r="O441" i="7"/>
  <c r="O409" i="7"/>
  <c r="O377" i="7"/>
  <c r="O345" i="7"/>
  <c r="O313" i="7"/>
  <c r="O476" i="7"/>
  <c r="O432" i="7"/>
  <c r="O400" i="7"/>
  <c r="O368" i="7"/>
  <c r="O336" i="7"/>
  <c r="O438" i="7"/>
  <c r="O312" i="7"/>
  <c r="O471" i="7"/>
  <c r="O439" i="7"/>
  <c r="O407" i="7"/>
  <c r="O375" i="7"/>
  <c r="O343" i="7"/>
  <c r="O494" i="7"/>
  <c r="O406" i="7"/>
  <c r="O358" i="7"/>
  <c r="O326" i="7"/>
  <c r="AE186" i="4"/>
  <c r="P488" i="7"/>
  <c r="AE122" i="4"/>
  <c r="P424" i="7"/>
  <c r="AE58" i="4"/>
  <c r="P360" i="7"/>
  <c r="AE147" i="4"/>
  <c r="P449" i="7"/>
  <c r="AE153" i="4"/>
  <c r="P455" i="7"/>
  <c r="AE89" i="4"/>
  <c r="P391" i="7"/>
  <c r="AE25" i="4"/>
  <c r="P327" i="7"/>
  <c r="AE152" i="4"/>
  <c r="P454" i="7"/>
  <c r="AE88" i="4"/>
  <c r="P390" i="7"/>
  <c r="AE24" i="4"/>
  <c r="P326" i="7"/>
  <c r="AE183" i="4"/>
  <c r="P485" i="7"/>
  <c r="AE119" i="4"/>
  <c r="P421" i="7"/>
  <c r="AE55" i="4"/>
  <c r="P357" i="7"/>
  <c r="AE91" i="4"/>
  <c r="P393" i="7"/>
  <c r="AE150" i="4"/>
  <c r="P452" i="7"/>
  <c r="AE86" i="4"/>
  <c r="P388" i="7"/>
  <c r="AE22" i="4"/>
  <c r="P324" i="7"/>
  <c r="AE181" i="4"/>
  <c r="P483" i="7"/>
  <c r="AE117" i="4"/>
  <c r="P419" i="7"/>
  <c r="AE53" i="4"/>
  <c r="P355" i="7"/>
  <c r="AE156" i="4"/>
  <c r="P458" i="7"/>
  <c r="AE92" i="4"/>
  <c r="P394" i="7"/>
  <c r="AE28" i="4"/>
  <c r="P330" i="7"/>
  <c r="N476" i="7"/>
  <c r="N412" i="7"/>
  <c r="N348" i="7"/>
  <c r="N439" i="7"/>
  <c r="N481" i="7"/>
  <c r="N417" i="7"/>
  <c r="N353" i="7"/>
  <c r="N478" i="7"/>
  <c r="N414" i="7"/>
  <c r="N350" i="7"/>
  <c r="N475" i="7"/>
  <c r="N411" i="7"/>
  <c r="N347" i="7"/>
  <c r="N480" i="7"/>
  <c r="N416" i="7"/>
  <c r="N352" i="7"/>
  <c r="N477" i="7"/>
  <c r="N413" i="7"/>
  <c r="N349" i="7"/>
  <c r="N399" i="7"/>
  <c r="N466" i="7"/>
  <c r="N402" i="7"/>
  <c r="N338" i="7"/>
  <c r="O426" i="7"/>
  <c r="O469" i="7"/>
  <c r="O437" i="7"/>
  <c r="O405" i="7"/>
  <c r="O373" i="7"/>
  <c r="O341" i="7"/>
  <c r="O402" i="7"/>
  <c r="O460" i="7"/>
  <c r="O428" i="7"/>
  <c r="O396" i="7"/>
  <c r="O364" i="7"/>
  <c r="O332" i="7"/>
  <c r="O422" i="7"/>
  <c r="O484" i="7"/>
  <c r="O467" i="7"/>
  <c r="O435" i="7"/>
  <c r="O403" i="7"/>
  <c r="O371" i="7"/>
  <c r="O339" i="7"/>
  <c r="O462" i="7"/>
  <c r="O386" i="7"/>
  <c r="O354" i="7"/>
  <c r="O322" i="7"/>
  <c r="AE178" i="4"/>
  <c r="P480" i="7"/>
  <c r="AE114" i="4"/>
  <c r="P416" i="7"/>
  <c r="AE50" i="4"/>
  <c r="P352" i="7"/>
  <c r="AE99" i="4"/>
  <c r="P401" i="7"/>
  <c r="AE145" i="4"/>
  <c r="P447" i="7"/>
  <c r="AE81" i="4"/>
  <c r="P383" i="7"/>
  <c r="AE17" i="4"/>
  <c r="P319" i="7"/>
  <c r="AE144" i="4"/>
  <c r="P446" i="7"/>
  <c r="AE80" i="4"/>
  <c r="P382" i="7"/>
  <c r="AE16" i="4"/>
  <c r="P318" i="7"/>
  <c r="AE175" i="4"/>
  <c r="P477" i="7"/>
  <c r="AE111" i="4"/>
  <c r="P413" i="7"/>
  <c r="AE47" i="4"/>
  <c r="P349" i="7"/>
  <c r="AE67" i="4"/>
  <c r="P369" i="7"/>
  <c r="AE142" i="4"/>
  <c r="P444" i="7"/>
  <c r="AE78" i="4"/>
  <c r="P380" i="7"/>
  <c r="AE14" i="4"/>
  <c r="P316" i="7"/>
  <c r="AE173" i="4"/>
  <c r="P475" i="7"/>
  <c r="AE109" i="4"/>
  <c r="P411" i="7"/>
  <c r="AE45" i="4"/>
  <c r="P347" i="7"/>
  <c r="AE148" i="4"/>
  <c r="P450" i="7"/>
  <c r="AE84" i="4"/>
  <c r="P386" i="7"/>
  <c r="AE20" i="4"/>
  <c r="P322" i="7"/>
  <c r="AE193" i="4"/>
  <c r="P495" i="7"/>
  <c r="N468" i="7"/>
  <c r="N404" i="7"/>
  <c r="N340" i="7"/>
  <c r="N407" i="7"/>
  <c r="N473" i="7"/>
  <c r="N409" i="7"/>
  <c r="N345" i="7"/>
  <c r="N470" i="7"/>
  <c r="N406" i="7"/>
  <c r="N342" i="7"/>
  <c r="N467" i="7"/>
  <c r="N403" i="7"/>
  <c r="N339" i="7"/>
  <c r="N472" i="7"/>
  <c r="N408" i="7"/>
  <c r="N344" i="7"/>
  <c r="N469" i="7"/>
  <c r="N405" i="7"/>
  <c r="N341" i="7"/>
  <c r="N383" i="7"/>
  <c r="N458" i="7"/>
  <c r="N394" i="7"/>
  <c r="N330" i="7"/>
  <c r="O414" i="7"/>
  <c r="O465" i="7"/>
  <c r="O433" i="7"/>
  <c r="O401" i="7"/>
  <c r="O369" i="7"/>
  <c r="O337" i="7"/>
  <c r="O482" i="7"/>
  <c r="O456" i="7"/>
  <c r="O424" i="7"/>
  <c r="O392" i="7"/>
  <c r="O360" i="7"/>
  <c r="O328" i="7"/>
  <c r="O394" i="7"/>
  <c r="O468" i="7"/>
  <c r="O463" i="7"/>
  <c r="O431" i="7"/>
  <c r="O399" i="7"/>
  <c r="O367" i="7"/>
  <c r="O335" i="7"/>
  <c r="O390" i="7"/>
  <c r="O382" i="7"/>
  <c r="O350" i="7"/>
  <c r="O318" i="7"/>
  <c r="AE170" i="4"/>
  <c r="P472" i="7"/>
  <c r="AE106" i="4"/>
  <c r="P408" i="7"/>
  <c r="AE42" i="4"/>
  <c r="P344" i="7"/>
  <c r="AE51" i="4"/>
  <c r="P353" i="7"/>
  <c r="AE137" i="4"/>
  <c r="P439" i="7"/>
  <c r="AE73" i="4"/>
  <c r="P375" i="7"/>
  <c r="AE139" i="4"/>
  <c r="P441" i="7"/>
  <c r="AE136" i="4"/>
  <c r="P438" i="7"/>
  <c r="AE72" i="4"/>
  <c r="P374" i="7"/>
  <c r="AE188" i="4"/>
  <c r="P490" i="7"/>
  <c r="AE167" i="4"/>
  <c r="P469" i="7"/>
  <c r="AE103" i="4"/>
  <c r="P405" i="7"/>
  <c r="AE39" i="4"/>
  <c r="P341" i="7"/>
  <c r="AE35" i="4"/>
  <c r="P337" i="7"/>
  <c r="AE134" i="4"/>
  <c r="P436" i="7"/>
  <c r="AE70" i="4"/>
  <c r="P372" i="7"/>
  <c r="AE155" i="4"/>
  <c r="P457" i="7"/>
  <c r="AE165" i="4"/>
  <c r="P467" i="7"/>
  <c r="AE101" i="4"/>
  <c r="P403" i="7"/>
  <c r="AE37" i="4"/>
  <c r="P339" i="7"/>
  <c r="AE140" i="4"/>
  <c r="P442" i="7"/>
  <c r="AE76" i="4"/>
  <c r="P378" i="7"/>
  <c r="AE12" i="4"/>
  <c r="P314" i="7"/>
  <c r="AE205" i="7"/>
  <c r="AO206" i="7"/>
  <c r="AJ206" i="7"/>
  <c r="AM206" i="7"/>
  <c r="AK206" i="7"/>
  <c r="AL206" i="7"/>
  <c r="AN206" i="7"/>
  <c r="AD207" i="7"/>
  <c r="AF206" i="7"/>
  <c r="AG206" i="7"/>
  <c r="AB189" i="4" l="1"/>
  <c r="Z189" i="4"/>
  <c r="Y189" i="4"/>
  <c r="AA189" i="4"/>
  <c r="X189" i="4"/>
  <c r="AC189" i="4"/>
  <c r="V188" i="4"/>
  <c r="L495" i="7"/>
  <c r="K495" i="7"/>
  <c r="N495" i="7"/>
  <c r="J495" i="7"/>
  <c r="O495" i="7"/>
  <c r="M495" i="7"/>
  <c r="H494" i="7"/>
  <c r="AE206" i="7"/>
  <c r="AJ207" i="7"/>
  <c r="AM207" i="7"/>
  <c r="AK207" i="7"/>
  <c r="AL207" i="7"/>
  <c r="AP207" i="7"/>
  <c r="AO207" i="7"/>
  <c r="AN207" i="7"/>
  <c r="AD208" i="7"/>
  <c r="AF207" i="7"/>
  <c r="AG207" i="7"/>
  <c r="AD190" i="4" l="1"/>
  <c r="AC190" i="4"/>
  <c r="Y190" i="4"/>
  <c r="V189" i="4"/>
  <c r="AA190" i="4"/>
  <c r="Z190" i="4"/>
  <c r="X190" i="4"/>
  <c r="AB190" i="4"/>
  <c r="J496" i="7"/>
  <c r="N496" i="7"/>
  <c r="M496" i="7"/>
  <c r="H495" i="7"/>
  <c r="O496" i="7"/>
  <c r="AE194" i="4"/>
  <c r="P496" i="7"/>
  <c r="L496" i="7"/>
  <c r="K496" i="7"/>
  <c r="AE207" i="7"/>
  <c r="AJ208" i="7"/>
  <c r="AM208" i="7"/>
  <c r="AK208" i="7"/>
  <c r="AL208" i="7"/>
  <c r="AP208" i="7"/>
  <c r="AN208" i="7"/>
  <c r="AO208" i="7"/>
  <c r="AD209" i="7"/>
  <c r="AF208" i="7"/>
  <c r="AG208" i="7"/>
  <c r="AE208" i="7" s="1"/>
  <c r="V190" i="4" l="1"/>
  <c r="AA191" i="4"/>
  <c r="X191" i="4"/>
  <c r="V191" i="4"/>
  <c r="AC191" i="4"/>
  <c r="AB191" i="4"/>
  <c r="AD191" i="4"/>
  <c r="Z191" i="4"/>
  <c r="Y191" i="4"/>
  <c r="AE195" i="4"/>
  <c r="P497" i="7"/>
  <c r="L497" i="7"/>
  <c r="N497" i="7"/>
  <c r="H497" i="7"/>
  <c r="H496" i="7"/>
  <c r="K497" i="7"/>
  <c r="M497" i="7"/>
  <c r="J497" i="7"/>
  <c r="O497" i="7"/>
  <c r="AJ209" i="7"/>
  <c r="AM209" i="7"/>
  <c r="AK209" i="7"/>
  <c r="AL209" i="7"/>
  <c r="AO209" i="7"/>
  <c r="AN209" i="7"/>
  <c r="AP209" i="7"/>
  <c r="AD210" i="7"/>
  <c r="AF209" i="7"/>
  <c r="AG209" i="7"/>
  <c r="AE209" i="7" s="1"/>
  <c r="V192" i="4" l="1"/>
  <c r="AD192" i="4"/>
  <c r="AB192" i="4"/>
  <c r="AC192" i="4"/>
  <c r="Z192" i="4"/>
  <c r="Y192" i="4"/>
  <c r="AA192" i="4"/>
  <c r="X192" i="4"/>
  <c r="K498" i="7"/>
  <c r="H498" i="7"/>
  <c r="M498" i="7"/>
  <c r="AE196" i="4"/>
  <c r="P498" i="7"/>
  <c r="L498" i="7"/>
  <c r="J498" i="7"/>
  <c r="N498" i="7"/>
  <c r="O498" i="7"/>
  <c r="AM210" i="7"/>
  <c r="AJ210" i="7"/>
  <c r="AL210" i="7"/>
  <c r="AK210" i="7"/>
  <c r="AP210" i="7"/>
  <c r="AO210" i="7"/>
  <c r="AN210" i="7"/>
  <c r="AD211" i="7"/>
  <c r="AF210" i="7"/>
  <c r="AG210" i="7"/>
  <c r="X193" i="4" l="1"/>
  <c r="AA193" i="4"/>
  <c r="Z193" i="4"/>
  <c r="AB193" i="4"/>
  <c r="AC193" i="4"/>
  <c r="AD193" i="4"/>
  <c r="Y193" i="4"/>
  <c r="N499" i="7"/>
  <c r="AE197" i="4"/>
  <c r="P499" i="7"/>
  <c r="K499" i="7"/>
  <c r="O499" i="7"/>
  <c r="J499" i="7"/>
  <c r="M499" i="7"/>
  <c r="L499" i="7"/>
  <c r="AE210" i="7"/>
  <c r="AM211" i="7"/>
  <c r="AJ211" i="7"/>
  <c r="AK211" i="7"/>
  <c r="AL211" i="7"/>
  <c r="AO211" i="7"/>
  <c r="AP211" i="7"/>
  <c r="AN211" i="7"/>
  <c r="AD212" i="7"/>
  <c r="AF211" i="7"/>
  <c r="AG211" i="7"/>
  <c r="Y194" i="4" l="1"/>
  <c r="AA194" i="4"/>
  <c r="AC194" i="4"/>
  <c r="Z194" i="4"/>
  <c r="X194" i="4"/>
  <c r="V193" i="4"/>
  <c r="AB194" i="4"/>
  <c r="AD194" i="4"/>
  <c r="H499" i="7"/>
  <c r="M500" i="7"/>
  <c r="L500" i="7"/>
  <c r="N500" i="7"/>
  <c r="AE198" i="4"/>
  <c r="P500" i="7"/>
  <c r="O500" i="7"/>
  <c r="K500" i="7"/>
  <c r="J500" i="7"/>
  <c r="AE211" i="7"/>
  <c r="AM212" i="7"/>
  <c r="AJ212" i="7"/>
  <c r="AK212" i="7"/>
  <c r="AL212" i="7"/>
  <c r="AN212" i="7"/>
  <c r="AP212" i="7"/>
  <c r="AO212" i="7"/>
  <c r="AD213" i="7"/>
  <c r="AF212" i="7"/>
  <c r="AG212" i="7"/>
  <c r="X195" i="4" l="1"/>
  <c r="AA195" i="4"/>
  <c r="V194" i="4"/>
  <c r="AC195" i="4"/>
  <c r="AD195" i="4"/>
  <c r="AB195" i="4"/>
  <c r="Z195" i="4"/>
  <c r="Y195" i="4"/>
  <c r="N501" i="7"/>
  <c r="L501" i="7"/>
  <c r="K501" i="7"/>
  <c r="J501" i="7"/>
  <c r="M501" i="7"/>
  <c r="AE199" i="4"/>
  <c r="P501" i="7"/>
  <c r="H500" i="7"/>
  <c r="O501" i="7"/>
  <c r="AE212" i="7"/>
  <c r="AJ213" i="7"/>
  <c r="AM213" i="7"/>
  <c r="AK213" i="7"/>
  <c r="AL213" i="7"/>
  <c r="AP213" i="7"/>
  <c r="AN213" i="7"/>
  <c r="AO213" i="7"/>
  <c r="AD214" i="7"/>
  <c r="AF213" i="7"/>
  <c r="AG213" i="7"/>
  <c r="X196" i="4" l="1"/>
  <c r="AA196" i="4"/>
  <c r="V195" i="4"/>
  <c r="AC196" i="4"/>
  <c r="AB196" i="4"/>
  <c r="AD196" i="4"/>
  <c r="Z196" i="4"/>
  <c r="Y196" i="4"/>
  <c r="L502" i="7"/>
  <c r="N502" i="7"/>
  <c r="M502" i="7"/>
  <c r="AE200" i="4"/>
  <c r="P502" i="7"/>
  <c r="K502" i="7"/>
  <c r="H501" i="7"/>
  <c r="J502" i="7"/>
  <c r="O502" i="7"/>
  <c r="AE213" i="7"/>
  <c r="AJ214" i="7"/>
  <c r="AM214" i="7"/>
  <c r="AK214" i="7"/>
  <c r="AL214" i="7"/>
  <c r="AP214" i="7"/>
  <c r="AO214" i="7"/>
  <c r="AN214" i="7"/>
  <c r="AD215" i="7"/>
  <c r="AF214" i="7"/>
  <c r="AG214" i="7"/>
  <c r="V196" i="4" l="1"/>
  <c r="AA197" i="4"/>
  <c r="X197" i="4"/>
  <c r="AB197" i="4"/>
  <c r="AC197" i="4"/>
  <c r="AD197" i="4"/>
  <c r="Z197" i="4"/>
  <c r="Y197" i="4"/>
  <c r="O503" i="7"/>
  <c r="AE201" i="4"/>
  <c r="P503" i="7"/>
  <c r="L503" i="7"/>
  <c r="K503" i="7"/>
  <c r="J503" i="7"/>
  <c r="H502" i="7"/>
  <c r="M503" i="7"/>
  <c r="N503" i="7"/>
  <c r="AE214" i="7"/>
  <c r="AJ215" i="7"/>
  <c r="AM215" i="7"/>
  <c r="AL215" i="7"/>
  <c r="AK215" i="7"/>
  <c r="AP215" i="7"/>
  <c r="AO215" i="7"/>
  <c r="AN215" i="7"/>
  <c r="AD216" i="7"/>
  <c r="AF215" i="7"/>
  <c r="AG215" i="7"/>
  <c r="X198" i="4" l="1"/>
  <c r="AA198" i="4"/>
  <c r="V197" i="4"/>
  <c r="AB198" i="4"/>
  <c r="AC198" i="4"/>
  <c r="AD198" i="4"/>
  <c r="Y198" i="4"/>
  <c r="Z198" i="4"/>
  <c r="O504" i="7"/>
  <c r="K504" i="7"/>
  <c r="AE202" i="4"/>
  <c r="P504" i="7"/>
  <c r="L504" i="7"/>
  <c r="M504" i="7"/>
  <c r="J504" i="7"/>
  <c r="H503" i="7"/>
  <c r="N504" i="7"/>
  <c r="AE215" i="7"/>
  <c r="AM216" i="7"/>
  <c r="AJ216" i="7"/>
  <c r="AK216" i="7"/>
  <c r="AL216" i="7"/>
  <c r="AP216" i="7"/>
  <c r="AO216" i="7"/>
  <c r="AN216" i="7"/>
  <c r="AD217" i="7"/>
  <c r="AF216" i="7"/>
  <c r="AG216" i="7"/>
  <c r="X199" i="4" l="1"/>
  <c r="AA199" i="4"/>
  <c r="V198" i="4"/>
  <c r="AB199" i="4"/>
  <c r="AC199" i="4"/>
  <c r="AD199" i="4"/>
  <c r="Z199" i="4"/>
  <c r="Y199" i="4"/>
  <c r="AE203" i="4"/>
  <c r="P505" i="7"/>
  <c r="O505" i="7"/>
  <c r="L505" i="7"/>
  <c r="H504" i="7"/>
  <c r="K505" i="7"/>
  <c r="J505" i="7"/>
  <c r="M505" i="7"/>
  <c r="N505" i="7"/>
  <c r="AE216" i="7"/>
  <c r="AJ217" i="7"/>
  <c r="AM217" i="7"/>
  <c r="AK217" i="7"/>
  <c r="AL217" i="7"/>
  <c r="AN217" i="7"/>
  <c r="AP217" i="7"/>
  <c r="AO217" i="7"/>
  <c r="AD218" i="7"/>
  <c r="AF217" i="7"/>
  <c r="AG217" i="7"/>
  <c r="AA200" i="4" l="1"/>
  <c r="V199" i="4"/>
  <c r="X200" i="4"/>
  <c r="AC200" i="4"/>
  <c r="AD200" i="4"/>
  <c r="AB200" i="4"/>
  <c r="Z200" i="4"/>
  <c r="Y200" i="4"/>
  <c r="N506" i="7"/>
  <c r="M506" i="7"/>
  <c r="K506" i="7"/>
  <c r="J506" i="7"/>
  <c r="AE204" i="4"/>
  <c r="P506" i="7"/>
  <c r="L506" i="7"/>
  <c r="H505" i="7"/>
  <c r="O506" i="7"/>
  <c r="AE217" i="7"/>
  <c r="AJ218" i="7"/>
  <c r="AM218" i="7"/>
  <c r="AK218" i="7"/>
  <c r="AL218" i="7"/>
  <c r="AN218" i="7"/>
  <c r="AP218" i="7"/>
  <c r="AO218" i="7"/>
  <c r="AD219" i="7"/>
  <c r="AF218" i="7"/>
  <c r="AG218" i="7"/>
  <c r="AA201" i="4" l="1"/>
  <c r="X201" i="4"/>
  <c r="V200" i="4"/>
  <c r="AC201" i="4"/>
  <c r="AD201" i="4"/>
  <c r="AB201" i="4"/>
  <c r="Z201" i="4"/>
  <c r="Y201" i="4"/>
  <c r="N507" i="7"/>
  <c r="K507" i="7"/>
  <c r="AE205" i="4"/>
  <c r="P507" i="7"/>
  <c r="L507" i="7"/>
  <c r="H506" i="7"/>
  <c r="M507" i="7"/>
  <c r="J507" i="7"/>
  <c r="O507" i="7"/>
  <c r="AE218" i="7"/>
  <c r="AM219" i="7"/>
  <c r="AJ219" i="7"/>
  <c r="AK219" i="7"/>
  <c r="AL219" i="7"/>
  <c r="AO219" i="7"/>
  <c r="AP219" i="7"/>
  <c r="AN219" i="7"/>
  <c r="AD220" i="7"/>
  <c r="AF219" i="7"/>
  <c r="AG219" i="7"/>
  <c r="AA202" i="4" l="1"/>
  <c r="X202" i="4"/>
  <c r="V201" i="4"/>
  <c r="AB202" i="4"/>
  <c r="AD202" i="4"/>
  <c r="AC202" i="4"/>
  <c r="Z202" i="4"/>
  <c r="Y202" i="4"/>
  <c r="AE206" i="4"/>
  <c r="P508" i="7"/>
  <c r="M508" i="7"/>
  <c r="L508" i="7"/>
  <c r="H507" i="7"/>
  <c r="O508" i="7"/>
  <c r="K508" i="7"/>
  <c r="J508" i="7"/>
  <c r="N508" i="7"/>
  <c r="AE219" i="7"/>
  <c r="AM220" i="7"/>
  <c r="AJ220" i="7"/>
  <c r="AL220" i="7"/>
  <c r="AK220" i="7"/>
  <c r="AO220" i="7"/>
  <c r="AN220" i="7"/>
  <c r="AP220" i="7"/>
  <c r="AD221" i="7"/>
  <c r="AF220" i="7"/>
  <c r="AG220" i="7"/>
  <c r="X203" i="4" l="1"/>
  <c r="AA203" i="4"/>
  <c r="V202" i="4"/>
  <c r="AD203" i="4"/>
  <c r="AB203" i="4"/>
  <c r="AC203" i="4"/>
  <c r="Y203" i="4"/>
  <c r="Z203" i="4"/>
  <c r="AC207" i="4"/>
  <c r="N509" i="7"/>
  <c r="AD207" i="4"/>
  <c r="O509" i="7"/>
  <c r="Z207" i="4"/>
  <c r="K509" i="7"/>
  <c r="AA207" i="4"/>
  <c r="L509" i="7"/>
  <c r="Y207" i="4"/>
  <c r="J509" i="7"/>
  <c r="AB207" i="4"/>
  <c r="M509" i="7"/>
  <c r="H508" i="7"/>
  <c r="AE207" i="4"/>
  <c r="P509" i="7"/>
  <c r="AE220" i="7"/>
  <c r="AJ221" i="7"/>
  <c r="AM221" i="7"/>
  <c r="AK221" i="7"/>
  <c r="AL221" i="7"/>
  <c r="AO221" i="7"/>
  <c r="AP221" i="7"/>
  <c r="AN221" i="7"/>
  <c r="AD222" i="7"/>
  <c r="AF221" i="7"/>
  <c r="AG221" i="7"/>
  <c r="AC204" i="4" l="1"/>
  <c r="AB204" i="4"/>
  <c r="AD204" i="4"/>
  <c r="Z204" i="4"/>
  <c r="Y204" i="4"/>
  <c r="AA204" i="4"/>
  <c r="X204" i="4"/>
  <c r="V203" i="4"/>
  <c r="AC208" i="4"/>
  <c r="N510" i="7"/>
  <c r="AE208" i="4"/>
  <c r="P510" i="7"/>
  <c r="AD208" i="4"/>
  <c r="O510" i="7"/>
  <c r="AA208" i="4"/>
  <c r="L510" i="7"/>
  <c r="Z208" i="4"/>
  <c r="K510" i="7"/>
  <c r="AB208" i="4"/>
  <c r="M510" i="7"/>
  <c r="W207" i="4"/>
  <c r="H509" i="7"/>
  <c r="Y208" i="4"/>
  <c r="J510" i="7"/>
  <c r="AE221" i="7"/>
  <c r="AJ222" i="7"/>
  <c r="AM222" i="7"/>
  <c r="AL222" i="7"/>
  <c r="AK222" i="7"/>
  <c r="AP222" i="7"/>
  <c r="AO222" i="7"/>
  <c r="AN222" i="7"/>
  <c r="AD223" i="7"/>
  <c r="AF222" i="7"/>
  <c r="AG222" i="7"/>
  <c r="AB205" i="4" l="1"/>
  <c r="AC205" i="4"/>
  <c r="AD205" i="4"/>
  <c r="Y205" i="4"/>
  <c r="Z205" i="4"/>
  <c r="AA205" i="4"/>
  <c r="X205" i="4"/>
  <c r="V204" i="4"/>
  <c r="AC209" i="4"/>
  <c r="N511" i="7"/>
  <c r="Z209" i="4"/>
  <c r="K511" i="7"/>
  <c r="AA209" i="4"/>
  <c r="L511" i="7"/>
  <c r="AB209" i="4"/>
  <c r="M511" i="7"/>
  <c r="AD209" i="4"/>
  <c r="O511" i="7"/>
  <c r="Y209" i="4"/>
  <c r="J511" i="7"/>
  <c r="AE209" i="4"/>
  <c r="P511" i="7"/>
  <c r="W208" i="4"/>
  <c r="H510" i="7"/>
  <c r="AE222" i="7"/>
  <c r="AM223" i="7"/>
  <c r="AJ223" i="7"/>
  <c r="AL223" i="7"/>
  <c r="AK223" i="7"/>
  <c r="AP223" i="7"/>
  <c r="AO223" i="7"/>
  <c r="AN223" i="7"/>
  <c r="AF223" i="7"/>
  <c r="AG223" i="7" s="1"/>
  <c r="AB206" i="4" l="1"/>
  <c r="AD206" i="4"/>
  <c r="AC206" i="4"/>
  <c r="Y206" i="4"/>
  <c r="Z206" i="4"/>
  <c r="X206" i="4"/>
  <c r="AA206" i="4"/>
  <c r="V205" i="4"/>
  <c r="AC210" i="4"/>
  <c r="N512" i="7"/>
  <c r="AD210" i="4"/>
  <c r="O512" i="7"/>
  <c r="AE210" i="4"/>
  <c r="P512" i="7"/>
  <c r="AB210" i="4"/>
  <c r="M512" i="7"/>
  <c r="Z210" i="4"/>
  <c r="K512" i="7"/>
  <c r="AA210" i="4"/>
  <c r="L512" i="7"/>
  <c r="Y210" i="4"/>
  <c r="J512" i="7"/>
  <c r="W209" i="4"/>
  <c r="H511" i="7"/>
  <c r="AE223" i="7"/>
  <c r="V206" i="4" l="1"/>
  <c r="W210" i="4"/>
  <c r="H512" i="7"/>
  <c r="S118" i="7"/>
  <c r="R125" i="7" s="1"/>
  <c r="P116" i="7"/>
  <c r="P118" i="7" s="1"/>
  <c r="I125" i="7" l="1"/>
  <c r="L125" i="7" s="1"/>
  <c r="R126" i="7"/>
  <c r="I124" i="7"/>
  <c r="L124" i="7" s="1"/>
  <c r="BS3" i="7" l="1"/>
  <c r="BQ2" i="7"/>
  <c r="BT3" i="7"/>
  <c r="H9" i="14"/>
  <c r="J9" i="14" s="1"/>
  <c r="I126" i="7"/>
  <c r="L126" i="7" s="1"/>
  <c r="E150" i="7"/>
  <c r="C150" i="7" s="1"/>
  <c r="M124" i="7"/>
  <c r="D150" i="7"/>
  <c r="H8" i="14"/>
  <c r="J8" i="14" s="1"/>
  <c r="R127" i="7"/>
  <c r="BQ3" i="7"/>
  <c r="H10" i="14" l="1"/>
  <c r="I127" i="7"/>
  <c r="L127" i="7" s="1"/>
  <c r="K124" i="7"/>
  <c r="K8" i="14" s="1"/>
  <c r="R128" i="7"/>
  <c r="J10" i="14" l="1"/>
  <c r="BQ4" i="7"/>
  <c r="BU3" i="7"/>
  <c r="BQ5" i="7"/>
  <c r="H11" i="14"/>
  <c r="J11" i="14" s="1"/>
  <c r="I128" i="7"/>
  <c r="L128" i="7" s="1"/>
  <c r="R129" i="7"/>
  <c r="BV3" i="7" l="1"/>
  <c r="BW3" i="7"/>
  <c r="H12" i="14"/>
  <c r="J12" i="14" s="1"/>
  <c r="I129" i="7"/>
  <c r="L129" i="7" s="1"/>
  <c r="R130" i="7"/>
  <c r="BQ6" i="7" l="1"/>
  <c r="H13" i="14"/>
  <c r="J13" i="14" s="1"/>
  <c r="I130" i="7"/>
  <c r="L130" i="7" s="1"/>
  <c r="R131" i="7"/>
  <c r="BQ7" i="7"/>
  <c r="BX3" i="7"/>
  <c r="BY3" i="7" l="1"/>
  <c r="H14" i="14"/>
  <c r="J14" i="14" s="1"/>
  <c r="I131" i="7"/>
  <c r="L131" i="7" s="1"/>
  <c r="R132" i="7"/>
  <c r="BQ8" i="7" l="1"/>
  <c r="BZ3" i="7"/>
  <c r="H15" i="14"/>
  <c r="I132" i="7"/>
  <c r="L132" i="7" s="1"/>
  <c r="R133" i="7"/>
  <c r="J15" i="14" l="1"/>
  <c r="I133" i="7"/>
  <c r="L133" i="7" s="1"/>
  <c r="BQ9" i="7"/>
  <c r="CA3" i="7"/>
  <c r="H16" i="14"/>
  <c r="R134" i="7"/>
  <c r="J16" i="14" l="1"/>
  <c r="BQ10" i="7"/>
  <c r="CB3" i="7"/>
  <c r="H17" i="14"/>
  <c r="J17" i="14" s="1"/>
  <c r="I135" i="7"/>
  <c r="L135" i="7" s="1"/>
  <c r="I134" i="7"/>
  <c r="L134" i="7" s="1"/>
  <c r="BQ11" i="7"/>
  <c r="R135" i="7"/>
  <c r="H18" i="14" l="1"/>
  <c r="J18" i="14" s="1"/>
  <c r="BQ13" i="7"/>
  <c r="H19" i="14"/>
  <c r="J19" i="14" s="1"/>
  <c r="BQ12" i="7"/>
  <c r="CC3" i="7"/>
  <c r="CD3" i="7" l="1"/>
  <c r="F8" i="14" l="1"/>
  <c r="F11" i="14" l="1"/>
  <c r="F127" i="7"/>
  <c r="F10" i="14"/>
  <c r="F126" i="7"/>
  <c r="BP4" i="7" l="1"/>
  <c r="M126" i="7"/>
  <c r="D152" i="7"/>
  <c r="BU2" i="7"/>
  <c r="E152" i="7"/>
  <c r="C152" i="7" s="1"/>
  <c r="N10" i="14"/>
  <c r="BV2" i="7"/>
  <c r="E153" i="7"/>
  <c r="C153" i="7" s="1"/>
  <c r="BP5" i="7"/>
  <c r="M127" i="7"/>
  <c r="N11" i="14"/>
  <c r="D153" i="7"/>
  <c r="F12" i="14"/>
  <c r="F128" i="7"/>
  <c r="K127" i="7" l="1"/>
  <c r="K11" i="14" s="1"/>
  <c r="K126" i="7"/>
  <c r="K10" i="14" s="1"/>
  <c r="M128" i="7"/>
  <c r="E154" i="7"/>
  <c r="C154" i="7" s="1"/>
  <c r="BP6" i="7"/>
  <c r="D154" i="7"/>
  <c r="BW2" i="7"/>
  <c r="N12" i="14"/>
  <c r="F13" i="14"/>
  <c r="F129" i="7"/>
  <c r="K128" i="7" l="1"/>
  <c r="K12" i="14" s="1"/>
  <c r="N13" i="14"/>
  <c r="M129" i="7"/>
  <c r="BP7" i="7"/>
  <c r="E155" i="7"/>
  <c r="C155" i="7" s="1"/>
  <c r="D155" i="7"/>
  <c r="BX2" i="7"/>
  <c r="F14" i="14"/>
  <c r="F130" i="7"/>
  <c r="K129" i="7" l="1"/>
  <c r="K13" i="14" s="1"/>
  <c r="BY2" i="7"/>
  <c r="E156" i="7"/>
  <c r="C156" i="7" s="1"/>
  <c r="M130" i="7"/>
  <c r="N14" i="14"/>
  <c r="D156" i="7"/>
  <c r="BP8" i="7"/>
  <c r="F15" i="14"/>
  <c r="F131" i="7"/>
  <c r="K130" i="7" l="1"/>
  <c r="K14" i="14" s="1"/>
  <c r="F132" i="7"/>
  <c r="F16" i="14"/>
  <c r="BZ2" i="7"/>
  <c r="BP9" i="7"/>
  <c r="E157" i="7"/>
  <c r="C157" i="7" s="1"/>
  <c r="N15" i="14"/>
  <c r="M131" i="7"/>
  <c r="D157" i="7"/>
  <c r="K131" i="7" l="1"/>
  <c r="K15" i="14" s="1"/>
  <c r="E158" i="7"/>
  <c r="C158" i="7" s="1"/>
  <c r="N16" i="14"/>
  <c r="D158" i="7"/>
  <c r="M132" i="7"/>
  <c r="CA2" i="7"/>
  <c r="BP10" i="7"/>
  <c r="F17" i="14"/>
  <c r="F133" i="7"/>
  <c r="K132" i="7" l="1"/>
  <c r="K16" i="14" s="1"/>
  <c r="F134" i="7"/>
  <c r="F18" i="14"/>
  <c r="M133" i="7"/>
  <c r="D159" i="7"/>
  <c r="CB2" i="7"/>
  <c r="E159" i="7"/>
  <c r="C159" i="7" s="1"/>
  <c r="N17" i="14"/>
  <c r="BP11" i="7"/>
  <c r="K133" i="7" l="1"/>
  <c r="K17" i="14" s="1"/>
  <c r="BP12" i="7"/>
  <c r="N18" i="14"/>
  <c r="CC2" i="7"/>
  <c r="M134" i="7"/>
  <c r="D160" i="7"/>
  <c r="E160" i="7"/>
  <c r="C160" i="7" s="1"/>
  <c r="F19" i="14"/>
  <c r="F135" i="7"/>
  <c r="K134" i="7" l="1"/>
  <c r="K18" i="14" s="1"/>
  <c r="N19" i="14"/>
  <c r="CD2" i="7"/>
  <c r="D161" i="7"/>
  <c r="E161" i="7"/>
  <c r="C161" i="7" s="1"/>
  <c r="M135" i="7"/>
  <c r="BP13" i="7"/>
  <c r="K135" i="7" l="1"/>
  <c r="K19" i="14" s="1"/>
  <c r="F9" i="14" l="1"/>
  <c r="F125" i="7"/>
  <c r="BP3" i="7" s="1"/>
  <c r="E151" i="7" l="1"/>
  <c r="C151" i="7" s="1"/>
  <c r="M125" i="7"/>
  <c r="N9" i="14"/>
  <c r="BT2" i="7"/>
  <c r="D151" i="7"/>
  <c r="K125" i="7" l="1"/>
  <c r="N124" i="7" s="1"/>
  <c r="N126" i="7" l="1"/>
  <c r="L10" i="14" s="1"/>
  <c r="N125" i="7"/>
  <c r="L9" i="14" s="1"/>
  <c r="K137" i="7"/>
  <c r="N131" i="7"/>
  <c r="A131" i="7" s="1"/>
  <c r="N130" i="7"/>
  <c r="A130" i="7" s="1"/>
  <c r="N128" i="7"/>
  <c r="L12" i="14" s="1"/>
  <c r="N132" i="7"/>
  <c r="A132" i="7" s="1"/>
  <c r="N127" i="7"/>
  <c r="L11" i="14" s="1"/>
  <c r="N129" i="7"/>
  <c r="A129" i="7" s="1"/>
  <c r="N135" i="7"/>
  <c r="A135" i="7" s="1"/>
  <c r="K9" i="14"/>
  <c r="N134" i="7"/>
  <c r="L18" i="14" s="1"/>
  <c r="N133" i="7"/>
  <c r="A133" i="7" s="1"/>
  <c r="A124" i="7"/>
  <c r="L8" i="14"/>
  <c r="L19" i="14" l="1"/>
  <c r="A125" i="7"/>
  <c r="L13" i="14"/>
  <c r="A126" i="7"/>
  <c r="L15" i="14"/>
  <c r="A128" i="7"/>
  <c r="L14" i="14"/>
  <c r="A127" i="7"/>
  <c r="L16" i="14"/>
  <c r="L17" i="14"/>
  <c r="A134" i="7"/>
  <c r="C140" i="7" l="1"/>
  <c r="F63" i="7"/>
  <c r="R71" i="4" s="1"/>
  <c r="T71" i="4" l="1"/>
  <c r="S71" i="4"/>
  <c r="J63" i="7"/>
  <c r="I63" i="7"/>
  <c r="J20" i="14" s="1"/>
  <c r="D377" i="7"/>
  <c r="H20" i="4" l="1"/>
  <c r="F99" i="7" s="1"/>
  <c r="I20" i="4"/>
  <c r="G99" i="7" s="1"/>
  <c r="E377" i="7"/>
  <c r="F377" i="7"/>
</calcChain>
</file>

<file path=xl/sharedStrings.xml><?xml version="1.0" encoding="utf-8"?>
<sst xmlns="http://schemas.openxmlformats.org/spreadsheetml/2006/main" count="794" uniqueCount="382">
  <si>
    <t>Europese Aanbesteding</t>
  </si>
  <si>
    <t>BPK-Grafiek</t>
  </si>
  <si>
    <t>Vergelijkingswaarde</t>
  </si>
  <si>
    <t>Indicatie eigen score</t>
  </si>
  <si>
    <t>Score Kwaliteit</t>
  </si>
  <si>
    <t>Indicatie BPK-score</t>
  </si>
  <si>
    <t xml:space="preserve"> </t>
  </si>
  <si>
    <t>Wq</t>
  </si>
  <si>
    <t>Wp</t>
  </si>
  <si>
    <t>Qwensen</t>
  </si>
  <si>
    <t>Referentie</t>
  </si>
  <si>
    <t>Naam inkooptraject</t>
  </si>
  <si>
    <t>Kenmerk</t>
  </si>
  <si>
    <t>Naam organisatie</t>
  </si>
  <si>
    <t>Datum Publicatie</t>
  </si>
  <si>
    <t>CPV-code</t>
  </si>
  <si>
    <t>Contactpersoon</t>
  </si>
  <si>
    <t>Telefoonnummer</t>
  </si>
  <si>
    <t>#</t>
  </si>
  <si>
    <t>Pref</t>
  </si>
  <si>
    <t>Qref</t>
  </si>
  <si>
    <t>Qmax</t>
  </si>
  <si>
    <t>n-waarde</t>
  </si>
  <si>
    <t>P(inschrijver)</t>
  </si>
  <si>
    <t>Score</t>
  </si>
  <si>
    <t>= invoervelden</t>
  </si>
  <si>
    <t>Rang-
orde</t>
  </si>
  <si>
    <t>Inschrijver</t>
  </si>
  <si>
    <r>
      <t>P</t>
    </r>
    <r>
      <rPr>
        <b/>
        <i/>
        <vertAlign val="subscript"/>
        <sz val="11"/>
        <color theme="1"/>
        <rFont val="Verdana"/>
        <family val="2"/>
      </rPr>
      <t>i</t>
    </r>
  </si>
  <si>
    <r>
      <rPr>
        <b/>
        <i/>
        <sz val="11"/>
        <color theme="1"/>
        <rFont val="Verdana"/>
        <family val="2"/>
      </rPr>
      <t>SCORE</t>
    </r>
    <r>
      <rPr>
        <b/>
        <vertAlign val="subscript"/>
        <sz val="11"/>
        <color theme="1"/>
        <rFont val="Verdana"/>
        <family val="2"/>
      </rPr>
      <t>i</t>
    </r>
  </si>
  <si>
    <t>1</t>
  </si>
  <si>
    <t>2</t>
  </si>
  <si>
    <t>3</t>
  </si>
  <si>
    <t>4</t>
  </si>
  <si>
    <t>5</t>
  </si>
  <si>
    <t>6</t>
  </si>
  <si>
    <t>7</t>
  </si>
  <si>
    <t>8</t>
  </si>
  <si>
    <t>9</t>
  </si>
  <si>
    <t>10</t>
  </si>
  <si>
    <t>11</t>
  </si>
  <si>
    <t>12</t>
  </si>
  <si>
    <t>Referentie (Qmax)</t>
  </si>
  <si>
    <t>Waarde</t>
  </si>
  <si>
    <t xml:space="preserve">Winnaar </t>
  </si>
  <si>
    <t>Inschrijfprijs</t>
  </si>
  <si>
    <t>BPK-Score</t>
  </si>
  <si>
    <t>Legenda voorbeeld inschrijvingen</t>
  </si>
  <si>
    <r>
      <t>P</t>
    </r>
    <r>
      <rPr>
        <b/>
        <vertAlign val="subscript"/>
        <sz val="11"/>
        <color theme="1"/>
        <rFont val="Verdana"/>
        <family val="2"/>
      </rPr>
      <t>i</t>
    </r>
  </si>
  <si>
    <r>
      <t>Q</t>
    </r>
    <r>
      <rPr>
        <b/>
        <vertAlign val="subscript"/>
        <sz val="11"/>
        <color theme="1"/>
        <rFont val="Verdana"/>
        <family val="2"/>
      </rPr>
      <t>i</t>
    </r>
  </si>
  <si>
    <r>
      <t>Score</t>
    </r>
    <r>
      <rPr>
        <b/>
        <vertAlign val="subscript"/>
        <sz val="11"/>
        <color theme="1"/>
        <rFont val="Verdana"/>
        <family val="2"/>
      </rPr>
      <t>i</t>
    </r>
  </si>
  <si>
    <t xml:space="preserve">Basis voor </t>
  </si>
  <si>
    <t>Grafiek</t>
  </si>
  <si>
    <t>Verdelen van de Qwensen in 20 stappen</t>
  </si>
  <si>
    <t>Basis</t>
  </si>
  <si>
    <t xml:space="preserve">Prijs </t>
  </si>
  <si>
    <t>verschoven</t>
  </si>
  <si>
    <t xml:space="preserve">Waarde </t>
  </si>
  <si>
    <t xml:space="preserve">voor </t>
  </si>
  <si>
    <t>X-as</t>
  </si>
  <si>
    <t>Matrix 2x2</t>
  </si>
  <si>
    <t>Y-as</t>
  </si>
  <si>
    <t>%</t>
  </si>
  <si>
    <t>Qmin+Qwensen</t>
  </si>
  <si>
    <t>Pi</t>
  </si>
  <si>
    <t>Qi</t>
  </si>
  <si>
    <t>deel</t>
  </si>
  <si>
    <t>genormaliseerd</t>
  </si>
  <si>
    <r>
      <t>= Q</t>
    </r>
    <r>
      <rPr>
        <vertAlign val="subscript"/>
        <sz val="11"/>
        <color theme="1"/>
        <rFont val="Verdana"/>
        <family val="2"/>
      </rPr>
      <t>wensen</t>
    </r>
  </si>
  <si>
    <t>Voor fixeren van de Y-as, gaat in model via macro</t>
  </si>
  <si>
    <t>X-as is genormaliseerd naar 0 - 100% kwaliteit</t>
  </si>
  <si>
    <t>Ref</t>
  </si>
  <si>
    <t>Plafondprijs</t>
  </si>
  <si>
    <t>Ondergrens</t>
  </si>
  <si>
    <t>LAQ</t>
  </si>
  <si>
    <t>Hulpvelden</t>
  </si>
  <si>
    <t>Ref lijn</t>
  </si>
  <si>
    <t>Referentie (onder)</t>
  </si>
  <si>
    <t>Winnaar</t>
  </si>
  <si>
    <t>Lijn X-as</t>
  </si>
  <si>
    <t>Bovengrens</t>
  </si>
  <si>
    <t>Label</t>
  </si>
  <si>
    <t>Gunningswaarde</t>
  </si>
  <si>
    <t>Evaluatie</t>
  </si>
  <si>
    <t>Disclaimer</t>
  </si>
  <si>
    <t>BPK-lijn Ref</t>
  </si>
  <si>
    <t>BPK-Lijn -2</t>
  </si>
  <si>
    <t>BPK-Lijn -1</t>
  </si>
  <si>
    <t>BPK-Lijn +1</t>
  </si>
  <si>
    <t>BPK-Lijn +2</t>
  </si>
  <si>
    <t>BPK-Lijn +3</t>
  </si>
  <si>
    <t>Hulpvelden voor opbouw van de EMVI-lijnen</t>
  </si>
  <si>
    <t>Stappen</t>
  </si>
  <si>
    <t>LAQ (y-as)</t>
  </si>
  <si>
    <t>LAQ (x-as)</t>
  </si>
  <si>
    <t>Score-lijn</t>
  </si>
  <si>
    <t>BPK-Lijnen</t>
  </si>
  <si>
    <t>Hulpvelden voor grafiek  (as-label)</t>
  </si>
  <si>
    <t>ondergrens</t>
  </si>
  <si>
    <t>bovengrens</t>
  </si>
  <si>
    <t>primaire eenheid</t>
  </si>
  <si>
    <t>Prijs</t>
  </si>
  <si>
    <t>Plafondprijs x-as</t>
  </si>
  <si>
    <t>Plafondprijs y-as</t>
  </si>
  <si>
    <t>Gegevens voor grafiek</t>
  </si>
  <si>
    <t>Qmax (x-as)</t>
  </si>
  <si>
    <t>Qmax (y-as)</t>
  </si>
  <si>
    <t>Plafondprijs (x-as)</t>
  </si>
  <si>
    <t>Plafondprijs (y-as)</t>
  </si>
  <si>
    <t>Naam</t>
  </si>
  <si>
    <r>
      <t xml:space="preserve"> = W</t>
    </r>
    <r>
      <rPr>
        <vertAlign val="subscript"/>
        <sz val="11"/>
        <color theme="1"/>
        <rFont val="Verdana"/>
        <family val="2"/>
      </rPr>
      <t>p</t>
    </r>
  </si>
  <si>
    <r>
      <t xml:space="preserve"> = W</t>
    </r>
    <r>
      <rPr>
        <vertAlign val="subscript"/>
        <sz val="11"/>
        <color theme="1"/>
        <rFont val="Verdana"/>
        <family val="2"/>
      </rPr>
      <t>q</t>
    </r>
  </si>
  <si>
    <r>
      <t xml:space="preserve"> = P</t>
    </r>
    <r>
      <rPr>
        <vertAlign val="subscript"/>
        <sz val="11"/>
        <color theme="1"/>
        <rFont val="Verdana"/>
        <family val="2"/>
      </rPr>
      <t>max</t>
    </r>
  </si>
  <si>
    <r>
      <t xml:space="preserve"> = Q</t>
    </r>
    <r>
      <rPr>
        <vertAlign val="subscript"/>
        <sz val="11"/>
        <color theme="1"/>
        <rFont val="Verdana"/>
        <family val="2"/>
      </rPr>
      <t>knockout</t>
    </r>
  </si>
  <si>
    <t>Inschrijver 1</t>
  </si>
  <si>
    <t>Inschrijver 2</t>
  </si>
  <si>
    <t>Inschrijver 3</t>
  </si>
  <si>
    <t>Inschrijver 4</t>
  </si>
  <si>
    <t>Inschrijver 5</t>
  </si>
  <si>
    <t>Inschrijver 6</t>
  </si>
  <si>
    <t>Inschrijver 7</t>
  </si>
  <si>
    <t>Inschrijver 8</t>
  </si>
  <si>
    <t>Inschrijver 9</t>
  </si>
  <si>
    <t>Inschrijver 10</t>
  </si>
  <si>
    <t>Inschrijver 11</t>
  </si>
  <si>
    <t>Inschrijver 12</t>
  </si>
  <si>
    <t>!!</t>
  </si>
  <si>
    <t>Adapted' variant</t>
  </si>
  <si>
    <t>Maximaal in Procenten</t>
  </si>
  <si>
    <t xml:space="preserve">adapted </t>
  </si>
  <si>
    <t>Qmin</t>
  </si>
  <si>
    <t>Stappen hulplijnen</t>
  </si>
  <si>
    <t>Qreferentie</t>
  </si>
  <si>
    <t>Maximaal</t>
  </si>
  <si>
    <t>Punten Qmin</t>
  </si>
  <si>
    <t>Punten bij Qmax</t>
  </si>
  <si>
    <t>Waardelijn (y-as)</t>
  </si>
  <si>
    <t>Waardelijn (x-as)</t>
  </si>
  <si>
    <t>Delta</t>
  </si>
  <si>
    <t>Qref =</t>
  </si>
  <si>
    <r>
      <t xml:space="preserve"> = P</t>
    </r>
    <r>
      <rPr>
        <vertAlign val="subscript"/>
        <sz val="11"/>
        <color theme="1"/>
        <rFont val="Verdana"/>
        <family val="2"/>
      </rPr>
      <t>min</t>
    </r>
  </si>
  <si>
    <t>Ten behoeve van BD</t>
  </si>
  <si>
    <t>Qi (norm)</t>
  </si>
  <si>
    <t>lev. Naam</t>
  </si>
  <si>
    <t>Rang</t>
  </si>
  <si>
    <r>
      <t>Q</t>
    </r>
    <r>
      <rPr>
        <b/>
        <i/>
        <vertAlign val="subscript"/>
        <sz val="11"/>
        <color theme="1"/>
        <rFont val="Verdana"/>
        <family val="2"/>
      </rPr>
      <t>i</t>
    </r>
  </si>
  <si>
    <t>Methodiek</t>
  </si>
  <si>
    <t>lev. #</t>
  </si>
  <si>
    <t>Tekst voor beschrijvend document</t>
  </si>
  <si>
    <t>BPK-formule</t>
  </si>
  <si>
    <t>N-waarde</t>
  </si>
  <si>
    <t>Lijn+2</t>
  </si>
  <si>
    <t>Lijn+3</t>
  </si>
  <si>
    <t>Lijn+1</t>
  </si>
  <si>
    <t xml:space="preserve">Ter illustratie zijn in de grafiek de scores van vijf Inschrijvers weergegeven. </t>
  </si>
  <si>
    <t>Voorbeeld</t>
  </si>
  <si>
    <t>Kwaliteitsscore</t>
  </si>
  <si>
    <t>BPK-score</t>
  </si>
  <si>
    <t>Q'i (norm)</t>
  </si>
  <si>
    <t xml:space="preserve">Qi </t>
  </si>
  <si>
    <t>Kwaliteitsscore Adapt</t>
  </si>
  <si>
    <t>Winnaar INFO BD</t>
  </si>
  <si>
    <t>nummer 2</t>
  </si>
  <si>
    <t>nummer 5</t>
  </si>
  <si>
    <t>Toepassen</t>
  </si>
  <si>
    <t>Hoogste verwachte waarde</t>
  </si>
  <si>
    <t>Laagste verwachte waarde</t>
  </si>
  <si>
    <t xml:space="preserve">Minimale score kwaliteit Inschrijver </t>
  </si>
  <si>
    <t>Budgetplafond</t>
  </si>
  <si>
    <t>Qadapt</t>
  </si>
  <si>
    <t>Voor grafiek</t>
  </si>
  <si>
    <t>in %</t>
  </si>
  <si>
    <t>Bedragen excl. BTW</t>
  </si>
  <si>
    <t xml:space="preserve">• Het gebruik van deze Excel-tool geschiedt geheel voor eigen rekening en risico. </t>
  </si>
  <si>
    <t>Pvbo</t>
  </si>
  <si>
    <t>Qvbo</t>
  </si>
  <si>
    <t xml:space="preserve">• U kunt contact met ons opnemen indien u vragen heeft over het gebruik, de werkwijze en/of als u tegen (technische) problemen aanloopt bij
   het gebruik van deze Excel-tool. Dit geldt ook voor wijzigingsverzoeken. De contactgegevens staan hieronder en in de handleiding bij de
   Excel-tool. </t>
  </si>
  <si>
    <t>Maxwaarde</t>
  </si>
  <si>
    <t>2 maal Pvbo</t>
  </si>
  <si>
    <t>KO</t>
  </si>
  <si>
    <t>Budgetplafond -&gt;</t>
  </si>
  <si>
    <t>&lt;- Qknockout</t>
  </si>
  <si>
    <t>RANG</t>
  </si>
  <si>
    <t>Aantal</t>
  </si>
  <si>
    <t>Ten behoeve van grafiek</t>
  </si>
  <si>
    <t>Qknockout Prijs</t>
  </si>
  <si>
    <t>Qkncokout Kwaliteit</t>
  </si>
  <si>
    <t>Punten bij Qmin</t>
  </si>
  <si>
    <t>Punten Bij Qmax</t>
  </si>
  <si>
    <t>Waarde bij Qmin</t>
  </si>
  <si>
    <t>Waarde bij Qmax</t>
  </si>
  <si>
    <t>Tekst</t>
  </si>
  <si>
    <t>Uw Inschrijving</t>
  </si>
  <si>
    <t>Qscore</t>
  </si>
  <si>
    <t>Methode/Qref</t>
  </si>
  <si>
    <t xml:space="preserve">Knockout op Kwaliteit (Q)                            &lt; </t>
  </si>
  <si>
    <t>De hieronder opgenomen date is noodzakelijk voor de opbouw van de BPK-grafiek</t>
  </si>
  <si>
    <t>Score voorbeeld</t>
  </si>
  <si>
    <t>xxxx</t>
  </si>
  <si>
    <t>Laagste waarde</t>
  </si>
  <si>
    <t>Hoogste waarde</t>
  </si>
  <si>
    <t>Voorbeeld Prijs</t>
  </si>
  <si>
    <t>Delta_1</t>
  </si>
  <si>
    <t>Hulpveld voor apartzetten van Evaluatietabblad</t>
  </si>
  <si>
    <t>Scenario analyse</t>
  </si>
  <si>
    <t>Min</t>
  </si>
  <si>
    <t>Max</t>
  </si>
  <si>
    <t>Macht</t>
  </si>
  <si>
    <t>nummer</t>
  </si>
  <si>
    <t>Scenario</t>
  </si>
  <si>
    <t>Pi (grafiek)</t>
  </si>
  <si>
    <t>Qi (grafiek)</t>
  </si>
  <si>
    <t>Aanbodlijn</t>
  </si>
  <si>
    <t>Eigen</t>
  </si>
  <si>
    <t>QSmax</t>
  </si>
  <si>
    <t>PSmax</t>
  </si>
  <si>
    <t>QSvb</t>
  </si>
  <si>
    <t>PSvb</t>
  </si>
  <si>
    <r>
      <t xml:space="preserve"> = </t>
    </r>
    <r>
      <rPr>
        <i/>
        <sz val="11"/>
        <color theme="1"/>
        <rFont val="Verdana"/>
        <family val="2"/>
      </rPr>
      <t>n</t>
    </r>
  </si>
  <si>
    <t>Scenarioanalyse</t>
  </si>
  <si>
    <t>Wortelformule</t>
  </si>
  <si>
    <t>t.b.v. BD</t>
  </si>
  <si>
    <t>Onder-lijn (x-as)</t>
  </si>
  <si>
    <t>n-factor</t>
  </si>
  <si>
    <t>BPK-Lijn -3</t>
  </si>
  <si>
    <t>Voorbeeldinschrijving</t>
  </si>
  <si>
    <t>Pmax</t>
  </si>
  <si>
    <t>Pmin</t>
  </si>
  <si>
    <r>
      <t xml:space="preserve"> = SQ</t>
    </r>
    <r>
      <rPr>
        <vertAlign val="subscript"/>
        <sz val="11"/>
        <color theme="1"/>
        <rFont val="Verdana"/>
        <family val="2"/>
      </rPr>
      <t>max</t>
    </r>
  </si>
  <si>
    <r>
      <t xml:space="preserve"> = SP</t>
    </r>
    <r>
      <rPr>
        <vertAlign val="subscript"/>
        <sz val="11"/>
        <color theme="1"/>
        <rFont val="Verdana"/>
        <family val="2"/>
      </rPr>
      <t>max</t>
    </r>
  </si>
  <si>
    <r>
      <t xml:space="preserve"> = S</t>
    </r>
    <r>
      <rPr>
        <vertAlign val="subscript"/>
        <sz val="11"/>
        <color theme="1"/>
        <rFont val="Verdana"/>
        <family val="2"/>
      </rPr>
      <t>vbi</t>
    </r>
  </si>
  <si>
    <t>A</t>
  </si>
  <si>
    <t>B</t>
  </si>
  <si>
    <t>X</t>
  </si>
  <si>
    <t>Y</t>
  </si>
  <si>
    <t>Voorbeeld inschrijving</t>
  </si>
  <si>
    <r>
      <t xml:space="preserve"> = P</t>
    </r>
    <r>
      <rPr>
        <vertAlign val="subscript"/>
        <sz val="11"/>
        <color theme="1"/>
        <rFont val="Verdana"/>
        <family val="2"/>
      </rPr>
      <t>vbi</t>
    </r>
  </si>
  <si>
    <t>Scoregraph voor Prijs</t>
  </si>
  <si>
    <t>x-as</t>
  </si>
  <si>
    <t>y-as</t>
  </si>
  <si>
    <t>Psi</t>
  </si>
  <si>
    <t>Hulpvelden voor as-indeling Scoregraph prijs</t>
  </si>
  <si>
    <t>Stappen x-as</t>
  </si>
  <si>
    <t>Aanbodcourve</t>
  </si>
  <si>
    <r>
      <t xml:space="preserve"> = SP</t>
    </r>
    <r>
      <rPr>
        <vertAlign val="subscript"/>
        <sz val="11"/>
        <color theme="1"/>
        <rFont val="Verdana"/>
        <family val="2"/>
      </rPr>
      <t>vbi</t>
    </r>
  </si>
  <si>
    <t>score voor prijs</t>
  </si>
  <si>
    <t>Bovenlijn</t>
  </si>
  <si>
    <r>
      <t xml:space="preserve"> = SQ</t>
    </r>
    <r>
      <rPr>
        <vertAlign val="subscript"/>
        <sz val="11"/>
        <color theme="1"/>
        <rFont val="Verdana"/>
        <family val="2"/>
      </rPr>
      <t>vbi</t>
    </r>
  </si>
  <si>
    <r>
      <t>Q</t>
    </r>
    <r>
      <rPr>
        <b/>
        <i/>
        <vertAlign val="subscript"/>
        <sz val="11"/>
        <color theme="1"/>
        <rFont val="Verdana"/>
        <family val="2"/>
      </rPr>
      <t>i</t>
    </r>
    <r>
      <rPr>
        <b/>
        <i/>
        <sz val="11"/>
        <color theme="1"/>
        <rFont val="Verdana"/>
        <family val="2"/>
      </rPr>
      <t xml:space="preserve"> 
in %</t>
    </r>
  </si>
  <si>
    <r>
      <rPr>
        <b/>
        <i/>
        <sz val="11"/>
        <color theme="1"/>
        <rFont val="Verdana"/>
        <family val="2"/>
      </rPr>
      <t>S</t>
    </r>
    <r>
      <rPr>
        <b/>
        <i/>
        <vertAlign val="subscript"/>
        <sz val="11"/>
        <color theme="1"/>
        <rFont val="Verdana"/>
        <family val="2"/>
      </rPr>
      <t>i</t>
    </r>
  </si>
  <si>
    <r>
      <t>Alternatief
Q</t>
    </r>
    <r>
      <rPr>
        <b/>
        <i/>
        <vertAlign val="subscript"/>
        <sz val="11"/>
        <color theme="1"/>
        <rFont val="Verdana"/>
        <family val="2"/>
      </rPr>
      <t>i</t>
    </r>
  </si>
  <si>
    <r>
      <t>Alternatief
P</t>
    </r>
    <r>
      <rPr>
        <b/>
        <i/>
        <vertAlign val="subscript"/>
        <sz val="11"/>
        <color theme="1"/>
        <rFont val="Verdana"/>
        <family val="2"/>
      </rPr>
      <t>i</t>
    </r>
  </si>
  <si>
    <t>Optioneel</t>
  </si>
  <si>
    <t>Prijsscore voorbeeld inschrijving</t>
  </si>
  <si>
    <t>Prijs voorbeeld inschrijving</t>
  </si>
  <si>
    <t>Kwaliteitscore voorbeeld inschrijving</t>
  </si>
  <si>
    <t>Voorbeeld BPK-score Pvbi | Qvbi</t>
  </si>
  <si>
    <r>
      <t>Eigen inschatting score kwaliteit</t>
    </r>
    <r>
      <rPr>
        <vertAlign val="superscript"/>
        <sz val="11"/>
        <color theme="1"/>
        <rFont val="Verdana"/>
        <family val="2"/>
      </rPr>
      <t>*</t>
    </r>
  </si>
  <si>
    <t>Score voor Prijs</t>
  </si>
  <si>
    <t>BPK-Score voorbeeld</t>
  </si>
  <si>
    <t>NB</t>
  </si>
  <si>
    <t>Ten behoeve van de grafiek Evaluatie</t>
  </si>
  <si>
    <t>Q-score</t>
  </si>
  <si>
    <t>Q-score voorbeeld inschrijvig</t>
  </si>
  <si>
    <t>Score prijs voorbeeld inschrijving</t>
  </si>
  <si>
    <t>Score kwaliteit voorbeeld inschrijving</t>
  </si>
  <si>
    <t>Uitgangspunten voor de Gewogen Factor Methode</t>
  </si>
  <si>
    <r>
      <t>Kwaliteitscore (SQ</t>
    </r>
    <r>
      <rPr>
        <vertAlign val="subscript"/>
        <sz val="11"/>
        <color theme="1"/>
        <rFont val="Verdana"/>
        <family val="2"/>
      </rPr>
      <t>i</t>
    </r>
    <r>
      <rPr>
        <sz val="11"/>
        <color theme="1"/>
        <rFont val="Verdana"/>
        <family val="2"/>
      </rPr>
      <t>)</t>
    </r>
  </si>
  <si>
    <r>
      <t>Kwaliteitscore (SP</t>
    </r>
    <r>
      <rPr>
        <vertAlign val="subscript"/>
        <sz val="11"/>
        <color theme="1"/>
        <rFont val="Verdana"/>
        <family val="2"/>
      </rPr>
      <t>i</t>
    </r>
    <r>
      <rPr>
        <sz val="11"/>
        <color theme="1"/>
        <rFont val="Verdana"/>
        <family val="2"/>
      </rPr>
      <t>)</t>
    </r>
  </si>
  <si>
    <t>SQvbi</t>
  </si>
  <si>
    <t>SPvbi</t>
  </si>
  <si>
    <t>macht</t>
  </si>
  <si>
    <t>wortel</t>
  </si>
  <si>
    <t>Voorbeeld Inschrijving</t>
  </si>
  <si>
    <t>Formule voor prijs</t>
  </si>
  <si>
    <t>Machtsformule</t>
  </si>
  <si>
    <t>Formule</t>
  </si>
  <si>
    <t>Keuze</t>
  </si>
  <si>
    <t>Totaal score</t>
  </si>
  <si>
    <t>P-score</t>
  </si>
  <si>
    <t>= Psmax</t>
  </si>
  <si>
    <t>Wortel</t>
  </si>
  <si>
    <t>formule</t>
  </si>
  <si>
    <t>Kwadratische</t>
  </si>
  <si>
    <t>Qsmax</t>
  </si>
  <si>
    <t>Stotaal</t>
  </si>
  <si>
    <t>Hoogste</t>
  </si>
  <si>
    <t>Laagste</t>
  </si>
  <si>
    <t>Verschil</t>
  </si>
  <si>
    <t>Notatie Varabelen</t>
  </si>
  <si>
    <r>
      <t>Q</t>
    </r>
    <r>
      <rPr>
        <vertAlign val="subscript"/>
        <sz val="11"/>
        <color theme="1"/>
        <rFont val="Verdana"/>
        <family val="2"/>
      </rPr>
      <t>vbi</t>
    </r>
  </si>
  <si>
    <r>
      <t>SQ</t>
    </r>
    <r>
      <rPr>
        <vertAlign val="subscript"/>
        <sz val="11"/>
        <color theme="1"/>
        <rFont val="Verdana"/>
        <family val="2"/>
      </rPr>
      <t>max</t>
    </r>
  </si>
  <si>
    <r>
      <t xml:space="preserve">Gewicht voor het aandeel van de kwaliteit </t>
    </r>
    <r>
      <rPr>
        <sz val="9"/>
        <color theme="1"/>
        <rFont val="Verdana"/>
        <family val="2"/>
      </rPr>
      <t>(gunningscriteria)</t>
    </r>
    <r>
      <rPr>
        <sz val="11"/>
        <color theme="1"/>
        <rFont val="Verdana"/>
        <family val="2"/>
      </rPr>
      <t>.</t>
    </r>
  </si>
  <si>
    <t>Gewicht voor het aandeel van de prijs.</t>
  </si>
  <si>
    <t>Totaal aantal punten dat aan de wensen wordt toegekend.</t>
  </si>
  <si>
    <t>Totaal aantal punten dat aan de prijs wordt toegekend.</t>
  </si>
  <si>
    <r>
      <t xml:space="preserve">Hoogst verwachte vergelijkingswaarde </t>
    </r>
    <r>
      <rPr>
        <sz val="9"/>
        <color theme="1"/>
        <rFont val="Verdana"/>
        <family val="2"/>
      </rPr>
      <t>(wensen maximaal ingevuld)</t>
    </r>
    <r>
      <rPr>
        <sz val="11"/>
        <color theme="1"/>
        <rFont val="Verdana"/>
        <family val="2"/>
      </rPr>
      <t>.</t>
    </r>
  </si>
  <si>
    <r>
      <t xml:space="preserve">Laagste verwachte vergelijkingswaarde </t>
    </r>
    <r>
      <rPr>
        <sz val="9"/>
        <color theme="1"/>
        <rFont val="Verdana"/>
        <family val="2"/>
      </rPr>
      <t>(geen invulling van wensen)</t>
    </r>
    <r>
      <rPr>
        <sz val="11"/>
        <color theme="1"/>
        <rFont val="Verdana"/>
        <family val="2"/>
      </rPr>
      <t>.</t>
    </r>
  </si>
  <si>
    <t>Exponentiële voor n=waarde.</t>
  </si>
  <si>
    <r>
      <t>Voorbeeldprijs inschrijver (P</t>
    </r>
    <r>
      <rPr>
        <vertAlign val="subscript"/>
        <sz val="11"/>
        <color theme="1"/>
        <rFont val="Verdana"/>
        <family val="2"/>
      </rPr>
      <t>vbi</t>
    </r>
    <r>
      <rPr>
        <sz val="11"/>
        <color theme="1"/>
        <rFont val="Verdana"/>
        <family val="2"/>
      </rPr>
      <t>).</t>
    </r>
  </si>
  <si>
    <r>
      <t>Voorbeeld score inschrijver (SP</t>
    </r>
    <r>
      <rPr>
        <vertAlign val="subscript"/>
        <sz val="11"/>
        <color theme="1"/>
        <rFont val="Verdana"/>
        <family val="2"/>
      </rPr>
      <t>vbi</t>
    </r>
    <r>
      <rPr>
        <sz val="11"/>
        <color theme="1"/>
        <rFont val="Verdana"/>
        <family val="2"/>
      </rPr>
      <t>).</t>
    </r>
  </si>
  <si>
    <t>Exponentwaarde voor kromming prijs.</t>
  </si>
  <si>
    <r>
      <t>Voorbeeldprijs (P</t>
    </r>
    <r>
      <rPr>
        <vertAlign val="subscript"/>
        <sz val="11"/>
        <color theme="1"/>
        <rFont val="Verdana"/>
        <family val="2"/>
      </rPr>
      <t>vbi</t>
    </r>
    <r>
      <rPr>
        <sz val="11"/>
        <color theme="1"/>
        <rFont val="Verdana"/>
        <family val="2"/>
      </rPr>
      <t>).</t>
    </r>
  </si>
  <si>
    <r>
      <t>Indicatie BPK-score van Voorbeeldinschrijving (P</t>
    </r>
    <r>
      <rPr>
        <vertAlign val="subscript"/>
        <sz val="11"/>
        <color theme="1"/>
        <rFont val="Verdana"/>
        <family val="2"/>
      </rPr>
      <t>vbi,</t>
    </r>
    <r>
      <rPr>
        <sz val="11"/>
        <color theme="1"/>
        <rFont val="Verdana"/>
        <family val="2"/>
      </rPr>
      <t xml:space="preserve"> Q</t>
    </r>
    <r>
      <rPr>
        <vertAlign val="subscript"/>
        <sz val="11"/>
        <color theme="1"/>
        <rFont val="Verdana"/>
        <family val="2"/>
      </rPr>
      <t>vbi</t>
    </r>
    <r>
      <rPr>
        <sz val="11"/>
        <color theme="1"/>
        <rFont val="Verdana"/>
        <family val="2"/>
      </rPr>
      <t>).</t>
    </r>
  </si>
  <si>
    <t>Scenarioanalyse tonen (zie ook tabblad "Scenarioanalyse").</t>
  </si>
  <si>
    <t>Datum
Publicatie</t>
  </si>
  <si>
    <t>Naam
Inschrijver</t>
  </si>
  <si>
    <t>Uitgangspunten</t>
  </si>
  <si>
    <t>Voorbeeld (winnaar)</t>
  </si>
  <si>
    <t>n-waarde voor kromming scoregraph prijs</t>
  </si>
  <si>
    <r>
      <t xml:space="preserve">Lowest Acceptable Quality </t>
    </r>
    <r>
      <rPr>
        <sz val="9"/>
        <color theme="1"/>
        <rFont val="Verdana"/>
        <family val="2"/>
      </rPr>
      <t>(LAQ = knock-out)</t>
    </r>
  </si>
  <si>
    <r>
      <t xml:space="preserve">Aantal punten voor de wensen </t>
    </r>
    <r>
      <rPr>
        <sz val="9"/>
        <color theme="1"/>
        <rFont val="Verdana"/>
        <family val="2"/>
      </rPr>
      <t>(Q</t>
    </r>
    <r>
      <rPr>
        <vertAlign val="subscript"/>
        <sz val="9"/>
        <color theme="1"/>
        <rFont val="Verdana"/>
        <family val="2"/>
      </rPr>
      <t>wensen</t>
    </r>
    <r>
      <rPr>
        <sz val="9"/>
        <color theme="1"/>
        <rFont val="Verdana"/>
        <family val="2"/>
      </rPr>
      <t>)</t>
    </r>
  </si>
  <si>
    <r>
      <t xml:space="preserve">Kwaliteit voorbeeldinschrijving </t>
    </r>
    <r>
      <rPr>
        <sz val="9"/>
        <color theme="1"/>
        <rFont val="Verdana"/>
        <family val="2"/>
      </rPr>
      <t>(Q</t>
    </r>
    <r>
      <rPr>
        <vertAlign val="subscript"/>
        <sz val="9"/>
        <color theme="1"/>
        <rFont val="Verdana"/>
        <family val="2"/>
      </rPr>
      <t>vbi</t>
    </r>
    <r>
      <rPr>
        <sz val="9"/>
        <color theme="1"/>
        <rFont val="Verdana"/>
        <family val="2"/>
      </rPr>
      <t>)</t>
    </r>
  </si>
  <si>
    <r>
      <t xml:space="preserve">Prijs voorbeeld inschrijving </t>
    </r>
    <r>
      <rPr>
        <sz val="9"/>
        <color theme="1"/>
        <rFont val="Verdana"/>
        <family val="2"/>
      </rPr>
      <t>(P</t>
    </r>
    <r>
      <rPr>
        <vertAlign val="subscript"/>
        <sz val="9"/>
        <color theme="1"/>
        <rFont val="Verdana"/>
        <family val="2"/>
      </rPr>
      <t>vbi</t>
    </r>
    <r>
      <rPr>
        <sz val="9"/>
        <color theme="1"/>
        <rFont val="Verdana"/>
        <family val="2"/>
      </rPr>
      <t>)</t>
    </r>
  </si>
  <si>
    <r>
      <t xml:space="preserve">Gewicht voor kwaliteit </t>
    </r>
    <r>
      <rPr>
        <sz val="9"/>
        <color theme="1"/>
        <rFont val="Verdana"/>
        <family val="2"/>
      </rPr>
      <t>(W</t>
    </r>
    <r>
      <rPr>
        <vertAlign val="subscript"/>
        <sz val="9"/>
        <color theme="1"/>
        <rFont val="Verdana"/>
        <family val="2"/>
      </rPr>
      <t>q</t>
    </r>
    <r>
      <rPr>
        <sz val="9"/>
        <color theme="1"/>
        <rFont val="Verdana"/>
        <family val="2"/>
      </rPr>
      <t>)</t>
    </r>
  </si>
  <si>
    <r>
      <t xml:space="preserve">Gewicht voor prijs </t>
    </r>
    <r>
      <rPr>
        <sz val="9"/>
        <color theme="1"/>
        <rFont val="Verdana"/>
        <family val="2"/>
      </rPr>
      <t>(W</t>
    </r>
    <r>
      <rPr>
        <vertAlign val="subscript"/>
        <sz val="9"/>
        <color theme="1"/>
        <rFont val="Verdana"/>
        <family val="2"/>
      </rPr>
      <t>p</t>
    </r>
    <r>
      <rPr>
        <sz val="9"/>
        <color theme="1"/>
        <rFont val="Verdana"/>
        <family val="2"/>
      </rPr>
      <t>)</t>
    </r>
  </si>
  <si>
    <r>
      <t xml:space="preserve">Bovengrens vergelijkingswaarde </t>
    </r>
    <r>
      <rPr>
        <sz val="9"/>
        <color theme="1"/>
        <rFont val="Verdana"/>
        <family val="2"/>
      </rPr>
      <t>(P</t>
    </r>
    <r>
      <rPr>
        <vertAlign val="subscript"/>
        <sz val="9"/>
        <color theme="1"/>
        <rFont val="Verdana"/>
        <family val="2"/>
      </rPr>
      <t>max</t>
    </r>
    <r>
      <rPr>
        <sz val="9"/>
        <color theme="1"/>
        <rFont val="Verdana"/>
        <family val="2"/>
      </rPr>
      <t>)</t>
    </r>
  </si>
  <si>
    <r>
      <t xml:space="preserve">Ondergrens vergelijkingswaarde </t>
    </r>
    <r>
      <rPr>
        <sz val="9"/>
        <color theme="1"/>
        <rFont val="Verdana"/>
        <family val="2"/>
      </rPr>
      <t>(P</t>
    </r>
    <r>
      <rPr>
        <vertAlign val="subscript"/>
        <sz val="9"/>
        <color theme="1"/>
        <rFont val="Verdana"/>
        <family val="2"/>
      </rPr>
      <t>min</t>
    </r>
    <r>
      <rPr>
        <sz val="9"/>
        <color theme="1"/>
        <rFont val="Verdana"/>
        <family val="2"/>
      </rPr>
      <t>)</t>
    </r>
  </si>
  <si>
    <t>Uitgangspunten voor Gewogen Factor Methode</t>
  </si>
  <si>
    <t>Teksten voor Informatieknoppen</t>
  </si>
  <si>
    <t>Het aanpassen van de P/Q-verhouding is uiteraard ook een mogelijke oplossing.</t>
  </si>
  <si>
    <t>Tonen</t>
  </si>
  <si>
    <t>ja</t>
  </si>
  <si>
    <t>score voor kwaliteit</t>
  </si>
  <si>
    <t>Type formule</t>
  </si>
  <si>
    <t>Pscore</t>
  </si>
  <si>
    <t>Punten voor Prijs</t>
  </si>
  <si>
    <t>Qscore (norm)</t>
  </si>
  <si>
    <t>Minimum percentage</t>
  </si>
  <si>
    <t>Maximum percentage</t>
  </si>
  <si>
    <t xml:space="preserve">&lt; gelijkheid P/Q percentage en punten &gt; </t>
  </si>
  <si>
    <t>&lt; Toelichting bij LAQ &gt;</t>
  </si>
  <si>
    <t>Informatie voor Beschrijvend Document</t>
  </si>
  <si>
    <t>Check_Scenario_Dashboard</t>
  </si>
  <si>
    <t>True</t>
  </si>
  <si>
    <t xml:space="preserve">Toelichting symbolen: </t>
  </si>
  <si>
    <t>De BPK-formule is ter verduidelijking in de grafiek weergegeven.</t>
  </si>
  <si>
    <t xml:space="preserve">De Lowest Acceptable Quality (LAQ) verwijst naar het minimale aantal kwaliteitspunten dat een inschrijving moet behalen om in aanmerking te komen voor gunning. </t>
  </si>
  <si>
    <t>Naar rechts toe duiden de oranje lijnen steeds betere scores aan. De BPK-scores worden afgerond op één decimaal. Indien twee inschrijvers exact dezelfde hoogste BPK-score behalen, wordt de gunning toegekend aan de inschrijver met de hoogste kwaliteitsscore.</t>
  </si>
  <si>
    <t>Beste prijs-kwaliteitverhouding</t>
  </si>
  <si>
    <t>Ter extra ondersteuning is in bijlage X Prijzenformulier, in het tabblad ‘BPK-Grafiek’ de betreffende grafiek opgenomen. Op basis van de vergelijkingswaarde (Pi) en een eigen inschatting van de kwaliteitsscore (Qi) kan de Inschrijver zijn eigen positie indicatief in de grafiek bepalen.</t>
  </si>
  <si>
    <t>De BPK-score wordt als volgt berekend:</t>
  </si>
  <si>
    <t>Tekst voor het beschrijvend document wordt gegenereerd. Even geduld a.u.b.</t>
  </si>
  <si>
    <t>Vergelijkingswaarde x 1.000</t>
  </si>
  <si>
    <t>Voorbeeld P/Q-combinatie</t>
  </si>
  <si>
    <r>
      <t xml:space="preserve">• De Excel-tool maakt gebruik van macro’s die zijn geschreven in VBA. Voor instructies over het inschakelen en gebruiken van deze macro’s, zie hoofdstuk 3
   van de handleiding. </t>
    </r>
    <r>
      <rPr>
        <b/>
        <sz val="14"/>
        <color theme="1"/>
        <rFont val="Calibri"/>
        <family val="2"/>
        <scheme val="minor"/>
      </rPr>
      <t>Let op:</t>
    </r>
    <r>
      <rPr>
        <sz val="14"/>
        <color theme="1"/>
        <rFont val="Calibri"/>
        <family val="2"/>
        <scheme val="minor"/>
      </rPr>
      <t xml:space="preserve"> Zonder het activeren van VBA-macro’s functioneert de Excel-tool niet correct!</t>
    </r>
  </si>
  <si>
    <t>Het wordt aanbevolen om de verdeling van punten voor Prijs en Kwaliteit in dezelfde verhouding te kiezen als de gekozen procentuele P/Q-verhouding.</t>
  </si>
  <si>
    <t>Het toepassen van de LAQ vereist zorgvuldigheid en bewustzijn van de mogelijke nadelige gevolgen. Raadpleeg hiervoor ook de relevante passages in de handleiding waarin dit nader wordt toegelicht.</t>
  </si>
  <si>
    <t xml:space="preserve">Met het hanteren van een Lowest Acceptable Quality (LAQ) wordt vastgelegd dat een inschrijving op de kwaliteitswensen (Qwensen) een vooraf bepaalde minimumscore moet behalen. Inschrijvingen die deze ondergrens niet halen, worden uitgesloten van verdere beoordeling. Let op: het toepassen van een LAQ vereist een duidelijke en transparante toelichting in het begeleidende aanbestedingsdocument. </t>
  </si>
  <si>
    <t>Binnen deze tool is de Lowest Acceptable Quality (LAQ) begrensd op 40% van het totaal aantal punten van de kwaliteitswensen (Qwensen).</t>
  </si>
  <si>
    <t xml:space="preserve">Bij stap 5 op het ‘Dashboard’ kunt u de kromming van de scoregrafiek voor prijs aanpassen. 
De kromming staat voor een afnemende meerwaarde van extra kwaliteitspunten. Een waarde van 1 resulteert in een lineair verloop van kwaliteitswaarde, terwijl een hogere n-waarde de meerwaarde laat afnemen cq. een kromming geeft. </t>
  </si>
  <si>
    <t>procurement.economics@belastingdienst.nl</t>
  </si>
  <si>
    <t xml:space="preserve">N.B. Onderstaande gegevens worden gedeeld met het IUC Belastingienst voor onderzoek. De namen van de inschrijvers zijn geannonimiseerd. </t>
  </si>
  <si>
    <t>Percentages</t>
  </si>
  <si>
    <r>
      <t>= SQ</t>
    </r>
    <r>
      <rPr>
        <vertAlign val="subscript"/>
        <sz val="10"/>
        <color theme="1"/>
        <rFont val="Verdana"/>
        <family val="2"/>
      </rPr>
      <t>wensen</t>
    </r>
  </si>
  <si>
    <t>Disclaimer Excel-tool, presentatie en handleiding ten behoeve van het gebruik van de Tool Gewogen Factor Methode.</t>
  </si>
  <si>
    <t>• De actuele versie van de Tool Gewogen Factor Methode is te downloaden via</t>
  </si>
  <si>
    <t>Toelichting</t>
  </si>
  <si>
    <t xml:space="preserve">
Na beoordeling van de ontvangen inschrijvingen/offertes kunnen de resultaten, de geoffreerde prijs en de behaald score voor kwaliteit(Qi), worden opgenomen in dit tabblad.
Links staat de BPK-grafiek en rechts het invoerscherm (gele velden) om de resultaten van de ontvangen offertes op te nemen.
In totaal kunnen 12 inschrijvingen/ offertes worden opgenomen. Bij Pi worden de vergelijkingswaarden van de verschillende inschrijvers overgenomen en bij Qi de totaalscores die bepaald zijn door de beoordelingscommissie.
</t>
  </si>
  <si>
    <t>Reserverdata voor BPK-grafiek</t>
  </si>
  <si>
    <t xml:space="preserve">De aanbestedende dienst hecht veel waarde aan een evenwichtige balans tussen prijs en kwaliteit. Om dit te waarborgen, wordt in deze aanbesteding een objectieve beoordelingsmethode gehanteerd die elke inschrijving onafhankelijk van de andere beoordeelt. </t>
  </si>
  <si>
    <t>Pi = Vergelijkingswaarde Inschrijver</t>
  </si>
  <si>
    <t>Qi = Kwaliteitsscore Inschrijver</t>
  </si>
  <si>
    <t xml:space="preserve">Qmin = minimaal aantal punten (100) </t>
  </si>
  <si>
    <t xml:space="preserve">Q'i = aangepaste kwaliteitsscore Inschrijver </t>
  </si>
  <si>
    <t xml:space="preserve">Si = BPK-score Inschrijver </t>
  </si>
  <si>
    <t xml:space="preserve">SQi = behaalde score voor de Qwensen </t>
  </si>
  <si>
    <r>
      <t>Voorbeeldkwaliteit Q</t>
    </r>
    <r>
      <rPr>
        <vertAlign val="subscript"/>
        <sz val="11"/>
        <color theme="1"/>
        <rFont val="Verdana"/>
        <family val="2"/>
      </rPr>
      <t>vbi</t>
    </r>
    <r>
      <rPr>
        <sz val="11"/>
        <color theme="1"/>
        <rFont val="Verdana"/>
        <family val="2"/>
      </rPr>
      <t xml:space="preserve"> | in % van SQ</t>
    </r>
    <r>
      <rPr>
        <vertAlign val="subscript"/>
        <sz val="11"/>
        <color theme="1"/>
        <rFont val="Verdana"/>
        <family val="2"/>
      </rPr>
      <t>max</t>
    </r>
    <r>
      <rPr>
        <sz val="11"/>
        <color theme="1"/>
        <rFont val="Verdana"/>
        <family val="2"/>
      </rPr>
      <t xml:space="preserve"> = 500</t>
    </r>
  </si>
  <si>
    <r>
      <t>Lowest Acceptable Quality (maximaal 40% van de SQ</t>
    </r>
    <r>
      <rPr>
        <vertAlign val="subscript"/>
        <sz val="11"/>
        <color theme="1"/>
        <rFont val="Verdana"/>
        <family val="2"/>
      </rPr>
      <t>max</t>
    </r>
    <r>
      <rPr>
        <sz val="11"/>
        <color theme="1"/>
        <rFont val="Verdana"/>
        <family val="2"/>
      </rPr>
      <t xml:space="preserve"> = 200 )</t>
    </r>
  </si>
  <si>
    <r>
      <t xml:space="preserve">© 2021-2026 </t>
    </r>
    <r>
      <rPr>
        <i/>
        <sz val="14"/>
        <color theme="1"/>
        <rFont val="Calibri"/>
        <family val="2"/>
        <scheme val="minor"/>
      </rPr>
      <t>versie 09-2026</t>
    </r>
  </si>
  <si>
    <t xml:space="preserve">• Het intellectuele eigendomsrecht op deze Excel-tool berust bij de Directie Inkoop Belastingdienst. Aanwezige aanduidingen van copyright mogen niet
   worden verwijderd. </t>
  </si>
  <si>
    <t>• De Directie Inkoop Belastingdienst behoudt zich te allen tijde het recht voor om de Excel-tool te wijzigen.</t>
  </si>
  <si>
    <t>• De Directie Inkoop Belastingdienst aanvaardt geen aansprakelijkheid voor schade, van welke aard ook, die uit het gebruik van deze Excel-tool zou kunnen
   voortvloeien.</t>
  </si>
  <si>
    <t xml:space="preserve">• De Directie Inkoop Belastingdienst kan niet garanderen dat deze Excel-tool foutloos en ononderbroken functioneert; wel doen wij daarvoor ons uiterste best. </t>
  </si>
  <si>
    <t>Directie Inkoop Belastingdienst</t>
  </si>
  <si>
    <t>• Deze Excel-tool, inclusief de daarbij behorende presentatie en handleiding, ten behoeve van het gebruik van de gunningsmethodiek Gewogen
   Factor Methode bij (Europese) aanbestedingen en (nadere) offerteaanvragen (hierna gezamenlijk te noemen de ‘Excel-tool’), is ontwikkeld door de
   Directie Inkoop Belastingdienst en wordt u kosteloos ter beschikking gesteld.</t>
  </si>
  <si>
    <t xml:space="preserve">• Deze Excel-tool mag vrij gebruikt worden, zoals deze wordt aangeboden door de Directie Inkoop Belastingdienst. Het is derhalve niet toegestaan om
   inhoudelijke wijzigingen aan te brengen in de Excel-tool. </t>
  </si>
  <si>
    <t>• Mocht u een fout of verbeterpunt in de tool constateren, dan waarderen wij het als u dit meldt via onderstaand e-mailadres.</t>
  </si>
  <si>
    <t>Maximaal aantal punten dat aan de wensen wordt toegekend.</t>
  </si>
  <si>
    <t>Nee</t>
  </si>
  <si>
    <t>Test</t>
  </si>
  <si>
    <t>IUC26-001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</si>
</sst>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5" formatCode="&quot;€&quot;\ #,##0;&quot;€&quot;\ \-#,##0"/>
    <numFmt numFmtId="44" formatCode="_ &quot;€&quot;\ * #,##0.00_ ;_ &quot;€&quot;\ * \-#,##0.00_ ;_ &quot;€&quot;\ * &quot;-&quot;??_ ;_ @_ "/>
    <numFmt numFmtId="43" formatCode="_ * #,##0.00_ ;_ * \-#,##0.00_ ;_ * &quot;-&quot;??_ ;_ @_ "/>
    <numFmt numFmtId="164" formatCode="_(&quot;€&quot;* #,##0.00_);_(&quot;€&quot;* \(#,##0.00\);_(&quot;€&quot;* &quot;-&quot;??_);_(@_)"/>
    <numFmt numFmtId="165" formatCode="&quot;€&quot;#,##0.00_);\(&quot;€&quot;#,##0.00\)"/>
    <numFmt numFmtId="166" formatCode="0.000"/>
    <numFmt numFmtId="167" formatCode="0.0000"/>
    <numFmt numFmtId="168" formatCode="0.00000"/>
    <numFmt numFmtId="169" formatCode="0.0"/>
    <numFmt numFmtId="170" formatCode="_(* #,##0.00_);_(* \(#,##0.00\);_(* &quot;-&quot;??_);_(@_)"/>
    <numFmt numFmtId="171" formatCode="#,##0.0"/>
    <numFmt numFmtId="172" formatCode="_ * #,##0_ ;_ * \-#,##0_ ;_ * &quot;-&quot;??_ ;_ @_ "/>
    <numFmt numFmtId="173" formatCode="_ * #,##0.000_ ;_ * \-#,##0.000_ ;_ * &quot;-&quot;??_ ;_ @_ "/>
    <numFmt numFmtId="174" formatCode="&quot;€&quot;#,##0_);\(&quot;€&quot;#,##0\)"/>
    <numFmt numFmtId="175" formatCode="_(* #,##0_);_(* \(#,##0\);_(* &quot;-&quot;??_);_(@_)"/>
    <numFmt numFmtId="176" formatCode="0.0%"/>
    <numFmt numFmtId="177" formatCode="_ * #,##0_ ;_ * \-#,##0_ ;_ * &quot;-&quot;???_ ;_ @_ "/>
    <numFmt numFmtId="178" formatCode="&quot;€&quot;\ #,##0"/>
    <numFmt numFmtId="179" formatCode="_(&quot;€&quot;* #,##0_);_(&quot;€&quot;* \(#,##0\);_(&quot;€&quot;* &quot;-&quot;??_);_(@_)"/>
    <numFmt numFmtId="180" formatCode="&quot;€&quot;\ #,##0.00"/>
    <numFmt numFmtId="181" formatCode="&quot;€&quot;\ #,##0.000;&quot;€&quot;\ \-#,##0.000"/>
    <numFmt numFmtId="182" formatCode="&quot;€&quot;\ #,##0.000"/>
    <numFmt numFmtId="183" formatCode="_ * #,##0.0_ ;_ * \-#,##0.0_ ;_ * &quot;-&quot;??_ ;_ @_ "/>
    <numFmt numFmtId="184" formatCode="#,##0.0000"/>
    <numFmt numFmtId="185" formatCode="_ * #,##0.000_ ;_ * \-#,##0.000_ ;_ * &quot;-&quot;???_ ;_ @_ "/>
    <numFmt numFmtId="186" formatCode="_(* #,##0.0_);_(* \(#,##0.0\);_(* &quot;-&quot;??_);_(@_)"/>
    <numFmt numFmtId="187" formatCode="#,##0_ ;\-#,##0\ "/>
  </numFmts>
  <fonts count="45" x14ac:knownFonts="1">
    <font>
      <sz val="11"/>
      <color theme="1"/>
      <name val="Calibri"/>
      <family val="2"/>
      <scheme val="minor"/>
    </font>
    <font>
      <sz val="11"/>
      <color theme="1"/>
      <name val="Calibri"/>
      <family val="2"/>
      <scheme val="minor"/>
    </font>
    <font>
      <sz val="8"/>
      <name val="Verdana"/>
      <family val="2"/>
    </font>
    <font>
      <sz val="11"/>
      <color theme="1"/>
      <name val="Verdana"/>
      <family val="2"/>
    </font>
    <font>
      <b/>
      <sz val="18"/>
      <color theme="1"/>
      <name val="Verdana"/>
      <family val="2"/>
    </font>
    <font>
      <sz val="10"/>
      <color theme="1"/>
      <name val="Verdana"/>
      <family val="2"/>
    </font>
    <font>
      <b/>
      <sz val="14"/>
      <color theme="1"/>
      <name val="Verdana"/>
      <family val="2"/>
    </font>
    <font>
      <b/>
      <sz val="18"/>
      <color theme="0"/>
      <name val="Verdana"/>
      <family val="2"/>
    </font>
    <font>
      <b/>
      <sz val="11"/>
      <color theme="1"/>
      <name val="Verdana"/>
      <family val="2"/>
    </font>
    <font>
      <sz val="10"/>
      <name val="Verdana"/>
      <family val="2"/>
    </font>
    <font>
      <i/>
      <sz val="11"/>
      <color theme="1"/>
      <name val="Verdana"/>
      <family val="2"/>
    </font>
    <font>
      <vertAlign val="superscript"/>
      <sz val="11"/>
      <color theme="1"/>
      <name val="Verdana"/>
      <family val="2"/>
    </font>
    <font>
      <i/>
      <sz val="10"/>
      <color theme="1"/>
      <name val="Verdana"/>
      <family val="2"/>
    </font>
    <font>
      <b/>
      <i/>
      <sz val="11"/>
      <color theme="1"/>
      <name val="Verdana"/>
      <family val="2"/>
    </font>
    <font>
      <sz val="24"/>
      <color theme="1"/>
      <name val="Verdana"/>
      <family val="2"/>
    </font>
    <font>
      <b/>
      <i/>
      <vertAlign val="subscript"/>
      <sz val="11"/>
      <color theme="1"/>
      <name val="Verdana"/>
      <family val="2"/>
    </font>
    <font>
      <b/>
      <vertAlign val="subscript"/>
      <sz val="11"/>
      <color theme="1"/>
      <name val="Verdana"/>
      <family val="2"/>
    </font>
    <font>
      <i/>
      <sz val="11"/>
      <color theme="0"/>
      <name val="Verdana"/>
      <family val="2"/>
    </font>
    <font>
      <b/>
      <sz val="11"/>
      <color rgb="FFFFFFFF"/>
      <name val="Verdana"/>
      <family val="2"/>
    </font>
    <font>
      <sz val="9"/>
      <color theme="1"/>
      <name val="Verdana"/>
      <family val="2"/>
    </font>
    <font>
      <b/>
      <sz val="11"/>
      <color theme="0"/>
      <name val="Verdana"/>
      <family val="2"/>
    </font>
    <font>
      <vertAlign val="subscript"/>
      <sz val="11"/>
      <color theme="1"/>
      <name val="Verdana"/>
      <family val="2"/>
    </font>
    <font>
      <i/>
      <sz val="9"/>
      <color theme="1"/>
      <name val="Verdana"/>
      <family val="2"/>
    </font>
    <font>
      <sz val="11"/>
      <color rgb="FFFF0000"/>
      <name val="Verdana"/>
      <family val="2"/>
    </font>
    <font>
      <b/>
      <i/>
      <sz val="11"/>
      <color theme="0"/>
      <name val="Verdana"/>
      <family val="2"/>
    </font>
    <font>
      <b/>
      <sz val="11"/>
      <color rgb="FFFF0000"/>
      <name val="Verdana"/>
      <family val="2"/>
    </font>
    <font>
      <u/>
      <sz val="11"/>
      <color rgb="FF0000E1"/>
      <name val="Calibri"/>
      <family val="2"/>
      <scheme val="minor"/>
    </font>
    <font>
      <b/>
      <sz val="20"/>
      <color theme="1"/>
      <name val="Verdana"/>
      <family val="2"/>
    </font>
    <font>
      <sz val="8"/>
      <name val="Calibri"/>
      <family val="2"/>
      <scheme val="minor"/>
    </font>
    <font>
      <sz val="11"/>
      <color rgb="FF000000"/>
      <name val="Verdana"/>
      <family val="2"/>
    </font>
    <font>
      <b/>
      <sz val="11"/>
      <name val="Verdana"/>
      <family val="2"/>
    </font>
    <font>
      <sz val="11"/>
      <color theme="0"/>
      <name val="Verdana"/>
      <family val="2"/>
    </font>
    <font>
      <i/>
      <u/>
      <sz val="11"/>
      <color theme="1"/>
      <name val="Verdana"/>
      <family val="2"/>
    </font>
    <font>
      <b/>
      <sz val="11"/>
      <color rgb="FFC00000"/>
      <name val="Verdana"/>
      <family val="2"/>
    </font>
    <font>
      <sz val="14"/>
      <color theme="1"/>
      <name val="Calibri"/>
      <family val="2"/>
      <scheme val="minor"/>
    </font>
    <font>
      <b/>
      <sz val="9"/>
      <color theme="1"/>
      <name val="Verdana"/>
      <family val="2"/>
    </font>
    <font>
      <vertAlign val="subscript"/>
      <sz val="9"/>
      <color theme="1"/>
      <name val="Verdana"/>
      <family val="2"/>
    </font>
    <font>
      <sz val="8"/>
      <color theme="1"/>
      <name val="Verdana"/>
      <family val="2"/>
    </font>
    <font>
      <vertAlign val="subscript"/>
      <sz val="10"/>
      <color theme="1"/>
      <name val="Verdana"/>
      <family val="2"/>
    </font>
    <font>
      <u/>
      <sz val="11"/>
      <color theme="10"/>
      <name val="Calibri"/>
      <family val="2"/>
      <scheme val="minor"/>
    </font>
    <font>
      <u/>
      <sz val="14"/>
      <color theme="10"/>
      <name val="Calibri"/>
      <family val="2"/>
      <scheme val="minor"/>
    </font>
    <font>
      <b/>
      <sz val="14"/>
      <color theme="1"/>
      <name val="Calibri"/>
      <family val="2"/>
      <scheme val="minor"/>
    </font>
    <font>
      <u/>
      <sz val="14"/>
      <color rgb="FF0000E1"/>
      <name val="Calibri"/>
      <family val="2"/>
      <scheme val="minor"/>
    </font>
    <font>
      <i/>
      <sz val="12"/>
      <color theme="1"/>
      <name val="Calibri"/>
      <family val="2"/>
      <scheme val="minor"/>
    </font>
    <font>
      <i/>
      <sz val="14"/>
      <color theme="1"/>
      <name val="Calibri"/>
      <family val="2"/>
      <scheme val="minor"/>
    </font>
  </fonts>
  <fills count="17">
    <fill>
      <patternFill patternType="none"/>
    </fill>
    <fill>
      <patternFill patternType="gray125"/>
    </fill>
    <fill>
      <patternFill patternType="solid">
        <fgColor rgb="FF8FCAE7"/>
        <bgColor indexed="64"/>
      </patternFill>
    </fill>
    <fill>
      <patternFill patternType="solid">
        <fgColor rgb="FF92D050"/>
        <bgColor indexed="64"/>
      </patternFill>
    </fill>
    <fill>
      <patternFill patternType="solid">
        <fgColor theme="0"/>
        <bgColor indexed="64"/>
      </patternFill>
    </fill>
    <fill>
      <patternFill patternType="solid">
        <fgColor rgb="FFFFFFCC"/>
        <bgColor indexed="64"/>
      </patternFill>
    </fill>
    <fill>
      <patternFill patternType="solid">
        <fgColor rgb="FFFFFF99"/>
        <bgColor indexed="64"/>
      </patternFill>
    </fill>
    <fill>
      <patternFill patternType="solid">
        <fgColor theme="0" tint="-0.14996795556505021"/>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C000"/>
        <bgColor indexed="64"/>
      </patternFill>
    </fill>
    <fill>
      <patternFill patternType="solid">
        <fgColor theme="5"/>
        <bgColor indexed="64"/>
      </patternFill>
    </fill>
    <fill>
      <patternFill patternType="solid">
        <fgColor theme="2" tint="-9.9978637043366805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auto="1"/>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diagonal/>
    </border>
  </borders>
  <cellStyleXfs count="8">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70" fontId="1" fillId="0" borderId="0" applyFont="0" applyFill="0" applyBorder="0" applyAlignment="0" applyProtection="0"/>
    <xf numFmtId="0" fontId="3" fillId="0" borderId="0"/>
    <xf numFmtId="43" fontId="1" fillId="0" borderId="0" applyFont="0" applyFill="0" applyBorder="0" applyAlignment="0" applyProtection="0"/>
    <xf numFmtId="0" fontId="39" fillId="0" borderId="0" applyNumberFormat="0" applyFill="0" applyBorder="0" applyAlignment="0" applyProtection="0"/>
  </cellStyleXfs>
  <cellXfs count="515">
    <xf numFmtId="0" fontId="0" fillId="0" borderId="0" xfId="0"/>
    <xf numFmtId="0" fontId="2" fillId="0" borderId="0" xfId="0" applyFont="1" applyProtection="1">
      <protection hidden="1"/>
    </xf>
    <xf numFmtId="0" fontId="3" fillId="0" borderId="0" xfId="0" applyFont="1" applyProtection="1">
      <protection hidden="1"/>
    </xf>
    <xf numFmtId="0" fontId="4" fillId="2" borderId="0" xfId="0" applyFont="1" applyFill="1" applyProtection="1">
      <protection hidden="1"/>
    </xf>
    <xf numFmtId="0" fontId="5" fillId="2" borderId="0" xfId="0" applyFont="1" applyFill="1" applyProtection="1">
      <protection hidden="1"/>
    </xf>
    <xf numFmtId="0" fontId="6" fillId="2" borderId="0" xfId="0" applyFont="1" applyFill="1" applyProtection="1">
      <protection hidden="1"/>
    </xf>
    <xf numFmtId="0" fontId="7" fillId="2" borderId="0" xfId="0" applyFont="1" applyFill="1" applyProtection="1">
      <protection hidden="1"/>
    </xf>
    <xf numFmtId="0" fontId="8" fillId="2" borderId="0" xfId="0" applyFont="1" applyFill="1" applyAlignment="1" applyProtection="1">
      <alignment vertical="center"/>
      <protection hidden="1"/>
    </xf>
    <xf numFmtId="164" fontId="2" fillId="0" borderId="0" xfId="1" applyFont="1" applyAlignment="1" applyProtection="1">
      <alignment horizontal="left"/>
      <protection hidden="1"/>
    </xf>
    <xf numFmtId="0" fontId="3" fillId="0" borderId="0" xfId="0" applyFont="1" applyAlignment="1" applyProtection="1">
      <alignment wrapText="1"/>
      <protection hidden="1"/>
    </xf>
    <xf numFmtId="165" fontId="10" fillId="3" borderId="1" xfId="1" quotePrefix="1" applyNumberFormat="1" applyFont="1" applyFill="1" applyBorder="1" applyAlignment="1" applyProtection="1">
      <alignment horizontal="right" vertical="center" wrapText="1"/>
      <protection hidden="1"/>
    </xf>
    <xf numFmtId="0" fontId="3" fillId="0" borderId="0" xfId="0" applyFont="1" applyProtection="1">
      <protection locked="0"/>
    </xf>
    <xf numFmtId="0" fontId="3" fillId="0" borderId="0" xfId="0" applyFont="1" applyAlignment="1" applyProtection="1">
      <alignment wrapText="1"/>
      <protection locked="0"/>
    </xf>
    <xf numFmtId="0" fontId="8" fillId="2" borderId="3" xfId="0" applyFont="1" applyFill="1" applyBorder="1" applyAlignment="1" applyProtection="1">
      <alignment horizontal="right" vertical="center" wrapText="1"/>
      <protection hidden="1"/>
    </xf>
    <xf numFmtId="0" fontId="10" fillId="0" borderId="3" xfId="3" applyFont="1" applyBorder="1" applyAlignment="1" applyProtection="1">
      <alignment vertical="center"/>
      <protection hidden="1"/>
    </xf>
    <xf numFmtId="0" fontId="10" fillId="0" borderId="0" xfId="0" applyFont="1" applyProtection="1">
      <protection hidden="1"/>
    </xf>
    <xf numFmtId="1" fontId="9" fillId="0" borderId="0" xfId="0" applyNumberFormat="1" applyFont="1" applyProtection="1">
      <protection hidden="1"/>
    </xf>
    <xf numFmtId="0" fontId="0" fillId="0" borderId="0" xfId="0" applyProtection="1">
      <protection hidden="1"/>
    </xf>
    <xf numFmtId="0" fontId="0" fillId="0" borderId="0" xfId="0" applyAlignment="1">
      <alignment horizontal="right"/>
    </xf>
    <xf numFmtId="164" fontId="0" fillId="0" borderId="0" xfId="1" applyFont="1"/>
    <xf numFmtId="0" fontId="3" fillId="2" borderId="0" xfId="0" applyFont="1" applyFill="1" applyProtection="1">
      <protection hidden="1"/>
    </xf>
    <xf numFmtId="11" fontId="8" fillId="2" borderId="2" xfId="0" applyNumberFormat="1" applyFont="1" applyFill="1" applyBorder="1" applyAlignment="1">
      <alignment vertical="center"/>
    </xf>
    <xf numFmtId="11" fontId="3" fillId="2" borderId="3" xfId="0" applyNumberFormat="1" applyFont="1" applyFill="1" applyBorder="1" applyAlignment="1">
      <alignment vertical="center"/>
    </xf>
    <xf numFmtId="0" fontId="10" fillId="0" borderId="0" xfId="0" applyFont="1" applyAlignment="1">
      <alignment vertical="center"/>
    </xf>
    <xf numFmtId="0" fontId="3" fillId="0" borderId="0" xfId="0" applyFont="1" applyAlignment="1">
      <alignment vertical="center"/>
    </xf>
    <xf numFmtId="0" fontId="10" fillId="5" borderId="1" xfId="0" applyFont="1" applyFill="1" applyBorder="1" applyAlignment="1" applyProtection="1">
      <alignment vertical="center"/>
      <protection locked="0"/>
    </xf>
    <xf numFmtId="0" fontId="8" fillId="0" borderId="0" xfId="0" applyFont="1" applyAlignment="1">
      <alignment vertical="center"/>
    </xf>
    <xf numFmtId="0" fontId="8" fillId="2" borderId="2" xfId="0" applyFont="1" applyFill="1" applyBorder="1" applyAlignment="1">
      <alignment vertical="center"/>
    </xf>
    <xf numFmtId="0" fontId="3" fillId="2" borderId="3" xfId="0" applyFont="1" applyFill="1" applyBorder="1" applyAlignment="1">
      <alignment vertical="center"/>
    </xf>
    <xf numFmtId="0" fontId="3" fillId="2" borderId="0" xfId="0" applyFont="1" applyFill="1" applyAlignment="1">
      <alignment vertical="center"/>
    </xf>
    <xf numFmtId="0" fontId="3" fillId="0" borderId="1" xfId="0" applyFont="1" applyBorder="1" applyAlignment="1">
      <alignment vertical="center"/>
    </xf>
    <xf numFmtId="0" fontId="3" fillId="4" borderId="1" xfId="0" applyFont="1" applyFill="1" applyBorder="1" applyAlignment="1">
      <alignment vertical="center"/>
    </xf>
    <xf numFmtId="164" fontId="3" fillId="0" borderId="1" xfId="1" applyFont="1" applyBorder="1" applyAlignment="1">
      <alignment vertical="center"/>
    </xf>
    <xf numFmtId="3" fontId="3" fillId="0" borderId="1" xfId="0" applyNumberFormat="1" applyFont="1" applyBorder="1" applyAlignment="1">
      <alignment vertical="center"/>
    </xf>
    <xf numFmtId="0" fontId="3" fillId="0" borderId="0" xfId="0" applyFont="1"/>
    <xf numFmtId="3" fontId="3" fillId="6" borderId="1" xfId="0" applyNumberFormat="1" applyFont="1" applyFill="1" applyBorder="1" applyAlignment="1" applyProtection="1">
      <alignment horizontal="right" vertical="center" wrapText="1"/>
      <protection locked="0"/>
    </xf>
    <xf numFmtId="0" fontId="3" fillId="2" borderId="0" xfId="0" quotePrefix="1" applyFont="1" applyFill="1" applyAlignment="1" applyProtection="1">
      <alignment vertical="center"/>
      <protection hidden="1"/>
    </xf>
    <xf numFmtId="168" fontId="3" fillId="0" borderId="0" xfId="0" applyNumberFormat="1" applyFont="1" applyProtection="1">
      <protection hidden="1"/>
    </xf>
    <xf numFmtId="0" fontId="8" fillId="2" borderId="7" xfId="0" applyFont="1" applyFill="1" applyBorder="1" applyAlignment="1" applyProtection="1">
      <alignment horizontal="left"/>
      <protection hidden="1"/>
    </xf>
    <xf numFmtId="0" fontId="8" fillId="2" borderId="7" xfId="0" applyFont="1" applyFill="1" applyBorder="1" applyAlignment="1" applyProtection="1">
      <alignment horizontal="right"/>
      <protection hidden="1"/>
    </xf>
    <xf numFmtId="0" fontId="0" fillId="0" borderId="0" xfId="0" applyAlignment="1" applyProtection="1">
      <alignment vertical="center"/>
      <protection hidden="1"/>
    </xf>
    <xf numFmtId="0" fontId="8" fillId="2" borderId="11" xfId="0" applyFont="1" applyFill="1" applyBorder="1" applyAlignment="1" applyProtection="1">
      <alignment horizontal="center"/>
      <protection hidden="1"/>
    </xf>
    <xf numFmtId="0" fontId="8" fillId="2" borderId="12" xfId="0" applyFont="1" applyFill="1" applyBorder="1" applyAlignment="1" applyProtection="1">
      <alignment horizontal="left"/>
      <protection hidden="1"/>
    </xf>
    <xf numFmtId="0" fontId="13" fillId="2" borderId="12" xfId="0" applyFont="1" applyFill="1" applyBorder="1" applyAlignment="1" applyProtection="1">
      <alignment horizontal="right"/>
      <protection hidden="1"/>
    </xf>
    <xf numFmtId="0" fontId="8" fillId="2" borderId="12" xfId="0" applyFont="1" applyFill="1" applyBorder="1" applyAlignment="1" applyProtection="1">
      <alignment horizontal="right"/>
      <protection hidden="1"/>
    </xf>
    <xf numFmtId="0" fontId="3" fillId="0" borderId="1" xfId="0" quotePrefix="1" applyFont="1" applyBorder="1" applyAlignment="1" applyProtection="1">
      <alignment horizontal="center" vertical="center" wrapText="1"/>
      <protection hidden="1"/>
    </xf>
    <xf numFmtId="165" fontId="3" fillId="6" borderId="1" xfId="1" applyNumberFormat="1" applyFont="1" applyFill="1" applyBorder="1" applyAlignment="1" applyProtection="1">
      <alignment horizontal="right" vertical="center" wrapText="1"/>
      <protection locked="0"/>
    </xf>
    <xf numFmtId="171" fontId="3" fillId="6" borderId="1" xfId="4" applyNumberFormat="1" applyFont="1" applyFill="1" applyBorder="1" applyAlignment="1" applyProtection="1">
      <alignment horizontal="right" vertical="center" wrapText="1"/>
      <protection locked="0"/>
    </xf>
    <xf numFmtId="0" fontId="3" fillId="0" borderId="0" xfId="0" applyFont="1" applyAlignment="1" applyProtection="1">
      <alignment vertical="center" wrapText="1"/>
      <protection hidden="1"/>
    </xf>
    <xf numFmtId="165" fontId="10" fillId="4" borderId="1" xfId="1" applyNumberFormat="1" applyFont="1" applyFill="1" applyBorder="1" applyAlignment="1" applyProtection="1">
      <alignment horizontal="right" vertical="center"/>
      <protection hidden="1"/>
    </xf>
    <xf numFmtId="0" fontId="3" fillId="0" borderId="1" xfId="0" applyFont="1" applyBorder="1" applyAlignment="1" applyProtection="1">
      <alignment vertical="center"/>
      <protection hidden="1"/>
    </xf>
    <xf numFmtId="0" fontId="3" fillId="0" borderId="0" xfId="0" applyFont="1" applyAlignment="1" applyProtection="1">
      <alignment horizontal="left" vertical="center" wrapText="1"/>
      <protection hidden="1"/>
    </xf>
    <xf numFmtId="164" fontId="3" fillId="0" borderId="0" xfId="1" applyFont="1" applyBorder="1" applyAlignment="1" applyProtection="1">
      <alignment horizontal="left" vertical="center" wrapText="1"/>
      <protection hidden="1"/>
    </xf>
    <xf numFmtId="0" fontId="3" fillId="0" borderId="0" xfId="0" applyFont="1" applyAlignment="1" applyProtection="1">
      <alignment horizontal="center" vertical="center"/>
      <protection hidden="1"/>
    </xf>
    <xf numFmtId="0" fontId="8" fillId="2" borderId="2" xfId="0" applyFont="1" applyFill="1" applyBorder="1" applyAlignment="1" applyProtection="1">
      <alignment horizontal="left" vertical="center"/>
      <protection hidden="1"/>
    </xf>
    <xf numFmtId="0" fontId="8" fillId="2" borderId="1" xfId="0" applyFont="1" applyFill="1" applyBorder="1" applyAlignment="1" applyProtection="1">
      <alignment horizontal="right" vertical="center"/>
      <protection hidden="1"/>
    </xf>
    <xf numFmtId="0" fontId="3" fillId="0" borderId="4" xfId="0" applyFont="1" applyBorder="1" applyAlignment="1" applyProtection="1">
      <alignment horizontal="left" vertical="center" wrapText="1"/>
      <protection hidden="1"/>
    </xf>
    <xf numFmtId="172" fontId="3" fillId="0" borderId="0" xfId="4" applyNumberFormat="1" applyFont="1" applyBorder="1" applyAlignment="1" applyProtection="1">
      <alignment vertical="center" wrapText="1"/>
      <protection hidden="1"/>
    </xf>
    <xf numFmtId="164" fontId="3" fillId="0" borderId="1" xfId="1" applyFont="1" applyBorder="1" applyAlignment="1" applyProtection="1">
      <alignment vertical="center" wrapText="1"/>
      <protection hidden="1"/>
    </xf>
    <xf numFmtId="164" fontId="3" fillId="0" borderId="0" xfId="1" applyFont="1" applyBorder="1" applyAlignment="1" applyProtection="1">
      <alignment vertical="center" wrapText="1"/>
      <protection hidden="1"/>
    </xf>
    <xf numFmtId="167" fontId="3" fillId="0" borderId="0" xfId="0" applyNumberFormat="1" applyFont="1" applyAlignment="1" applyProtection="1">
      <alignment vertical="center" wrapText="1"/>
      <protection hidden="1"/>
    </xf>
    <xf numFmtId="0" fontId="3" fillId="0" borderId="1" xfId="0" applyFont="1" applyBorder="1" applyAlignment="1" applyProtection="1">
      <alignment horizontal="right" vertical="center" wrapText="1"/>
      <protection hidden="1"/>
    </xf>
    <xf numFmtId="0" fontId="3" fillId="0" borderId="0" xfId="0" applyFont="1" applyAlignment="1" applyProtection="1">
      <alignment horizontal="right" vertical="center" wrapText="1"/>
      <protection hidden="1"/>
    </xf>
    <xf numFmtId="164" fontId="3" fillId="0" borderId="0" xfId="1" applyFont="1" applyBorder="1" applyAlignment="1" applyProtection="1">
      <alignment horizontal="right" vertical="center" wrapText="1"/>
      <protection hidden="1"/>
    </xf>
    <xf numFmtId="170" fontId="3" fillId="0" borderId="0" xfId="4" applyFont="1" applyBorder="1" applyAlignment="1" applyProtection="1">
      <alignment horizontal="right" vertical="center" wrapText="1"/>
      <protection hidden="1"/>
    </xf>
    <xf numFmtId="173" fontId="3" fillId="0" borderId="0" xfId="4" applyNumberFormat="1" applyFont="1" applyBorder="1" applyAlignment="1" applyProtection="1">
      <alignment horizontal="right" vertical="center" wrapText="1"/>
      <protection hidden="1"/>
    </xf>
    <xf numFmtId="0" fontId="12" fillId="2" borderId="0" xfId="0" applyFont="1" applyFill="1" applyAlignment="1" applyProtection="1">
      <alignment horizontal="right" vertical="center"/>
      <protection hidden="1"/>
    </xf>
    <xf numFmtId="0" fontId="17" fillId="2" borderId="0" xfId="0" applyFont="1" applyFill="1" applyAlignment="1" applyProtection="1">
      <alignment horizontal="center" vertical="center"/>
      <protection hidden="1"/>
    </xf>
    <xf numFmtId="167" fontId="3" fillId="2" borderId="0" xfId="0" applyNumberFormat="1" applyFont="1" applyFill="1" applyProtection="1">
      <protection hidden="1"/>
    </xf>
    <xf numFmtId="0" fontId="3" fillId="6" borderId="1" xfId="1" applyNumberFormat="1" applyFont="1" applyFill="1" applyBorder="1" applyAlignment="1" applyProtection="1">
      <alignment horizontal="left" vertical="center" wrapText="1"/>
      <protection locked="0"/>
    </xf>
    <xf numFmtId="0" fontId="19" fillId="0" borderId="0" xfId="0" applyFont="1" applyProtection="1">
      <protection hidden="1"/>
    </xf>
    <xf numFmtId="0" fontId="20" fillId="2" borderId="4" xfId="0" applyFont="1" applyFill="1" applyBorder="1" applyAlignment="1" applyProtection="1">
      <alignment horizontal="right" vertical="center"/>
      <protection hidden="1"/>
    </xf>
    <xf numFmtId="0" fontId="20" fillId="2" borderId="3" xfId="0" applyFont="1" applyFill="1" applyBorder="1" applyAlignment="1" applyProtection="1">
      <alignment horizontal="right" vertical="center"/>
      <protection hidden="1"/>
    </xf>
    <xf numFmtId="0" fontId="8" fillId="0" borderId="1" xfId="0" applyFont="1" applyBorder="1" applyAlignment="1" applyProtection="1">
      <alignment horizontal="center" vertical="center"/>
      <protection hidden="1"/>
    </xf>
    <xf numFmtId="174" fontId="3" fillId="6" borderId="1" xfId="1" applyNumberFormat="1" applyFont="1" applyFill="1" applyBorder="1" applyAlignment="1" applyProtection="1">
      <alignment horizontal="right" vertical="center" wrapText="1"/>
      <protection locked="0"/>
    </xf>
    <xf numFmtId="0" fontId="22" fillId="0" borderId="0" xfId="0" applyFont="1" applyAlignment="1" applyProtection="1">
      <alignment vertical="center"/>
      <protection hidden="1"/>
    </xf>
    <xf numFmtId="170" fontId="19" fillId="0" borderId="0" xfId="4" applyFont="1" applyProtection="1">
      <protection hidden="1"/>
    </xf>
    <xf numFmtId="0" fontId="22" fillId="0" borderId="0" xfId="0" applyFont="1" applyAlignment="1" applyProtection="1">
      <alignment vertical="top" wrapText="1"/>
      <protection hidden="1"/>
    </xf>
    <xf numFmtId="0" fontId="3" fillId="0" borderId="2" xfId="0" applyFont="1" applyBorder="1" applyProtection="1">
      <protection hidden="1"/>
    </xf>
    <xf numFmtId="0" fontId="19" fillId="0" borderId="0" xfId="0" applyFont="1" applyAlignment="1" applyProtection="1">
      <alignment horizontal="center" vertical="center" wrapText="1"/>
      <protection hidden="1"/>
    </xf>
    <xf numFmtId="0" fontId="8" fillId="2" borderId="8" xfId="0" applyFont="1" applyFill="1" applyBorder="1" applyAlignment="1" applyProtection="1">
      <alignment horizontal="left" vertical="top"/>
      <protection hidden="1"/>
    </xf>
    <xf numFmtId="0" fontId="8" fillId="2" borderId="7" xfId="0" applyFont="1" applyFill="1" applyBorder="1" applyProtection="1">
      <protection hidden="1"/>
    </xf>
    <xf numFmtId="9" fontId="12" fillId="0" borderId="0" xfId="0" applyNumberFormat="1"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9" fontId="12" fillId="0" borderId="0" xfId="2" applyFont="1" applyBorder="1" applyAlignment="1" applyProtection="1">
      <alignment horizontal="center" vertical="center"/>
      <protection hidden="1"/>
    </xf>
    <xf numFmtId="0" fontId="8" fillId="0" borderId="0" xfId="5" applyFont="1"/>
    <xf numFmtId="0" fontId="8" fillId="2" borderId="0" xfId="5" applyFont="1" applyFill="1"/>
    <xf numFmtId="0" fontId="10" fillId="9" borderId="0" xfId="5" applyFont="1" applyFill="1" applyAlignment="1">
      <alignment horizontal="center" wrapText="1"/>
    </xf>
    <xf numFmtId="0" fontId="23" fillId="0" borderId="0" xfId="5" applyFont="1"/>
    <xf numFmtId="0" fontId="8" fillId="9" borderId="0" xfId="5" applyFont="1" applyFill="1" applyAlignment="1">
      <alignment horizontal="right"/>
    </xf>
    <xf numFmtId="0" fontId="10" fillId="9" borderId="0" xfId="5" applyFont="1" applyFill="1" applyAlignment="1">
      <alignment horizontal="right"/>
    </xf>
    <xf numFmtId="0" fontId="13" fillId="9" borderId="0" xfId="5" applyFont="1" applyFill="1" applyAlignment="1">
      <alignment horizontal="right"/>
    </xf>
    <xf numFmtId="0" fontId="12" fillId="9" borderId="0" xfId="5" applyFont="1" applyFill="1" applyAlignment="1">
      <alignment horizontal="right"/>
    </xf>
    <xf numFmtId="0" fontId="8" fillId="9" borderId="0" xfId="5" applyFont="1" applyFill="1"/>
    <xf numFmtId="2" fontId="8" fillId="9" borderId="0" xfId="5" applyNumberFormat="1" applyFont="1" applyFill="1"/>
    <xf numFmtId="179" fontId="3" fillId="9" borderId="0" xfId="1" applyNumberFormat="1" applyFont="1" applyFill="1"/>
    <xf numFmtId="179" fontId="3" fillId="0" borderId="0" xfId="1" applyNumberFormat="1" applyFont="1" applyAlignment="1">
      <alignment horizontal="right"/>
    </xf>
    <xf numFmtId="2" fontId="3" fillId="9" borderId="0" xfId="4" applyNumberFormat="1" applyFont="1" applyFill="1"/>
    <xf numFmtId="2" fontId="10" fillId="0" borderId="14" xfId="5" applyNumberFormat="1" applyFont="1" applyBorder="1"/>
    <xf numFmtId="179" fontId="3" fillId="11" borderId="0" xfId="1" applyNumberFormat="1" applyFont="1" applyFill="1"/>
    <xf numFmtId="2" fontId="13" fillId="9" borderId="0" xfId="5" applyNumberFormat="1" applyFont="1" applyFill="1"/>
    <xf numFmtId="164" fontId="3" fillId="0" borderId="1" xfId="1" applyFont="1" applyBorder="1"/>
    <xf numFmtId="0" fontId="20" fillId="2" borderId="10" xfId="0" applyFont="1" applyFill="1" applyBorder="1" applyAlignment="1" applyProtection="1">
      <alignment horizontal="right" vertical="center"/>
      <protection locked="0"/>
    </xf>
    <xf numFmtId="0" fontId="24" fillId="2" borderId="10" xfId="0" applyFont="1" applyFill="1" applyBorder="1" applyAlignment="1" applyProtection="1">
      <alignment horizontal="right" vertical="center"/>
      <protection locked="0"/>
    </xf>
    <xf numFmtId="0" fontId="20" fillId="2" borderId="1" xfId="0" applyFont="1" applyFill="1" applyBorder="1" applyAlignment="1" applyProtection="1">
      <alignment horizontal="left" vertical="center"/>
      <protection locked="0"/>
    </xf>
    <xf numFmtId="0" fontId="3" fillId="0" borderId="0" xfId="0" applyFont="1" applyAlignment="1" applyProtection="1">
      <alignment vertical="center"/>
      <protection locked="0"/>
    </xf>
    <xf numFmtId="0" fontId="3" fillId="0" borderId="1" xfId="0" applyFont="1" applyBorder="1" applyAlignment="1" applyProtection="1">
      <alignment horizontal="center" vertical="center"/>
      <protection locked="0"/>
    </xf>
    <xf numFmtId="180" fontId="3" fillId="0" borderId="1" xfId="0" applyNumberFormat="1" applyFont="1" applyBorder="1" applyAlignment="1" applyProtection="1">
      <alignment horizontal="center" vertical="center"/>
      <protection locked="0"/>
    </xf>
    <xf numFmtId="1" fontId="3" fillId="0" borderId="1" xfId="0" applyNumberFormat="1" applyFont="1" applyBorder="1" applyAlignment="1" applyProtection="1">
      <alignment horizontal="center" vertical="center"/>
      <protection locked="0"/>
    </xf>
    <xf numFmtId="165" fontId="3" fillId="0" borderId="1" xfId="0" applyNumberFormat="1" applyFont="1" applyBorder="1" applyAlignment="1" applyProtection="1">
      <alignment horizontal="center" vertical="center"/>
      <protection locked="0"/>
    </xf>
    <xf numFmtId="167" fontId="5" fillId="0" borderId="0" xfId="0" applyNumberFormat="1" applyFont="1" applyAlignment="1" applyProtection="1">
      <alignment horizontal="left" vertical="center" wrapText="1"/>
      <protection hidden="1"/>
    </xf>
    <xf numFmtId="167" fontId="5" fillId="2" borderId="1" xfId="0" applyNumberFormat="1" applyFont="1" applyFill="1" applyBorder="1" applyAlignment="1" applyProtection="1">
      <alignment horizontal="left" vertical="center" wrapText="1"/>
      <protection hidden="1"/>
    </xf>
    <xf numFmtId="0" fontId="20" fillId="2" borderId="2" xfId="0" applyFont="1" applyFill="1" applyBorder="1" applyAlignment="1" applyProtection="1">
      <alignment horizontal="left" vertical="center"/>
      <protection locked="0"/>
    </xf>
    <xf numFmtId="0" fontId="20" fillId="2" borderId="4" xfId="0" applyFont="1" applyFill="1" applyBorder="1" applyAlignment="1" applyProtection="1">
      <alignment horizontal="left" vertical="center"/>
      <protection locked="0"/>
    </xf>
    <xf numFmtId="181" fontId="3" fillId="0" borderId="1" xfId="4" applyNumberFormat="1" applyFont="1" applyBorder="1" applyAlignment="1" applyProtection="1">
      <alignment vertical="center"/>
      <protection locked="0"/>
    </xf>
    <xf numFmtId="0" fontId="20" fillId="2" borderId="10" xfId="0" applyFont="1" applyFill="1" applyBorder="1" applyAlignment="1" applyProtection="1">
      <alignment horizontal="left" vertical="center"/>
      <protection locked="0"/>
    </xf>
    <xf numFmtId="0" fontId="14" fillId="2" borderId="0" xfId="0" applyFont="1" applyFill="1" applyAlignment="1" applyProtection="1">
      <alignment vertical="center"/>
      <protection hidden="1"/>
    </xf>
    <xf numFmtId="0" fontId="3" fillId="2" borderId="0" xfId="0" applyFont="1" applyFill="1"/>
    <xf numFmtId="0" fontId="3" fillId="0" borderId="0" xfId="5"/>
    <xf numFmtId="3" fontId="3" fillId="8" borderId="1" xfId="0" applyNumberFormat="1" applyFont="1" applyFill="1" applyBorder="1" applyAlignment="1">
      <alignment vertical="center"/>
    </xf>
    <xf numFmtId="0" fontId="3" fillId="8" borderId="1" xfId="0" applyFont="1" applyFill="1" applyBorder="1" applyAlignment="1">
      <alignment vertical="center"/>
    </xf>
    <xf numFmtId="164" fontId="3" fillId="8" borderId="1" xfId="1" applyFont="1" applyFill="1" applyBorder="1" applyAlignme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14" xfId="5" applyBorder="1"/>
    <xf numFmtId="0" fontId="3" fillId="0" borderId="0" xfId="5" applyAlignment="1">
      <alignment horizontal="right"/>
    </xf>
    <xf numFmtId="0" fontId="3" fillId="9" borderId="0" xfId="5" applyFill="1" applyAlignment="1">
      <alignment horizontal="right"/>
    </xf>
    <xf numFmtId="0" fontId="3" fillId="9" borderId="5" xfId="5" applyFill="1" applyBorder="1" applyAlignment="1">
      <alignment horizontal="right"/>
    </xf>
    <xf numFmtId="0" fontId="3" fillId="9" borderId="0" xfId="5" applyFill="1"/>
    <xf numFmtId="0" fontId="3" fillId="9" borderId="5" xfId="5" applyFill="1" applyBorder="1"/>
    <xf numFmtId="2" fontId="3" fillId="9" borderId="0" xfId="5" applyNumberFormat="1" applyFill="1"/>
    <xf numFmtId="165" fontId="10" fillId="0" borderId="1" xfId="0" applyNumberFormat="1" applyFont="1" applyBorder="1" applyAlignment="1">
      <alignment vertical="center"/>
    </xf>
    <xf numFmtId="2" fontId="3" fillId="11" borderId="0" xfId="5" applyNumberFormat="1" applyFill="1"/>
    <xf numFmtId="0" fontId="3" fillId="11" borderId="5" xfId="5" applyFill="1" applyBorder="1"/>
    <xf numFmtId="0" fontId="3" fillId="0" borderId="0" xfId="5" quotePrefix="1"/>
    <xf numFmtId="0" fontId="3" fillId="0" borderId="1" xfId="0" applyFont="1" applyBorder="1" applyAlignment="1">
      <alignment horizontal="right" vertical="center"/>
    </xf>
    <xf numFmtId="0" fontId="3" fillId="9" borderId="1" xfId="5" applyFill="1" applyBorder="1" applyAlignment="1">
      <alignment horizontal="center" vertical="top" wrapText="1"/>
    </xf>
    <xf numFmtId="0" fontId="3" fillId="2" borderId="0" xfId="5" applyFill="1"/>
    <xf numFmtId="164" fontId="3" fillId="9" borderId="0" xfId="1" applyFont="1" applyFill="1"/>
    <xf numFmtId="164" fontId="3" fillId="0" borderId="1" xfId="0" applyNumberFormat="1" applyFont="1" applyBorder="1" applyAlignment="1" applyProtection="1">
      <alignment horizontal="center" vertical="center"/>
      <protection locked="0"/>
    </xf>
    <xf numFmtId="182" fontId="3" fillId="0" borderId="0" xfId="5" applyNumberFormat="1"/>
    <xf numFmtId="0" fontId="23" fillId="10" borderId="0" xfId="5" applyFont="1" applyFill="1" applyAlignment="1">
      <alignment horizontal="right"/>
    </xf>
    <xf numFmtId="164" fontId="3" fillId="0" borderId="0" xfId="1" applyFont="1"/>
    <xf numFmtId="178" fontId="3" fillId="0" borderId="1" xfId="5" applyNumberFormat="1" applyBorder="1" applyAlignment="1">
      <alignment horizontal="right"/>
    </xf>
    <xf numFmtId="43" fontId="3" fillId="0" borderId="1" xfId="6" applyFont="1" applyBorder="1"/>
    <xf numFmtId="3" fontId="0" fillId="0" borderId="0" xfId="0" applyNumberFormat="1"/>
    <xf numFmtId="0" fontId="3" fillId="4" borderId="0" xfId="0" applyFont="1" applyFill="1"/>
    <xf numFmtId="0" fontId="3" fillId="4" borderId="0" xfId="0" applyFont="1" applyFill="1" applyAlignment="1">
      <alignment horizontal="right"/>
    </xf>
    <xf numFmtId="0" fontId="3" fillId="4" borderId="0" xfId="0" applyFont="1" applyFill="1" applyAlignment="1">
      <alignment horizontal="right" vertical="center"/>
    </xf>
    <xf numFmtId="183" fontId="3" fillId="4" borderId="0" xfId="4" applyNumberFormat="1" applyFont="1" applyFill="1" applyAlignment="1">
      <alignment horizontal="right" vertical="center"/>
    </xf>
    <xf numFmtId="3" fontId="3" fillId="0" borderId="1" xfId="0" applyNumberFormat="1" applyFont="1" applyBorder="1" applyAlignment="1" applyProtection="1">
      <alignment horizontal="right" vertical="center"/>
      <protection locked="0"/>
    </xf>
    <xf numFmtId="180" fontId="3" fillId="0" borderId="1" xfId="0" applyNumberFormat="1" applyFont="1" applyBorder="1" applyAlignment="1" applyProtection="1">
      <alignment horizontal="right" vertical="center"/>
      <protection locked="0"/>
    </xf>
    <xf numFmtId="0" fontId="3" fillId="0" borderId="1" xfId="0" applyFont="1" applyBorder="1" applyAlignment="1">
      <alignment horizontal="right"/>
    </xf>
    <xf numFmtId="0" fontId="3" fillId="0" borderId="1" xfId="0" applyFont="1" applyBorder="1"/>
    <xf numFmtId="0" fontId="3" fillId="0" borderId="1" xfId="0" applyFont="1" applyBorder="1" applyAlignment="1" applyProtection="1">
      <alignment horizontal="left" vertical="center"/>
      <protection locked="0"/>
    </xf>
    <xf numFmtId="0" fontId="3" fillId="0" borderId="1" xfId="0" applyFont="1" applyBorder="1" applyAlignment="1">
      <alignment horizontal="left"/>
    </xf>
    <xf numFmtId="164" fontId="3" fillId="0" borderId="1" xfId="1" applyFont="1" applyBorder="1" applyAlignment="1">
      <alignment horizontal="right"/>
    </xf>
    <xf numFmtId="0" fontId="8" fillId="2" borderId="2" xfId="0" applyFont="1" applyFill="1" applyBorder="1" applyAlignment="1" applyProtection="1">
      <alignment vertical="center" wrapText="1"/>
      <protection hidden="1"/>
    </xf>
    <xf numFmtId="0" fontId="3" fillId="0" borderId="2" xfId="0" applyFont="1" applyBorder="1" applyAlignment="1" applyProtection="1">
      <alignment vertical="center"/>
      <protection hidden="1"/>
    </xf>
    <xf numFmtId="0" fontId="8" fillId="0" borderId="2" xfId="0" applyFont="1" applyBorder="1" applyAlignment="1" applyProtection="1">
      <alignment vertical="center"/>
      <protection hidden="1"/>
    </xf>
    <xf numFmtId="0" fontId="3" fillId="0" borderId="0" xfId="0" applyFont="1" applyAlignment="1" applyProtection="1">
      <alignment vertical="center"/>
      <protection hidden="1"/>
    </xf>
    <xf numFmtId="174" fontId="3" fillId="6" borderId="1" xfId="1" quotePrefix="1" applyNumberFormat="1" applyFont="1" applyFill="1" applyBorder="1" applyAlignment="1" applyProtection="1">
      <alignment horizontal="right" vertical="center" wrapText="1"/>
      <protection locked="0"/>
    </xf>
    <xf numFmtId="0" fontId="12" fillId="0" borderId="2" xfId="3" applyFont="1" applyBorder="1" applyAlignment="1" applyProtection="1">
      <alignment horizontal="left" vertical="center"/>
      <protection hidden="1"/>
    </xf>
    <xf numFmtId="0" fontId="8" fillId="0" borderId="0" xfId="0" applyFont="1" applyProtection="1">
      <protection hidden="1"/>
    </xf>
    <xf numFmtId="0" fontId="3" fillId="0" borderId="1" xfId="0" applyFont="1" applyBorder="1" applyAlignment="1" applyProtection="1">
      <alignment horizontal="right" vertical="center"/>
      <protection hidden="1"/>
    </xf>
    <xf numFmtId="167" fontId="5" fillId="0" borderId="10" xfId="0" applyNumberFormat="1" applyFont="1" applyBorder="1" applyAlignment="1" applyProtection="1">
      <alignment horizontal="left" vertical="center" wrapText="1"/>
      <protection hidden="1"/>
    </xf>
    <xf numFmtId="176" fontId="3" fillId="0" borderId="1" xfId="2" applyNumberFormat="1" applyFont="1" applyBorder="1" applyAlignment="1">
      <alignment vertical="center"/>
    </xf>
    <xf numFmtId="9" fontId="3" fillId="6" borderId="1" xfId="1" applyNumberFormat="1" applyFont="1" applyFill="1" applyBorder="1" applyAlignment="1" applyProtection="1">
      <alignment horizontal="right" vertical="center" wrapText="1"/>
      <protection locked="0"/>
    </xf>
    <xf numFmtId="0" fontId="20" fillId="2" borderId="1" xfId="0" quotePrefix="1" applyFont="1" applyFill="1" applyBorder="1" applyAlignment="1" applyProtection="1">
      <alignment horizontal="left" vertical="center"/>
      <protection locked="0"/>
    </xf>
    <xf numFmtId="2" fontId="3" fillId="4" borderId="1" xfId="0" applyNumberFormat="1" applyFont="1" applyFill="1" applyBorder="1" applyAlignment="1">
      <alignment vertical="center"/>
    </xf>
    <xf numFmtId="3" fontId="3" fillId="0" borderId="1" xfId="0" applyNumberFormat="1" applyFont="1" applyBorder="1"/>
    <xf numFmtId="164" fontId="3" fillId="4" borderId="1" xfId="1" applyFont="1" applyFill="1" applyBorder="1" applyAlignment="1">
      <alignment vertical="center"/>
    </xf>
    <xf numFmtId="164" fontId="3" fillId="0" borderId="1" xfId="0" applyNumberFormat="1" applyFont="1" applyBorder="1"/>
    <xf numFmtId="0" fontId="3" fillId="0" borderId="1" xfId="0" applyFont="1" applyBorder="1" applyAlignment="1" applyProtection="1">
      <alignment vertical="center"/>
      <protection locked="0"/>
    </xf>
    <xf numFmtId="172" fontId="3" fillId="0" borderId="0" xfId="6" applyNumberFormat="1" applyFont="1"/>
    <xf numFmtId="164" fontId="3" fillId="0" borderId="0" xfId="0" applyNumberFormat="1" applyFont="1"/>
    <xf numFmtId="0" fontId="3" fillId="0" borderId="0" xfId="0" applyFont="1" applyAlignment="1">
      <alignment horizontal="right"/>
    </xf>
    <xf numFmtId="0" fontId="3" fillId="0" borderId="0" xfId="0" applyFont="1" applyAlignment="1" applyProtection="1">
      <alignment horizontal="left"/>
      <protection hidden="1"/>
    </xf>
    <xf numFmtId="164" fontId="3" fillId="0" borderId="0" xfId="1" applyFont="1" applyProtection="1">
      <protection hidden="1"/>
    </xf>
    <xf numFmtId="0" fontId="3" fillId="0" borderId="1" xfId="0" applyFont="1" applyBorder="1" applyAlignment="1" applyProtection="1">
      <alignment horizontal="right" vertical="center"/>
      <protection locked="0"/>
    </xf>
    <xf numFmtId="164" fontId="3" fillId="0" borderId="1" xfId="1" applyFont="1" applyFill="1" applyBorder="1"/>
    <xf numFmtId="178" fontId="3" fillId="0" borderId="1" xfId="1" applyNumberFormat="1" applyFont="1" applyFill="1" applyBorder="1"/>
    <xf numFmtId="1" fontId="3" fillId="0" borderId="1" xfId="5" applyNumberFormat="1" applyBorder="1"/>
    <xf numFmtId="43" fontId="3" fillId="0" borderId="1" xfId="6" applyFont="1" applyFill="1" applyBorder="1"/>
    <xf numFmtId="1" fontId="3" fillId="4" borderId="1" xfId="2" applyNumberFormat="1" applyFont="1" applyFill="1" applyBorder="1" applyAlignment="1">
      <alignment vertical="center"/>
    </xf>
    <xf numFmtId="0" fontId="3" fillId="0" borderId="1" xfId="0" quotePrefix="1" applyFont="1" applyBorder="1" applyAlignment="1">
      <alignment horizontal="right"/>
    </xf>
    <xf numFmtId="0" fontId="29" fillId="0" borderId="0" xfId="0" applyFont="1" applyAlignment="1">
      <alignment vertical="center"/>
    </xf>
    <xf numFmtId="0" fontId="3" fillId="0" borderId="0" xfId="0" applyFont="1" applyAlignment="1">
      <alignment horizontal="right" vertical="center"/>
    </xf>
    <xf numFmtId="3" fontId="3" fillId="0" borderId="0" xfId="0" applyNumberFormat="1" applyFont="1"/>
    <xf numFmtId="0" fontId="29" fillId="0" borderId="0" xfId="0" applyFont="1"/>
    <xf numFmtId="176" fontId="3" fillId="0" borderId="0" xfId="0" applyNumberFormat="1" applyFont="1"/>
    <xf numFmtId="184" fontId="3" fillId="0" borderId="0" xfId="0" applyNumberFormat="1" applyFont="1"/>
    <xf numFmtId="43" fontId="3" fillId="0" borderId="1" xfId="0" applyNumberFormat="1" applyFont="1" applyBorder="1"/>
    <xf numFmtId="173" fontId="25" fillId="10" borderId="0" xfId="6" applyNumberFormat="1" applyFont="1" applyFill="1"/>
    <xf numFmtId="166" fontId="3" fillId="0" borderId="0" xfId="0" applyNumberFormat="1" applyFont="1"/>
    <xf numFmtId="0" fontId="20" fillId="2" borderId="4" xfId="0" applyFont="1" applyFill="1" applyBorder="1" applyAlignment="1" applyProtection="1">
      <alignment horizontal="right" vertical="center"/>
      <protection locked="0"/>
    </xf>
    <xf numFmtId="0" fontId="20" fillId="2" borderId="3" xfId="0" applyFont="1" applyFill="1" applyBorder="1" applyAlignment="1" applyProtection="1">
      <alignment horizontal="right" vertical="center"/>
      <protection locked="0"/>
    </xf>
    <xf numFmtId="185" fontId="3" fillId="4" borderId="0" xfId="0" applyNumberFormat="1" applyFont="1" applyFill="1"/>
    <xf numFmtId="0" fontId="3" fillId="6" borderId="1" xfId="0" applyFont="1" applyFill="1" applyBorder="1" applyAlignment="1" applyProtection="1">
      <alignment horizontal="right" vertical="center" wrapText="1"/>
      <protection locked="0"/>
    </xf>
    <xf numFmtId="177" fontId="3" fillId="4" borderId="0" xfId="0" applyNumberFormat="1" applyFont="1" applyFill="1"/>
    <xf numFmtId="167" fontId="3" fillId="0" borderId="1" xfId="0" applyNumberFormat="1" applyFont="1" applyBorder="1" applyAlignment="1" applyProtection="1">
      <alignment horizontal="left" vertical="center" wrapText="1"/>
      <protection hidden="1"/>
    </xf>
    <xf numFmtId="173" fontId="3" fillId="0" borderId="0" xfId="6" applyNumberFormat="1" applyFont="1"/>
    <xf numFmtId="0" fontId="30" fillId="2" borderId="4" xfId="0" applyFont="1" applyFill="1" applyBorder="1" applyAlignment="1" applyProtection="1">
      <alignment horizontal="right" vertical="center"/>
      <protection hidden="1"/>
    </xf>
    <xf numFmtId="9" fontId="3" fillId="0" borderId="1" xfId="2" applyFont="1" applyBorder="1"/>
    <xf numFmtId="5" fontId="3" fillId="0" borderId="0" xfId="0" applyNumberFormat="1" applyFont="1"/>
    <xf numFmtId="43" fontId="3" fillId="9" borderId="0" xfId="6" applyFont="1" applyFill="1"/>
    <xf numFmtId="43" fontId="3" fillId="0" borderId="1" xfId="0" applyNumberFormat="1" applyFont="1" applyBorder="1" applyAlignment="1" applyProtection="1">
      <alignment horizontal="right" vertical="center"/>
      <protection hidden="1"/>
    </xf>
    <xf numFmtId="0" fontId="3" fillId="0" borderId="3" xfId="0" applyFont="1" applyBorder="1" applyAlignment="1">
      <alignment horizontal="right" vertical="center"/>
    </xf>
    <xf numFmtId="0" fontId="3" fillId="0" borderId="3" xfId="0" applyFont="1" applyBorder="1"/>
    <xf numFmtId="0" fontId="3" fillId="0" borderId="3" xfId="0" applyFont="1" applyBorder="1" applyAlignment="1">
      <alignment vertical="center"/>
    </xf>
    <xf numFmtId="0" fontId="3" fillId="0" borderId="2" xfId="0" applyFont="1" applyBorder="1" applyAlignment="1">
      <alignment horizontal="right" vertical="center"/>
    </xf>
    <xf numFmtId="0" fontId="3" fillId="0" borderId="2" xfId="0" applyFont="1" applyBorder="1" applyAlignment="1">
      <alignment horizontal="right"/>
    </xf>
    <xf numFmtId="164" fontId="3" fillId="0" borderId="1" xfId="0" applyNumberFormat="1" applyFont="1" applyBorder="1" applyAlignment="1">
      <alignment vertical="center"/>
    </xf>
    <xf numFmtId="0" fontId="10" fillId="0" borderId="1" xfId="0" applyFont="1" applyBorder="1" applyAlignment="1" applyProtection="1">
      <alignment vertical="center"/>
      <protection hidden="1"/>
    </xf>
    <xf numFmtId="0" fontId="22" fillId="2" borderId="0" xfId="0" applyFont="1" applyFill="1" applyAlignment="1" applyProtection="1">
      <alignment vertical="center"/>
      <protection hidden="1"/>
    </xf>
    <xf numFmtId="9" fontId="3" fillId="0" borderId="1" xfId="2" applyFont="1" applyBorder="1" applyAlignment="1" applyProtection="1">
      <alignment horizontal="right" vertical="center" wrapText="1"/>
      <protection hidden="1"/>
    </xf>
    <xf numFmtId="0" fontId="3" fillId="0" borderId="3" xfId="0" quotePrefix="1" applyFont="1" applyBorder="1" applyAlignment="1">
      <alignment vertical="center"/>
    </xf>
    <xf numFmtId="0" fontId="3" fillId="0" borderId="1" xfId="0" quotePrefix="1" applyFont="1" applyBorder="1" applyAlignment="1">
      <alignment vertical="center"/>
    </xf>
    <xf numFmtId="3" fontId="3" fillId="0" borderId="0" xfId="0" applyNumberFormat="1" applyFont="1" applyAlignment="1">
      <alignment horizontal="center" vertical="center"/>
    </xf>
    <xf numFmtId="185" fontId="3" fillId="0" borderId="0" xfId="0" applyNumberFormat="1" applyFont="1"/>
    <xf numFmtId="177" fontId="3" fillId="0" borderId="1" xfId="0" applyNumberFormat="1" applyFont="1" applyBorder="1" applyAlignment="1">
      <alignment horizontal="right"/>
    </xf>
    <xf numFmtId="177" fontId="3" fillId="0" borderId="1" xfId="0" applyNumberFormat="1" applyFont="1" applyBorder="1" applyAlignment="1">
      <alignment horizontal="right" vertical="center"/>
    </xf>
    <xf numFmtId="164" fontId="3" fillId="0" borderId="1" xfId="0" applyNumberFormat="1" applyFont="1" applyBorder="1" applyAlignment="1">
      <alignment horizontal="right" vertical="center"/>
    </xf>
    <xf numFmtId="0" fontId="0" fillId="12" borderId="0" xfId="0" applyFill="1"/>
    <xf numFmtId="3" fontId="0" fillId="12" borderId="0" xfId="0" applyNumberFormat="1" applyFill="1"/>
    <xf numFmtId="0" fontId="0" fillId="12" borderId="0" xfId="0" applyFill="1" applyAlignment="1">
      <alignment horizontal="right"/>
    </xf>
    <xf numFmtId="164" fontId="0" fillId="12" borderId="0" xfId="1" applyFont="1" applyFill="1"/>
    <xf numFmtId="2" fontId="0" fillId="12" borderId="0" xfId="0" applyNumberFormat="1" applyFill="1"/>
    <xf numFmtId="164" fontId="0" fillId="12" borderId="0" xfId="0" applyNumberFormat="1" applyFill="1"/>
    <xf numFmtId="9" fontId="0" fillId="12" borderId="0" xfId="2" applyFont="1" applyFill="1"/>
    <xf numFmtId="1" fontId="0" fillId="12" borderId="0" xfId="0" applyNumberFormat="1" applyFill="1"/>
    <xf numFmtId="0" fontId="0" fillId="12" borderId="1" xfId="0" applyFill="1" applyBorder="1"/>
    <xf numFmtId="44" fontId="0" fillId="12" borderId="0" xfId="0" applyNumberFormat="1" applyFill="1"/>
    <xf numFmtId="172" fontId="3" fillId="0" borderId="1" xfId="4" applyNumberFormat="1" applyFont="1" applyBorder="1" applyAlignment="1" applyProtection="1">
      <alignment horizontal="right" vertical="center" wrapText="1"/>
      <protection hidden="1"/>
    </xf>
    <xf numFmtId="164" fontId="3" fillId="0" borderId="1" xfId="1" applyFont="1" applyBorder="1" applyAlignment="1" applyProtection="1">
      <alignment horizontal="right" vertical="center" wrapText="1"/>
      <protection hidden="1"/>
    </xf>
    <xf numFmtId="44" fontId="3" fillId="0" borderId="0" xfId="0" applyNumberFormat="1" applyFont="1"/>
    <xf numFmtId="0" fontId="3" fillId="2" borderId="7" xfId="0" quotePrefix="1" applyFont="1" applyFill="1" applyBorder="1" applyAlignment="1" applyProtection="1">
      <alignment vertical="center"/>
      <protection hidden="1"/>
    </xf>
    <xf numFmtId="0" fontId="3" fillId="2" borderId="8" xfId="0" applyFont="1" applyFill="1" applyBorder="1" applyProtection="1">
      <protection hidden="1"/>
    </xf>
    <xf numFmtId="9" fontId="3" fillId="0" borderId="1" xfId="2" applyFont="1" applyBorder="1" applyAlignment="1">
      <alignment vertical="center"/>
    </xf>
    <xf numFmtId="9" fontId="3" fillId="0" borderId="0" xfId="0" applyNumberFormat="1" applyFont="1" applyAlignment="1" applyProtection="1">
      <alignment vertical="center"/>
      <protection locked="0"/>
    </xf>
    <xf numFmtId="0" fontId="13" fillId="2" borderId="7" xfId="0" applyFont="1" applyFill="1" applyBorder="1" applyAlignment="1" applyProtection="1">
      <alignment horizontal="center"/>
      <protection hidden="1"/>
    </xf>
    <xf numFmtId="0" fontId="8" fillId="2" borderId="9" xfId="0" applyFont="1" applyFill="1" applyBorder="1" applyAlignment="1" applyProtection="1">
      <alignment wrapText="1"/>
      <protection hidden="1"/>
    </xf>
    <xf numFmtId="0" fontId="8" fillId="2" borderId="5" xfId="0" applyFont="1" applyFill="1" applyBorder="1" applyAlignment="1" applyProtection="1">
      <alignment horizontal="right" vertical="top" wrapText="1"/>
      <protection hidden="1"/>
    </xf>
    <xf numFmtId="0" fontId="0" fillId="12" borderId="0" xfId="0" quotePrefix="1" applyFill="1"/>
    <xf numFmtId="0" fontId="3" fillId="0" borderId="1" xfId="0" applyFont="1" applyBorder="1" applyAlignment="1" applyProtection="1">
      <alignment horizontal="left" vertical="center" wrapText="1"/>
      <protection locked="0"/>
    </xf>
    <xf numFmtId="165" fontId="3" fillId="0" borderId="1" xfId="1" applyNumberFormat="1" applyFont="1" applyFill="1" applyBorder="1" applyAlignment="1" applyProtection="1">
      <alignment horizontal="right" vertical="center" wrapText="1"/>
      <protection locked="0"/>
    </xf>
    <xf numFmtId="171" fontId="3" fillId="0" borderId="1" xfId="4" applyNumberFormat="1" applyFont="1" applyFill="1" applyBorder="1" applyAlignment="1" applyProtection="1">
      <alignment horizontal="right" vertical="center" wrapText="1"/>
      <protection locked="0"/>
    </xf>
    <xf numFmtId="171" fontId="10" fillId="0" borderId="1" xfId="4" applyNumberFormat="1" applyFont="1" applyFill="1" applyBorder="1" applyAlignment="1" applyProtection="1">
      <alignment horizontal="right" vertical="center" wrapText="1"/>
      <protection locked="0"/>
    </xf>
    <xf numFmtId="0" fontId="3" fillId="0" borderId="1" xfId="0" quotePrefix="1" applyFont="1" applyBorder="1" applyAlignment="1">
      <alignment horizontal="left"/>
    </xf>
    <xf numFmtId="2" fontId="3" fillId="0" borderId="0" xfId="0" applyNumberFormat="1" applyFont="1"/>
    <xf numFmtId="164" fontId="3" fillId="0" borderId="0" xfId="1" applyFont="1" applyAlignment="1"/>
    <xf numFmtId="167" fontId="5" fillId="0" borderId="1" xfId="0" applyNumberFormat="1" applyFont="1" applyBorder="1" applyAlignment="1" applyProtection="1">
      <alignment horizontal="left" vertical="center" wrapText="1"/>
      <protection hidden="1"/>
    </xf>
    <xf numFmtId="165" fontId="3" fillId="6" borderId="15" xfId="1" applyNumberFormat="1" applyFont="1" applyFill="1" applyBorder="1" applyAlignment="1" applyProtection="1">
      <alignment horizontal="right" vertical="center" wrapText="1"/>
      <protection locked="0"/>
    </xf>
    <xf numFmtId="165" fontId="3" fillId="6" borderId="16" xfId="1" applyNumberFormat="1" applyFont="1" applyFill="1" applyBorder="1" applyAlignment="1" applyProtection="1">
      <alignment horizontal="right" vertical="center" wrapText="1"/>
      <protection locked="0"/>
    </xf>
    <xf numFmtId="172" fontId="3" fillId="0" borderId="1" xfId="6" applyNumberFormat="1" applyFont="1" applyBorder="1" applyAlignment="1">
      <alignment vertical="center"/>
    </xf>
    <xf numFmtId="0" fontId="31" fillId="0" borderId="0" xfId="0" applyFont="1" applyProtection="1">
      <protection hidden="1"/>
    </xf>
    <xf numFmtId="0" fontId="3" fillId="7" borderId="2" xfId="0" quotePrefix="1" applyFont="1" applyFill="1" applyBorder="1" applyAlignment="1" applyProtection="1">
      <alignment vertical="center"/>
      <protection hidden="1"/>
    </xf>
    <xf numFmtId="0" fontId="3" fillId="7" borderId="3" xfId="0" quotePrefix="1" applyFont="1" applyFill="1" applyBorder="1" applyAlignment="1" applyProtection="1">
      <alignment vertical="center"/>
      <protection hidden="1"/>
    </xf>
    <xf numFmtId="0" fontId="3" fillId="7" borderId="3" xfId="0" quotePrefix="1" applyFont="1" applyFill="1" applyBorder="1" applyAlignment="1" applyProtection="1">
      <alignment horizontal="left" vertical="center"/>
      <protection hidden="1"/>
    </xf>
    <xf numFmtId="0" fontId="25" fillId="7" borderId="2" xfId="0" quotePrefix="1" applyFont="1" applyFill="1" applyBorder="1" applyAlignment="1" applyProtection="1">
      <alignment vertical="center"/>
      <protection hidden="1"/>
    </xf>
    <xf numFmtId="0" fontId="3" fillId="0" borderId="2" xfId="0" quotePrefix="1" applyFont="1" applyBorder="1" applyAlignment="1" applyProtection="1">
      <alignment horizontal="center" vertical="center" wrapText="1"/>
      <protection hidden="1"/>
    </xf>
    <xf numFmtId="3" fontId="3" fillId="2" borderId="0" xfId="0" applyNumberFormat="1" applyFont="1" applyFill="1"/>
    <xf numFmtId="0" fontId="3" fillId="0" borderId="0" xfId="0" applyFont="1" applyAlignment="1" applyProtection="1">
      <alignment horizontal="right"/>
      <protection hidden="1"/>
    </xf>
    <xf numFmtId="175" fontId="3" fillId="14" borderId="1" xfId="5" applyNumberFormat="1" applyFill="1" applyBorder="1" applyAlignment="1" applyProtection="1">
      <alignment horizontal="right" vertical="center"/>
      <protection hidden="1"/>
    </xf>
    <xf numFmtId="0" fontId="32" fillId="0" borderId="0" xfId="0" applyFont="1"/>
    <xf numFmtId="0" fontId="8" fillId="0" borderId="1" xfId="0" applyFont="1" applyBorder="1" applyAlignment="1">
      <alignment horizontal="right"/>
    </xf>
    <xf numFmtId="172" fontId="3" fillId="0" borderId="1" xfId="0" applyNumberFormat="1" applyFont="1" applyBorder="1"/>
    <xf numFmtId="170" fontId="19" fillId="0" borderId="3" xfId="4" applyFont="1" applyBorder="1" applyProtection="1">
      <protection hidden="1"/>
    </xf>
    <xf numFmtId="166" fontId="3" fillId="9" borderId="0" xfId="5" applyNumberFormat="1" applyFill="1"/>
    <xf numFmtId="167" fontId="10" fillId="9" borderId="0" xfId="4" applyNumberFormat="1" applyFont="1" applyFill="1"/>
    <xf numFmtId="175" fontId="3" fillId="15" borderId="1" xfId="5" applyNumberFormat="1" applyFill="1" applyBorder="1" applyAlignment="1" applyProtection="1">
      <alignment horizontal="right" vertical="center"/>
      <protection hidden="1"/>
    </xf>
    <xf numFmtId="9" fontId="3" fillId="0" borderId="1" xfId="2" applyFont="1" applyFill="1" applyBorder="1" applyAlignment="1" applyProtection="1">
      <alignment horizontal="right" vertical="center" wrapText="1"/>
      <protection hidden="1"/>
    </xf>
    <xf numFmtId="178" fontId="3" fillId="0" borderId="0" xfId="0" applyNumberFormat="1" applyFont="1"/>
    <xf numFmtId="172" fontId="3" fillId="0" borderId="0" xfId="0" applyNumberFormat="1" applyFont="1"/>
    <xf numFmtId="164" fontId="3" fillId="0" borderId="0" xfId="0" applyNumberFormat="1" applyFont="1" applyAlignment="1">
      <alignment horizontal="right"/>
    </xf>
    <xf numFmtId="0" fontId="3" fillId="4" borderId="1" xfId="0" applyFont="1" applyFill="1" applyBorder="1" applyAlignment="1">
      <alignment horizontal="right"/>
    </xf>
    <xf numFmtId="178" fontId="3" fillId="0" borderId="1" xfId="1" applyNumberFormat="1" applyFont="1" applyBorder="1"/>
    <xf numFmtId="0" fontId="3" fillId="4" borderId="1" xfId="0" applyFont="1" applyFill="1" applyBorder="1" applyAlignment="1">
      <alignment horizontal="right" vertical="center"/>
    </xf>
    <xf numFmtId="183" fontId="3" fillId="4" borderId="1" xfId="4" applyNumberFormat="1" applyFont="1" applyFill="1" applyBorder="1" applyAlignment="1">
      <alignment horizontal="right" vertical="center"/>
    </xf>
    <xf numFmtId="177" fontId="3" fillId="0" borderId="0" xfId="0" applyNumberFormat="1" applyFont="1"/>
    <xf numFmtId="0" fontId="3" fillId="0" borderId="0" xfId="0" quotePrefix="1" applyFont="1" applyAlignment="1">
      <alignment horizontal="right" indent="1"/>
    </xf>
    <xf numFmtId="171" fontId="3" fillId="6" borderId="1" xfId="0" applyNumberFormat="1" applyFont="1" applyFill="1" applyBorder="1" applyAlignment="1" applyProtection="1">
      <alignment horizontal="right" vertical="center" wrapText="1"/>
      <protection locked="0"/>
    </xf>
    <xf numFmtId="0" fontId="23" fillId="0" borderId="1" xfId="0" applyFont="1" applyBorder="1" applyAlignment="1">
      <alignment horizontal="right"/>
    </xf>
    <xf numFmtId="3" fontId="23" fillId="0" borderId="1" xfId="0" applyNumberFormat="1" applyFont="1" applyBorder="1" applyAlignment="1">
      <alignment horizontal="right"/>
    </xf>
    <xf numFmtId="164" fontId="23" fillId="0" borderId="1" xfId="0" applyNumberFormat="1" applyFont="1" applyBorder="1" applyAlignment="1">
      <alignment horizontal="right"/>
    </xf>
    <xf numFmtId="164" fontId="23" fillId="8" borderId="1" xfId="1" applyFont="1" applyFill="1" applyBorder="1" applyAlignment="1">
      <alignment vertical="center"/>
    </xf>
    <xf numFmtId="0" fontId="23" fillId="0" borderId="0" xfId="0" applyFont="1" applyAlignment="1">
      <alignment horizontal="center" vertical="center"/>
    </xf>
    <xf numFmtId="0" fontId="23" fillId="0" borderId="0" xfId="0" applyFont="1" applyAlignment="1">
      <alignment horizontal="right" vertical="center"/>
    </xf>
    <xf numFmtId="0" fontId="23" fillId="0" borderId="1" xfId="0" applyFont="1" applyBorder="1" applyAlignment="1" applyProtection="1">
      <alignment horizontal="center" vertical="center"/>
      <protection locked="0"/>
    </xf>
    <xf numFmtId="164" fontId="23" fillId="0" borderId="1" xfId="0" applyNumberFormat="1" applyFont="1" applyBorder="1" applyAlignment="1" applyProtection="1">
      <alignment horizontal="center" vertical="center"/>
      <protection locked="0"/>
    </xf>
    <xf numFmtId="0" fontId="19" fillId="0" borderId="3" xfId="0" applyFont="1" applyBorder="1" applyProtection="1">
      <protection hidden="1"/>
    </xf>
    <xf numFmtId="0" fontId="8" fillId="0" borderId="3" xfId="0" applyFont="1" applyBorder="1" applyProtection="1">
      <protection hidden="1"/>
    </xf>
    <xf numFmtId="0" fontId="8" fillId="0" borderId="2" xfId="0" applyFont="1" applyBorder="1" applyAlignment="1" applyProtection="1">
      <alignment horizontal="center" vertical="center"/>
      <protection hidden="1"/>
    </xf>
    <xf numFmtId="9" fontId="3" fillId="6" borderId="3" xfId="1" applyNumberFormat="1" applyFont="1" applyFill="1" applyBorder="1" applyAlignment="1" applyProtection="1">
      <alignment horizontal="right" vertical="center" wrapText="1"/>
      <protection locked="0"/>
    </xf>
    <xf numFmtId="172" fontId="0" fillId="12" borderId="0" xfId="6" applyNumberFormat="1" applyFont="1" applyFill="1"/>
    <xf numFmtId="172" fontId="0" fillId="12" borderId="0" xfId="0" applyNumberFormat="1" applyFill="1"/>
    <xf numFmtId="0" fontId="3" fillId="0" borderId="4" xfId="0" applyFont="1" applyBorder="1" applyAlignment="1" applyProtection="1">
      <alignment horizontal="right" vertical="center"/>
      <protection hidden="1"/>
    </xf>
    <xf numFmtId="168" fontId="3" fillId="0" borderId="1" xfId="0" applyNumberFormat="1" applyFont="1" applyBorder="1" applyAlignment="1">
      <alignment vertical="center"/>
    </xf>
    <xf numFmtId="0" fontId="3" fillId="0" borderId="16" xfId="0" quotePrefix="1" applyFont="1" applyBorder="1" applyAlignment="1" applyProtection="1">
      <alignment horizontal="center" vertical="center" wrapText="1"/>
      <protection hidden="1"/>
    </xf>
    <xf numFmtId="0" fontId="3" fillId="0" borderId="15" xfId="0" quotePrefix="1" applyFont="1" applyBorder="1" applyAlignment="1" applyProtection="1">
      <alignment horizontal="center" vertical="center" wrapText="1"/>
      <protection hidden="1"/>
    </xf>
    <xf numFmtId="0" fontId="33" fillId="2" borderId="0" xfId="0" applyFont="1" applyFill="1" applyProtection="1">
      <protection hidden="1"/>
    </xf>
    <xf numFmtId="0" fontId="18" fillId="0" borderId="0" xfId="0" applyFont="1" applyAlignment="1" applyProtection="1">
      <alignment horizontal="center" vertical="center"/>
      <protection hidden="1"/>
    </xf>
    <xf numFmtId="0" fontId="3" fillId="0" borderId="1" xfId="1" applyNumberFormat="1" applyFont="1" applyFill="1" applyBorder="1" applyAlignment="1" applyProtection="1">
      <alignment horizontal="left" vertical="center" wrapText="1"/>
      <protection hidden="1"/>
    </xf>
    <xf numFmtId="178" fontId="3" fillId="0" borderId="1" xfId="1" applyNumberFormat="1" applyFont="1" applyFill="1" applyBorder="1" applyAlignment="1" applyProtection="1">
      <alignment horizontal="right" vertical="center" wrapText="1"/>
      <protection hidden="1"/>
    </xf>
    <xf numFmtId="3" fontId="3" fillId="0" borderId="1" xfId="0" applyNumberFormat="1" applyFont="1" applyBorder="1" applyAlignment="1" applyProtection="1">
      <alignment horizontal="right" vertical="center" wrapText="1"/>
      <protection hidden="1"/>
    </xf>
    <xf numFmtId="178" fontId="3" fillId="0" borderId="1" xfId="0" applyNumberFormat="1" applyFont="1" applyBorder="1" applyAlignment="1" applyProtection="1">
      <alignment horizontal="right" vertical="center" wrapText="1"/>
      <protection hidden="1"/>
    </xf>
    <xf numFmtId="0" fontId="3" fillId="2" borderId="8" xfId="0" quotePrefix="1" applyFont="1" applyFill="1" applyBorder="1" applyAlignment="1" applyProtection="1">
      <alignment vertical="center"/>
      <protection hidden="1"/>
    </xf>
    <xf numFmtId="0" fontId="8" fillId="2" borderId="11" xfId="0" applyFont="1" applyFill="1" applyBorder="1" applyAlignment="1" applyProtection="1">
      <alignment horizontal="left"/>
      <protection hidden="1"/>
    </xf>
    <xf numFmtId="0" fontId="34" fillId="0" borderId="0" xfId="0" applyFont="1"/>
    <xf numFmtId="0" fontId="3" fillId="0" borderId="3" xfId="0" applyFont="1" applyBorder="1" applyAlignment="1" applyProtection="1">
      <alignment horizontal="left" vertical="center" wrapText="1"/>
      <protection hidden="1"/>
    </xf>
    <xf numFmtId="0" fontId="26" fillId="0" borderId="0" xfId="0" applyFont="1" applyAlignment="1">
      <alignment horizontal="left" vertical="center"/>
    </xf>
    <xf numFmtId="0" fontId="3" fillId="0" borderId="1" xfId="0" applyFont="1" applyBorder="1" applyProtection="1">
      <protection hidden="1"/>
    </xf>
    <xf numFmtId="164" fontId="3" fillId="0" borderId="0" xfId="1" applyFont="1" applyBorder="1" applyAlignment="1">
      <alignment vertical="center"/>
    </xf>
    <xf numFmtId="169" fontId="3" fillId="0" borderId="0" xfId="0" applyNumberFormat="1" applyFont="1"/>
    <xf numFmtId="3" fontId="3" fillId="0" borderId="0" xfId="0" applyNumberFormat="1" applyFont="1" applyAlignment="1">
      <alignment horizontal="right" vertical="center"/>
    </xf>
    <xf numFmtId="0" fontId="19" fillId="0" borderId="8" xfId="0" applyFont="1" applyBorder="1" applyProtection="1">
      <protection hidden="1"/>
    </xf>
    <xf numFmtId="0" fontId="3" fillId="0" borderId="7" xfId="0" applyFont="1" applyBorder="1" applyProtection="1">
      <protection hidden="1"/>
    </xf>
    <xf numFmtId="0" fontId="3" fillId="0" borderId="9" xfId="0" applyFont="1" applyBorder="1" applyProtection="1">
      <protection hidden="1"/>
    </xf>
    <xf numFmtId="0" fontId="19" fillId="0" borderId="11" xfId="0" applyFont="1" applyBorder="1" applyProtection="1">
      <protection hidden="1"/>
    </xf>
    <xf numFmtId="0" fontId="3" fillId="0" borderId="12" xfId="0" applyFont="1" applyBorder="1" applyProtection="1">
      <protection hidden="1"/>
    </xf>
    <xf numFmtId="0" fontId="3" fillId="0" borderId="13" xfId="0" applyFont="1" applyBorder="1" applyProtection="1">
      <protection hidden="1"/>
    </xf>
    <xf numFmtId="43" fontId="3" fillId="14" borderId="1" xfId="0" applyNumberFormat="1" applyFont="1" applyFill="1" applyBorder="1"/>
    <xf numFmtId="171" fontId="3" fillId="14" borderId="1" xfId="4" applyNumberFormat="1" applyFont="1" applyFill="1" applyBorder="1" applyAlignment="1" applyProtection="1">
      <alignment horizontal="right" vertical="center" wrapText="1"/>
      <protection locked="0"/>
    </xf>
    <xf numFmtId="2" fontId="3" fillId="0" borderId="1" xfId="5" applyNumberFormat="1" applyBorder="1"/>
    <xf numFmtId="0" fontId="3" fillId="2" borderId="1" xfId="0" applyFont="1" applyFill="1" applyBorder="1" applyAlignment="1">
      <alignment horizontal="right"/>
    </xf>
    <xf numFmtId="0" fontId="3" fillId="2" borderId="1" xfId="0" applyFont="1" applyFill="1" applyBorder="1" applyAlignment="1">
      <alignment horizontal="right" vertical="center"/>
    </xf>
    <xf numFmtId="0" fontId="3" fillId="2" borderId="1" xfId="0" applyFont="1" applyFill="1" applyBorder="1" applyAlignment="1" applyProtection="1">
      <alignment horizontal="right"/>
      <protection hidden="1"/>
    </xf>
    <xf numFmtId="2" fontId="3" fillId="0" borderId="1" xfId="0" applyNumberFormat="1" applyFont="1" applyBorder="1"/>
    <xf numFmtId="2" fontId="3" fillId="0" borderId="1" xfId="0" applyNumberFormat="1" applyFont="1" applyBorder="1" applyProtection="1">
      <protection hidden="1"/>
    </xf>
    <xf numFmtId="3" fontId="3" fillId="4" borderId="1" xfId="0" applyNumberFormat="1" applyFont="1" applyFill="1" applyBorder="1"/>
    <xf numFmtId="4" fontId="3" fillId="4" borderId="1" xfId="0" applyNumberFormat="1" applyFont="1" applyFill="1" applyBorder="1" applyProtection="1">
      <protection hidden="1"/>
    </xf>
    <xf numFmtId="43" fontId="0" fillId="12" borderId="0" xfId="6" applyFont="1" applyFill="1"/>
    <xf numFmtId="186" fontId="3" fillId="14" borderId="1" xfId="5" applyNumberFormat="1" applyFill="1" applyBorder="1" applyAlignment="1" applyProtection="1">
      <alignment horizontal="right" vertical="center"/>
      <protection hidden="1"/>
    </xf>
    <xf numFmtId="169" fontId="3" fillId="0" borderId="1" xfId="0" applyNumberFormat="1" applyFont="1" applyBorder="1" applyAlignment="1" applyProtection="1">
      <alignment vertical="center"/>
      <protection hidden="1"/>
    </xf>
    <xf numFmtId="169" fontId="8" fillId="4" borderId="1" xfId="0" applyNumberFormat="1" applyFont="1" applyFill="1" applyBorder="1" applyAlignment="1" applyProtection="1">
      <alignment horizontal="right" vertical="center"/>
      <protection hidden="1"/>
    </xf>
    <xf numFmtId="171" fontId="3" fillId="4" borderId="1" xfId="0" applyNumberFormat="1" applyFont="1" applyFill="1" applyBorder="1" applyAlignment="1" applyProtection="1">
      <alignment horizontal="right" vertical="center"/>
      <protection hidden="1"/>
    </xf>
    <xf numFmtId="169" fontId="3" fillId="0" borderId="3" xfId="0" applyNumberFormat="1" applyFont="1" applyBorder="1" applyAlignment="1" applyProtection="1">
      <alignment vertical="center"/>
      <protection hidden="1"/>
    </xf>
    <xf numFmtId="169" fontId="3" fillId="0" borderId="1" xfId="0" applyNumberFormat="1" applyFont="1" applyBorder="1" applyAlignment="1" applyProtection="1">
      <alignment horizontal="right" vertical="center" wrapText="1"/>
      <protection hidden="1"/>
    </xf>
    <xf numFmtId="180" fontId="3" fillId="0" borderId="1" xfId="0" applyNumberFormat="1" applyFont="1" applyBorder="1" applyAlignment="1" applyProtection="1">
      <alignment vertical="center"/>
      <protection hidden="1"/>
    </xf>
    <xf numFmtId="0" fontId="3" fillId="0" borderId="3" xfId="0" applyFont="1" applyBorder="1" applyProtection="1">
      <protection hidden="1"/>
    </xf>
    <xf numFmtId="9" fontId="3" fillId="0" borderId="0" xfId="0" applyNumberFormat="1" applyFont="1"/>
    <xf numFmtId="9" fontId="3" fillId="0" borderId="0" xfId="2" applyFont="1"/>
    <xf numFmtId="0" fontId="8" fillId="0" borderId="3" xfId="0" applyFont="1" applyBorder="1" applyAlignment="1" applyProtection="1">
      <alignment vertical="center"/>
      <protection hidden="1"/>
    </xf>
    <xf numFmtId="0" fontId="8" fillId="2" borderId="2" xfId="0" applyFont="1" applyFill="1" applyBorder="1" applyAlignment="1" applyProtection="1">
      <alignment horizontal="center" vertical="center"/>
      <protection hidden="1"/>
    </xf>
    <xf numFmtId="186" fontId="3" fillId="0" borderId="2" xfId="4" applyNumberFormat="1" applyFont="1" applyFill="1" applyBorder="1" applyAlignment="1" applyProtection="1">
      <alignment horizontal="right" vertical="center" wrapText="1"/>
      <protection hidden="1"/>
    </xf>
    <xf numFmtId="0" fontId="3" fillId="0" borderId="4" xfId="0" applyFont="1" applyBorder="1" applyAlignment="1" applyProtection="1">
      <alignment vertical="center" wrapText="1"/>
      <protection hidden="1"/>
    </xf>
    <xf numFmtId="0" fontId="3" fillId="0" borderId="2" xfId="0" applyFont="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2" borderId="7" xfId="0" applyFont="1" applyFill="1" applyBorder="1" applyAlignment="1" applyProtection="1">
      <alignment horizontal="left" vertical="center"/>
      <protection hidden="1"/>
    </xf>
    <xf numFmtId="0" fontId="8" fillId="2" borderId="9" xfId="0" applyFont="1" applyFill="1" applyBorder="1" applyProtection="1">
      <protection hidden="1"/>
    </xf>
    <xf numFmtId="0" fontId="3" fillId="0" borderId="4" xfId="0" applyFont="1" applyBorder="1" applyProtection="1">
      <protection hidden="1"/>
    </xf>
    <xf numFmtId="0" fontId="19" fillId="0" borderId="0" xfId="0" applyFont="1"/>
    <xf numFmtId="0" fontId="35" fillId="2" borderId="2" xfId="0" applyFont="1" applyFill="1" applyBorder="1" applyAlignment="1">
      <alignment horizontal="center" vertical="center"/>
    </xf>
    <xf numFmtId="0" fontId="35" fillId="2" borderId="3" xfId="0" applyFont="1" applyFill="1" applyBorder="1" applyAlignment="1">
      <alignment vertical="center"/>
    </xf>
    <xf numFmtId="0" fontId="35" fillId="2" borderId="1" xfId="0" applyFont="1" applyFill="1" applyBorder="1" applyAlignment="1">
      <alignment vertical="center"/>
    </xf>
    <xf numFmtId="0" fontId="35" fillId="2" borderId="1" xfId="0" applyFont="1" applyFill="1" applyBorder="1" applyAlignment="1">
      <alignment horizontal="right" vertical="center"/>
    </xf>
    <xf numFmtId="0" fontId="35" fillId="2" borderId="1" xfId="0" applyFont="1" applyFill="1" applyBorder="1" applyAlignment="1">
      <alignment horizontal="right" vertical="center" wrapText="1"/>
    </xf>
    <xf numFmtId="0" fontId="35" fillId="2" borderId="1" xfId="0" applyFont="1" applyFill="1" applyBorder="1" applyAlignment="1">
      <alignment horizontal="left" vertical="center" wrapText="1"/>
    </xf>
    <xf numFmtId="0" fontId="10" fillId="4" borderId="1" xfId="0" applyFont="1" applyFill="1" applyBorder="1" applyAlignment="1">
      <alignment horizontal="center" vertical="center"/>
    </xf>
    <xf numFmtId="0" fontId="22" fillId="0" borderId="1" xfId="0" applyFont="1" applyBorder="1" applyAlignment="1">
      <alignment vertical="center"/>
    </xf>
    <xf numFmtId="14" fontId="22" fillId="4" borderId="1" xfId="0" applyNumberFormat="1" applyFont="1" applyFill="1" applyBorder="1" applyAlignment="1">
      <alignment vertical="center"/>
    </xf>
    <xf numFmtId="164" fontId="22" fillId="0" borderId="1" xfId="1" applyFont="1" applyBorder="1" applyAlignment="1">
      <alignment vertical="center"/>
    </xf>
    <xf numFmtId="1" fontId="22" fillId="0" borderId="1" xfId="0" applyNumberFormat="1" applyFont="1" applyBorder="1" applyAlignment="1">
      <alignment vertical="center"/>
    </xf>
    <xf numFmtId="3" fontId="22" fillId="0" borderId="1" xfId="0" applyNumberFormat="1" applyFont="1" applyBorder="1" applyAlignment="1">
      <alignment vertical="center"/>
    </xf>
    <xf numFmtId="4" fontId="22" fillId="0" borderId="1" xfId="1" applyNumberFormat="1" applyFont="1" applyBorder="1" applyAlignment="1">
      <alignment vertical="center"/>
    </xf>
    <xf numFmtId="167" fontId="22" fillId="0" borderId="1" xfId="0" applyNumberFormat="1" applyFont="1" applyBorder="1" applyAlignment="1">
      <alignment vertical="center"/>
    </xf>
    <xf numFmtId="0" fontId="22" fillId="0" borderId="1" xfId="0" applyFont="1" applyBorder="1" applyAlignment="1">
      <alignment horizontal="right" vertical="center"/>
    </xf>
    <xf numFmtId="169" fontId="22" fillId="0" borderId="1" xfId="0" applyNumberFormat="1" applyFont="1" applyBorder="1" applyAlignment="1">
      <alignment horizontal="right" vertical="center"/>
    </xf>
    <xf numFmtId="172" fontId="22" fillId="0" borderId="1" xfId="6" applyNumberFormat="1" applyFont="1" applyBorder="1" applyAlignment="1">
      <alignment horizontal="right" vertical="center"/>
    </xf>
    <xf numFmtId="0" fontId="22" fillId="4" borderId="1" xfId="0" applyFont="1" applyFill="1" applyBorder="1" applyAlignment="1">
      <alignment horizontal="right" vertical="center"/>
    </xf>
    <xf numFmtId="2" fontId="3" fillId="0" borderId="1" xfId="2" applyNumberFormat="1" applyFont="1" applyBorder="1" applyAlignment="1" applyProtection="1">
      <alignment horizontal="right" vertical="center" wrapText="1"/>
      <protection hidden="1"/>
    </xf>
    <xf numFmtId="170" fontId="3" fillId="0" borderId="2" xfId="4" applyFont="1" applyFill="1" applyBorder="1" applyAlignment="1" applyProtection="1">
      <alignment horizontal="right" vertical="center" wrapText="1"/>
      <protection hidden="1"/>
    </xf>
    <xf numFmtId="0" fontId="20" fillId="0" borderId="0" xfId="0" applyFont="1" applyAlignment="1" applyProtection="1">
      <alignment horizontal="left" vertical="center"/>
      <protection hidden="1"/>
    </xf>
    <xf numFmtId="0" fontId="27" fillId="2" borderId="0" xfId="0" applyFont="1" applyFill="1" applyAlignment="1" applyProtection="1">
      <alignment horizontal="left" vertical="center"/>
      <protection hidden="1"/>
    </xf>
    <xf numFmtId="0" fontId="8" fillId="2" borderId="0" xfId="0" applyFont="1" applyFill="1" applyAlignment="1" applyProtection="1">
      <alignment horizontal="left"/>
      <protection hidden="1"/>
    </xf>
    <xf numFmtId="0" fontId="3" fillId="4" borderId="0" xfId="0" applyFont="1" applyFill="1" applyAlignment="1" applyProtection="1">
      <alignment horizontal="left" vertical="center"/>
      <protection hidden="1"/>
    </xf>
    <xf numFmtId="171" fontId="3" fillId="6" borderId="1" xfId="4" applyNumberFormat="1" applyFont="1" applyFill="1" applyBorder="1" applyAlignment="1" applyProtection="1">
      <alignment horizontal="center" vertical="center" wrapText="1"/>
      <protection locked="0"/>
    </xf>
    <xf numFmtId="171" fontId="3" fillId="6" borderId="6" xfId="4" applyNumberFormat="1" applyFont="1" applyFill="1" applyBorder="1" applyAlignment="1" applyProtection="1">
      <alignment horizontal="center" vertical="center" wrapText="1"/>
      <protection locked="0"/>
    </xf>
    <xf numFmtId="171" fontId="3" fillId="6" borderId="16" xfId="4" applyNumberFormat="1" applyFont="1" applyFill="1" applyBorder="1" applyAlignment="1" applyProtection="1">
      <alignment horizontal="center" vertical="center" wrapText="1"/>
      <protection locked="0"/>
    </xf>
    <xf numFmtId="43" fontId="3" fillId="0" borderId="0" xfId="0" applyNumberFormat="1" applyFont="1"/>
    <xf numFmtId="4" fontId="0" fillId="0" borderId="0" xfId="0" applyNumberFormat="1"/>
    <xf numFmtId="171" fontId="0" fillId="12" borderId="0" xfId="0" applyNumberFormat="1" applyFill="1"/>
    <xf numFmtId="171" fontId="0" fillId="12" borderId="0" xfId="6" applyNumberFormat="1" applyFont="1" applyFill="1"/>
    <xf numFmtId="49" fontId="37" fillId="0" borderId="2" xfId="0" quotePrefix="1" applyNumberFormat="1" applyFont="1" applyBorder="1" applyAlignment="1" applyProtection="1">
      <alignment horizontal="center" vertical="center" wrapText="1"/>
      <protection hidden="1"/>
    </xf>
    <xf numFmtId="9" fontId="3" fillId="0" borderId="0" xfId="0" applyNumberFormat="1" applyFont="1" applyAlignment="1" applyProtection="1">
      <alignment horizontal="right"/>
      <protection hidden="1"/>
    </xf>
    <xf numFmtId="0" fontId="10" fillId="0" borderId="0" xfId="0" applyFont="1"/>
    <xf numFmtId="49" fontId="10" fillId="5" borderId="10" xfId="0" applyNumberFormat="1" applyFont="1" applyFill="1" applyBorder="1" applyAlignment="1" applyProtection="1">
      <alignment vertical="center"/>
      <protection locked="0"/>
    </xf>
    <xf numFmtId="0" fontId="8" fillId="0" borderId="9" xfId="0" applyFont="1" applyBorder="1" applyAlignment="1" applyProtection="1">
      <alignment horizontal="center" vertical="center"/>
      <protection hidden="1"/>
    </xf>
    <xf numFmtId="0" fontId="3" fillId="0" borderId="15" xfId="0" applyFont="1" applyBorder="1" applyProtection="1">
      <protection hidden="1"/>
    </xf>
    <xf numFmtId="0" fontId="3" fillId="0" borderId="0" xfId="0" quotePrefix="1" applyFont="1" applyAlignment="1" applyProtection="1">
      <alignment horizontal="center" vertical="center" wrapText="1"/>
      <protection hidden="1"/>
    </xf>
    <xf numFmtId="0" fontId="3" fillId="4" borderId="17" xfId="0" applyFont="1" applyFill="1" applyBorder="1" applyAlignment="1" applyProtection="1">
      <alignment horizontal="left" vertical="center"/>
      <protection hidden="1"/>
    </xf>
    <xf numFmtId="0" fontId="5" fillId="4" borderId="1" xfId="0" quotePrefix="1" applyFont="1" applyFill="1" applyBorder="1" applyAlignment="1" applyProtection="1">
      <alignment vertical="center" wrapText="1"/>
      <protection hidden="1"/>
    </xf>
    <xf numFmtId="0" fontId="5" fillId="4" borderId="12" xfId="0" applyFont="1" applyFill="1" applyBorder="1" applyAlignment="1" applyProtection="1">
      <alignment vertical="top" wrapText="1"/>
      <protection hidden="1"/>
    </xf>
    <xf numFmtId="0" fontId="5" fillId="4" borderId="13" xfId="0" applyFont="1" applyFill="1" applyBorder="1" applyAlignment="1" applyProtection="1">
      <alignment vertical="top" wrapText="1"/>
      <protection hidden="1"/>
    </xf>
    <xf numFmtId="0" fontId="10" fillId="4" borderId="11" xfId="0" applyFont="1" applyFill="1" applyBorder="1" applyAlignment="1" applyProtection="1">
      <alignment horizontal="left" vertical="center"/>
      <protection hidden="1"/>
    </xf>
    <xf numFmtId="169" fontId="3" fillId="6" borderId="1" xfId="2" applyNumberFormat="1" applyFont="1" applyFill="1" applyBorder="1" applyAlignment="1" applyProtection="1">
      <alignment horizontal="right" vertical="center" wrapText="1"/>
      <protection locked="0"/>
    </xf>
    <xf numFmtId="0" fontId="10" fillId="0" borderId="0" xfId="0" quotePrefix="1" applyFont="1"/>
    <xf numFmtId="9" fontId="8" fillId="0" borderId="0" xfId="0" applyNumberFormat="1" applyFont="1" applyAlignment="1" applyProtection="1">
      <alignment horizontal="center" vertical="center"/>
      <protection hidden="1"/>
    </xf>
    <xf numFmtId="171" fontId="3" fillId="0" borderId="0" xfId="0" applyNumberFormat="1" applyFont="1"/>
    <xf numFmtId="0" fontId="40" fillId="0" borderId="0" xfId="7" applyFont="1" applyAlignment="1">
      <alignment vertical="top" wrapText="1"/>
    </xf>
    <xf numFmtId="0" fontId="8" fillId="2" borderId="7" xfId="0" applyFont="1" applyFill="1" applyBorder="1" applyAlignment="1" applyProtection="1">
      <alignment horizontal="center"/>
      <protection hidden="1"/>
    </xf>
    <xf numFmtId="0" fontId="13" fillId="2" borderId="12" xfId="0" applyFont="1" applyFill="1" applyBorder="1" applyAlignment="1" applyProtection="1">
      <alignment horizontal="center"/>
      <protection hidden="1"/>
    </xf>
    <xf numFmtId="0" fontId="8" fillId="2" borderId="12" xfId="0" applyFont="1" applyFill="1" applyBorder="1" applyAlignment="1" applyProtection="1">
      <alignment horizontal="center"/>
      <protection hidden="1"/>
    </xf>
    <xf numFmtId="0" fontId="8" fillId="2" borderId="12" xfId="0" applyFont="1" applyFill="1" applyBorder="1" applyAlignment="1" applyProtection="1">
      <alignment horizontal="center" wrapText="1"/>
      <protection hidden="1"/>
    </xf>
    <xf numFmtId="0" fontId="8" fillId="2" borderId="13" xfId="0" applyFont="1" applyFill="1" applyBorder="1" applyAlignment="1" applyProtection="1">
      <alignment horizontal="center" wrapText="1"/>
      <protection hidden="1"/>
    </xf>
    <xf numFmtId="0" fontId="8" fillId="2" borderId="6" xfId="0" applyFont="1" applyFill="1" applyBorder="1" applyAlignment="1" applyProtection="1">
      <alignment horizontal="center"/>
      <protection hidden="1"/>
    </xf>
    <xf numFmtId="0" fontId="8" fillId="2" borderId="13" xfId="0" applyFont="1" applyFill="1" applyBorder="1" applyAlignment="1" applyProtection="1">
      <alignment horizontal="center"/>
      <protection hidden="1"/>
    </xf>
    <xf numFmtId="187" fontId="3" fillId="0" borderId="1" xfId="0" applyNumberFormat="1" applyFont="1" applyBorder="1" applyAlignment="1" applyProtection="1">
      <alignment horizontal="center" vertical="center"/>
      <protection hidden="1"/>
    </xf>
    <xf numFmtId="2" fontId="3" fillId="0" borderId="1" xfId="0" applyNumberFormat="1" applyFont="1" applyBorder="1" applyAlignment="1" applyProtection="1">
      <alignment horizontal="center" vertical="center"/>
      <protection hidden="1"/>
    </xf>
    <xf numFmtId="169" fontId="3" fillId="0" borderId="1" xfId="6" applyNumberFormat="1" applyFont="1" applyFill="1" applyBorder="1" applyAlignment="1" applyProtection="1">
      <alignment horizontal="center" vertical="center" wrapText="1"/>
      <protection hidden="1"/>
    </xf>
    <xf numFmtId="169" fontId="3" fillId="0" borderId="1" xfId="5" applyNumberFormat="1" applyBorder="1" applyAlignment="1" applyProtection="1">
      <alignment horizontal="center" vertical="center"/>
      <protection hidden="1"/>
    </xf>
    <xf numFmtId="0" fontId="8" fillId="2" borderId="9" xfId="0" applyFont="1" applyFill="1" applyBorder="1" applyAlignment="1" applyProtection="1">
      <alignment horizontal="center" wrapText="1"/>
      <protection hidden="1"/>
    </xf>
    <xf numFmtId="0" fontId="8" fillId="2" borderId="5" xfId="0" applyFont="1" applyFill="1" applyBorder="1" applyAlignment="1" applyProtection="1">
      <alignment horizontal="center" vertical="top" wrapText="1"/>
      <protection hidden="1"/>
    </xf>
    <xf numFmtId="171" fontId="3" fillId="13" borderId="1" xfId="4" applyNumberFormat="1" applyFont="1" applyFill="1" applyBorder="1" applyAlignment="1" applyProtection="1">
      <alignment horizontal="center" vertical="center" wrapText="1"/>
      <protection locked="0"/>
    </xf>
    <xf numFmtId="171" fontId="3" fillId="13" borderId="16" xfId="4" applyNumberFormat="1" applyFont="1" applyFill="1" applyBorder="1" applyAlignment="1" applyProtection="1">
      <alignment horizontal="center" vertical="center" wrapText="1"/>
      <protection locked="0"/>
    </xf>
    <xf numFmtId="171" fontId="3" fillId="13" borderId="15" xfId="4" applyNumberFormat="1" applyFont="1" applyFill="1" applyBorder="1" applyAlignment="1" applyProtection="1">
      <alignment horizontal="center" vertical="center" wrapText="1"/>
      <protection locked="0"/>
    </xf>
    <xf numFmtId="169" fontId="3" fillId="0" borderId="6" xfId="0" applyNumberFormat="1" applyFont="1" applyBorder="1" applyAlignment="1" applyProtection="1">
      <alignment horizontal="center" vertical="center"/>
      <protection hidden="1"/>
    </xf>
    <xf numFmtId="172" fontId="3" fillId="0" borderId="1" xfId="0" applyNumberFormat="1" applyFont="1" applyBorder="1" applyAlignment="1" applyProtection="1">
      <alignment horizontal="center" vertical="center"/>
      <protection hidden="1"/>
    </xf>
    <xf numFmtId="169" fontId="3" fillId="4" borderId="1" xfId="0" applyNumberFormat="1" applyFont="1" applyFill="1" applyBorder="1" applyAlignment="1" applyProtection="1">
      <alignment horizontal="center" vertical="center"/>
      <protection hidden="1"/>
    </xf>
    <xf numFmtId="172" fontId="3" fillId="0" borderId="16" xfId="0" applyNumberFormat="1" applyFont="1" applyBorder="1" applyAlignment="1" applyProtection="1">
      <alignment horizontal="center" vertical="center"/>
      <protection hidden="1"/>
    </xf>
    <xf numFmtId="169" fontId="3" fillId="4" borderId="16" xfId="0" applyNumberFormat="1" applyFont="1" applyFill="1" applyBorder="1" applyAlignment="1" applyProtection="1">
      <alignment horizontal="center" vertical="center"/>
      <protection hidden="1"/>
    </xf>
    <xf numFmtId="172" fontId="3" fillId="0" borderId="15" xfId="0" applyNumberFormat="1" applyFont="1" applyBorder="1" applyAlignment="1" applyProtection="1">
      <alignment horizontal="center" vertical="center"/>
      <protection hidden="1"/>
    </xf>
    <xf numFmtId="169" fontId="3" fillId="4" borderId="15" xfId="0" applyNumberFormat="1" applyFont="1" applyFill="1" applyBorder="1" applyAlignment="1" applyProtection="1">
      <alignment horizontal="center" vertical="center"/>
      <protection hidden="1"/>
    </xf>
    <xf numFmtId="172" fontId="3" fillId="0" borderId="6" xfId="0" applyNumberFormat="1" applyFont="1" applyBorder="1" applyAlignment="1" applyProtection="1">
      <alignment horizontal="center" vertical="center"/>
      <protection hidden="1"/>
    </xf>
    <xf numFmtId="169" fontId="3" fillId="4" borderId="6" xfId="0" applyNumberFormat="1" applyFont="1" applyFill="1" applyBorder="1" applyAlignment="1" applyProtection="1">
      <alignment horizontal="center" vertical="center"/>
      <protection hidden="1"/>
    </xf>
    <xf numFmtId="1" fontId="3" fillId="0" borderId="1" xfId="0" applyNumberFormat="1" applyFont="1" applyBorder="1" applyAlignment="1" applyProtection="1">
      <alignment horizontal="center" vertical="center"/>
      <protection hidden="1"/>
    </xf>
    <xf numFmtId="1" fontId="3" fillId="0" borderId="16" xfId="0" applyNumberFormat="1" applyFont="1" applyBorder="1" applyAlignment="1" applyProtection="1">
      <alignment horizontal="center" vertical="center"/>
      <protection hidden="1"/>
    </xf>
    <xf numFmtId="1" fontId="3" fillId="0" borderId="6" xfId="0" applyNumberFormat="1" applyFont="1" applyBorder="1" applyAlignment="1" applyProtection="1">
      <alignment horizontal="center" vertical="center"/>
      <protection hidden="1"/>
    </xf>
    <xf numFmtId="171" fontId="3" fillId="6" borderId="15" xfId="4" applyNumberFormat="1" applyFont="1" applyFill="1" applyBorder="1" applyAlignment="1" applyProtection="1">
      <alignment horizontal="center" vertical="center" wrapText="1"/>
      <protection locked="0"/>
    </xf>
    <xf numFmtId="169" fontId="10" fillId="0" borderId="1" xfId="0" applyNumberFormat="1" applyFont="1" applyBorder="1" applyAlignment="1" applyProtection="1">
      <alignment horizontal="center" vertical="center"/>
      <protection hidden="1"/>
    </xf>
    <xf numFmtId="0" fontId="3" fillId="0" borderId="0" xfId="0" applyFont="1" applyAlignment="1" applyProtection="1">
      <alignment horizontal="center"/>
      <protection hidden="1"/>
    </xf>
    <xf numFmtId="187" fontId="31" fillId="0" borderId="0" xfId="0" applyNumberFormat="1" applyFont="1" applyAlignment="1" applyProtection="1">
      <alignment vertical="center" wrapText="1"/>
      <protection hidden="1"/>
    </xf>
    <xf numFmtId="1" fontId="0" fillId="0" borderId="0" xfId="0" applyNumberFormat="1"/>
    <xf numFmtId="1" fontId="3" fillId="0" borderId="1" xfId="0" applyNumberFormat="1" applyFont="1" applyBorder="1" applyAlignment="1">
      <alignment vertical="center"/>
    </xf>
    <xf numFmtId="0" fontId="34" fillId="0" borderId="0" xfId="0" applyFont="1" applyAlignment="1">
      <alignment vertical="top"/>
    </xf>
    <xf numFmtId="0" fontId="3" fillId="2" borderId="7" xfId="0" applyFont="1" applyFill="1" applyBorder="1" applyProtection="1">
      <protection hidden="1"/>
    </xf>
    <xf numFmtId="0" fontId="8" fillId="2" borderId="7" xfId="0" applyFont="1" applyFill="1" applyBorder="1" applyAlignment="1" applyProtection="1">
      <alignment wrapText="1"/>
      <protection hidden="1"/>
    </xf>
    <xf numFmtId="0" fontId="8" fillId="2" borderId="0" xfId="0" applyFont="1" applyFill="1" applyAlignment="1" applyProtection="1">
      <alignment horizontal="center" vertical="top" wrapText="1"/>
      <protection hidden="1"/>
    </xf>
    <xf numFmtId="1" fontId="3" fillId="0" borderId="8" xfId="0" applyNumberFormat="1" applyFont="1" applyBorder="1" applyAlignment="1" applyProtection="1">
      <alignment horizontal="center" vertical="center"/>
      <protection hidden="1"/>
    </xf>
    <xf numFmtId="1" fontId="3" fillId="0" borderId="18" xfId="0" applyNumberFormat="1" applyFont="1" applyBorder="1" applyAlignment="1" applyProtection="1">
      <alignment horizontal="center" vertical="center"/>
      <protection hidden="1"/>
    </xf>
    <xf numFmtId="1" fontId="3" fillId="0" borderId="11" xfId="0" applyNumberFormat="1" applyFont="1" applyBorder="1" applyAlignment="1" applyProtection="1">
      <alignment horizontal="center" vertical="center"/>
      <protection hidden="1"/>
    </xf>
    <xf numFmtId="0" fontId="8" fillId="2" borderId="5" xfId="0" applyFont="1" applyFill="1" applyBorder="1" applyAlignment="1" applyProtection="1">
      <alignment horizontal="center" wrapText="1"/>
      <protection hidden="1"/>
    </xf>
    <xf numFmtId="0" fontId="10" fillId="4" borderId="17" xfId="0" applyFont="1" applyFill="1" applyBorder="1" applyAlignment="1" applyProtection="1">
      <alignment horizontal="left" vertical="center"/>
      <protection hidden="1"/>
    </xf>
    <xf numFmtId="3" fontId="0" fillId="12" borderId="0" xfId="6" applyNumberFormat="1" applyFont="1" applyFill="1"/>
    <xf numFmtId="49" fontId="0" fillId="12" borderId="0" xfId="0" applyNumberFormat="1" applyFill="1"/>
    <xf numFmtId="180" fontId="0" fillId="12" borderId="0" xfId="0" applyNumberFormat="1" applyFill="1"/>
    <xf numFmtId="172" fontId="0" fillId="12" borderId="0" xfId="6" applyNumberFormat="1" applyFont="1" applyFill="1" applyAlignment="1">
      <alignment horizontal="right"/>
    </xf>
    <xf numFmtId="49" fontId="3" fillId="0" borderId="0" xfId="0" applyNumberFormat="1" applyFont="1" applyProtection="1">
      <protection hidden="1"/>
    </xf>
    <xf numFmtId="1" fontId="3" fillId="0" borderId="3" xfId="1" applyNumberFormat="1" applyFont="1" applyFill="1" applyBorder="1" applyAlignment="1" applyProtection="1">
      <alignment horizontal="right" vertical="center" wrapText="1"/>
      <protection hidden="1"/>
    </xf>
    <xf numFmtId="49" fontId="10" fillId="6" borderId="1" xfId="1" applyNumberFormat="1" applyFont="1" applyFill="1" applyBorder="1" applyAlignment="1" applyProtection="1">
      <alignment horizontal="left" vertical="center" wrapText="1"/>
      <protection locked="0"/>
    </xf>
    <xf numFmtId="0" fontId="27" fillId="2" borderId="0" xfId="0" applyFont="1" applyFill="1" applyAlignment="1" applyProtection="1">
      <alignment horizontal="left" vertical="center"/>
      <protection hidden="1"/>
    </xf>
    <xf numFmtId="0" fontId="13" fillId="2" borderId="0" xfId="0" applyFont="1" applyFill="1" applyAlignment="1" applyProtection="1">
      <alignment horizontal="center"/>
      <protection hidden="1"/>
    </xf>
    <xf numFmtId="171" fontId="10" fillId="13" borderId="1" xfId="4" applyNumberFormat="1" applyFont="1" applyFill="1" applyBorder="1" applyAlignment="1" applyProtection="1">
      <alignment vertical="center" wrapText="1"/>
      <protection hidden="1"/>
    </xf>
    <xf numFmtId="0" fontId="3" fillId="13" borderId="1" xfId="0" applyFont="1" applyFill="1" applyBorder="1" applyAlignment="1" applyProtection="1">
      <alignment horizontal="left" vertical="center" wrapText="1"/>
      <protection hidden="1"/>
    </xf>
    <xf numFmtId="180" fontId="3" fillId="13" borderId="1" xfId="0" applyNumberFormat="1" applyFont="1" applyFill="1" applyBorder="1" applyAlignment="1" applyProtection="1">
      <alignment horizontal="right" vertical="center" wrapText="1"/>
      <protection hidden="1"/>
    </xf>
    <xf numFmtId="165" fontId="3" fillId="13" borderId="0" xfId="1" applyNumberFormat="1" applyFont="1" applyFill="1" applyBorder="1" applyAlignment="1" applyProtection="1">
      <alignment horizontal="right" vertical="center" wrapText="1"/>
      <protection hidden="1"/>
    </xf>
    <xf numFmtId="0" fontId="3" fillId="13" borderId="16" xfId="0" applyFont="1" applyFill="1" applyBorder="1" applyAlignment="1" applyProtection="1">
      <alignment horizontal="left" vertical="center" wrapText="1"/>
      <protection hidden="1"/>
    </xf>
    <xf numFmtId="180" fontId="3" fillId="13" borderId="16" xfId="0" applyNumberFormat="1" applyFont="1" applyFill="1" applyBorder="1" applyAlignment="1" applyProtection="1">
      <alignment horizontal="right" vertical="center" wrapText="1"/>
      <protection hidden="1"/>
    </xf>
    <xf numFmtId="0" fontId="3" fillId="13" borderId="6" xfId="0" applyFont="1" applyFill="1" applyBorder="1" applyAlignment="1" applyProtection="1">
      <alignment horizontal="left" vertical="center" wrapText="1"/>
      <protection hidden="1"/>
    </xf>
    <xf numFmtId="180" fontId="3" fillId="13" borderId="15" xfId="0" applyNumberFormat="1" applyFont="1" applyFill="1" applyBorder="1" applyAlignment="1" applyProtection="1">
      <alignment horizontal="right" vertical="center" wrapText="1"/>
      <protection hidden="1"/>
    </xf>
    <xf numFmtId="0" fontId="34" fillId="0" borderId="0" xfId="0" applyFont="1" applyAlignment="1">
      <alignment horizontal="left" vertical="top"/>
    </xf>
    <xf numFmtId="0" fontId="40" fillId="0" borderId="0" xfId="7" applyFont="1" applyAlignment="1" applyProtection="1">
      <alignment horizontal="left" vertical="top"/>
      <protection locked="0"/>
    </xf>
    <xf numFmtId="0" fontId="42" fillId="0" borderId="0" xfId="0" applyFont="1" applyAlignment="1" applyProtection="1">
      <alignment horizontal="left" vertical="top"/>
      <protection locked="0"/>
    </xf>
    <xf numFmtId="0" fontId="34" fillId="0" borderId="0" xfId="0" applyFont="1" applyAlignment="1">
      <alignment horizontal="left" vertical="top" wrapText="1"/>
    </xf>
    <xf numFmtId="17" fontId="34" fillId="0" borderId="0" xfId="0" quotePrefix="1" applyNumberFormat="1" applyFont="1" applyAlignment="1">
      <alignment horizontal="left" vertical="top"/>
    </xf>
    <xf numFmtId="0" fontId="43" fillId="0" borderId="0" xfId="0" applyFont="1" applyAlignment="1">
      <alignment horizontal="left" vertical="top"/>
    </xf>
    <xf numFmtId="0" fontId="27" fillId="2" borderId="0" xfId="0" applyFont="1" applyFill="1" applyAlignment="1" applyProtection="1">
      <alignment vertical="center"/>
      <protection hidden="1"/>
    </xf>
    <xf numFmtId="0" fontId="27" fillId="2" borderId="0" xfId="0" applyFont="1" applyFill="1" applyAlignment="1" applyProtection="1">
      <alignment horizontal="left" vertical="center"/>
      <protection hidden="1"/>
    </xf>
    <xf numFmtId="0" fontId="3" fillId="0" borderId="2" xfId="0" applyFont="1" applyBorder="1" applyAlignment="1" applyProtection="1">
      <alignment horizontal="left" vertical="center" wrapText="1"/>
      <protection hidden="1"/>
    </xf>
    <xf numFmtId="0" fontId="3" fillId="0" borderId="4" xfId="0" applyFont="1" applyBorder="1" applyAlignment="1" applyProtection="1">
      <alignment horizontal="left" vertical="center" wrapText="1"/>
      <protection hidden="1"/>
    </xf>
    <xf numFmtId="0" fontId="3" fillId="0" borderId="3" xfId="0" applyFont="1" applyBorder="1" applyAlignment="1" applyProtection="1">
      <alignment horizontal="left" vertical="center" wrapText="1"/>
      <protection hidden="1"/>
    </xf>
    <xf numFmtId="0" fontId="12" fillId="6" borderId="2" xfId="1" applyNumberFormat="1" applyFont="1" applyFill="1" applyBorder="1" applyAlignment="1" applyProtection="1">
      <alignment horizontal="right" vertical="center" wrapText="1"/>
      <protection locked="0"/>
    </xf>
    <xf numFmtId="0" fontId="12" fillId="6" borderId="4" xfId="1" applyNumberFormat="1" applyFont="1" applyFill="1" applyBorder="1" applyAlignment="1" applyProtection="1">
      <alignment horizontal="right" vertical="center" wrapText="1"/>
      <protection locked="0"/>
    </xf>
    <xf numFmtId="0" fontId="8" fillId="2" borderId="2" xfId="0" applyFont="1" applyFill="1" applyBorder="1" applyAlignment="1" applyProtection="1">
      <alignment horizontal="right" vertical="center"/>
      <protection hidden="1"/>
    </xf>
    <xf numFmtId="0" fontId="8" fillId="2" borderId="3" xfId="0" applyFont="1" applyFill="1" applyBorder="1" applyAlignment="1" applyProtection="1">
      <alignment horizontal="right" vertical="center"/>
      <protection hidden="1"/>
    </xf>
    <xf numFmtId="0" fontId="12" fillId="0" borderId="2" xfId="0" applyFont="1" applyBorder="1" applyAlignment="1" applyProtection="1">
      <alignment horizontal="right" vertical="center"/>
      <protection hidden="1"/>
    </xf>
    <xf numFmtId="0" fontId="12" fillId="0" borderId="3" xfId="0" applyFont="1" applyBorder="1" applyAlignment="1" applyProtection="1">
      <alignment horizontal="right" vertical="center"/>
      <protection hidden="1"/>
    </xf>
    <xf numFmtId="0" fontId="8" fillId="2" borderId="2"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3" fillId="16" borderId="8" xfId="0" applyFont="1" applyFill="1" applyBorder="1" applyAlignment="1" applyProtection="1">
      <alignment horizontal="left" vertical="top" wrapText="1"/>
      <protection hidden="1"/>
    </xf>
    <xf numFmtId="0" fontId="3" fillId="16" borderId="7" xfId="0" applyFont="1" applyFill="1" applyBorder="1" applyAlignment="1" applyProtection="1">
      <alignment horizontal="left" vertical="top" wrapText="1"/>
      <protection hidden="1"/>
    </xf>
    <xf numFmtId="0" fontId="3" fillId="16" borderId="9" xfId="0" applyFont="1" applyFill="1" applyBorder="1" applyAlignment="1" applyProtection="1">
      <alignment horizontal="left" vertical="top" wrapText="1"/>
      <protection hidden="1"/>
    </xf>
    <xf numFmtId="0" fontId="3" fillId="16" borderId="11" xfId="0" applyFont="1" applyFill="1" applyBorder="1" applyAlignment="1" applyProtection="1">
      <alignment horizontal="left" vertical="top" wrapText="1"/>
      <protection hidden="1"/>
    </xf>
    <xf numFmtId="0" fontId="3" fillId="16" borderId="12" xfId="0" applyFont="1" applyFill="1" applyBorder="1" applyAlignment="1" applyProtection="1">
      <alignment horizontal="left" vertical="top" wrapText="1"/>
      <protection hidden="1"/>
    </xf>
    <xf numFmtId="0" fontId="3" fillId="16" borderId="13" xfId="0" applyFont="1" applyFill="1" applyBorder="1" applyAlignment="1" applyProtection="1">
      <alignment horizontal="left" vertical="top" wrapText="1"/>
      <protection hidden="1"/>
    </xf>
    <xf numFmtId="0" fontId="8" fillId="2" borderId="7" xfId="0" applyFont="1" applyFill="1" applyBorder="1" applyAlignment="1" applyProtection="1">
      <alignment horizontal="left" vertical="top"/>
      <protection hidden="1"/>
    </xf>
    <xf numFmtId="0" fontId="3" fillId="0" borderId="0" xfId="0" applyFont="1" applyAlignment="1" applyProtection="1">
      <alignment horizontal="center" vertical="center" wrapText="1"/>
      <protection hidden="1"/>
    </xf>
    <xf numFmtId="0" fontId="3" fillId="0" borderId="10" xfId="0" quotePrefix="1" applyFont="1" applyBorder="1" applyAlignment="1" applyProtection="1">
      <alignment horizontal="center" vertical="center" wrapText="1"/>
      <protection hidden="1"/>
    </xf>
    <xf numFmtId="0" fontId="3" fillId="0" borderId="6" xfId="0" quotePrefix="1" applyFont="1" applyBorder="1" applyAlignment="1" applyProtection="1">
      <alignment horizontal="center" vertical="center" wrapText="1"/>
      <protection hidden="1"/>
    </xf>
    <xf numFmtId="0" fontId="13" fillId="2" borderId="7" xfId="0" applyFont="1" applyFill="1" applyBorder="1" applyAlignment="1" applyProtection="1">
      <alignment horizontal="center" wrapText="1"/>
      <protection hidden="1"/>
    </xf>
    <xf numFmtId="0" fontId="13" fillId="2" borderId="0" xfId="0" applyFont="1" applyFill="1" applyAlignment="1" applyProtection="1">
      <alignment horizontal="center" wrapText="1"/>
      <protection hidden="1"/>
    </xf>
    <xf numFmtId="0" fontId="13" fillId="2" borderId="7" xfId="0" applyFont="1" applyFill="1" applyBorder="1" applyAlignment="1" applyProtection="1">
      <alignment horizontal="center"/>
      <protection hidden="1"/>
    </xf>
    <xf numFmtId="0" fontId="13" fillId="2" borderId="0" xfId="0" applyFont="1" applyFill="1" applyAlignment="1" applyProtection="1">
      <alignment horizontal="center"/>
      <protection hidden="1"/>
    </xf>
    <xf numFmtId="0" fontId="3" fillId="4" borderId="8" xfId="0" applyFont="1" applyFill="1" applyBorder="1" applyAlignment="1" applyProtection="1">
      <alignment horizontal="left" vertical="center"/>
      <protection hidden="1"/>
    </xf>
    <xf numFmtId="0" fontId="3" fillId="4" borderId="7" xfId="0" applyFont="1" applyFill="1" applyBorder="1" applyAlignment="1" applyProtection="1">
      <alignment horizontal="left" vertical="center"/>
      <protection hidden="1"/>
    </xf>
    <xf numFmtId="0" fontId="3" fillId="4" borderId="9" xfId="0" applyFont="1" applyFill="1" applyBorder="1" applyAlignment="1" applyProtection="1">
      <alignment horizontal="left" vertical="center"/>
      <protection hidden="1"/>
    </xf>
    <xf numFmtId="0" fontId="13" fillId="2" borderId="12" xfId="0" applyFont="1" applyFill="1" applyBorder="1" applyAlignment="1" applyProtection="1">
      <alignment horizontal="center"/>
      <protection hidden="1"/>
    </xf>
    <xf numFmtId="0" fontId="3" fillId="6" borderId="1" xfId="0" applyFont="1" applyFill="1" applyBorder="1" applyAlignment="1" applyProtection="1">
      <alignment vertical="center" wrapText="1"/>
      <protection locked="0"/>
    </xf>
    <xf numFmtId="0" fontId="10" fillId="4" borderId="2" xfId="0" applyFont="1" applyFill="1" applyBorder="1" applyAlignment="1" applyProtection="1">
      <alignment horizontal="left" vertical="center"/>
      <protection hidden="1"/>
    </xf>
    <xf numFmtId="0" fontId="10" fillId="4" borderId="3" xfId="0" applyFont="1" applyFill="1" applyBorder="1" applyAlignment="1" applyProtection="1">
      <alignment horizontal="left" vertical="center"/>
      <protection hidden="1"/>
    </xf>
    <xf numFmtId="0" fontId="3" fillId="6" borderId="2" xfId="0" applyFont="1" applyFill="1" applyBorder="1" applyAlignment="1" applyProtection="1">
      <alignment vertical="center" wrapText="1"/>
      <protection locked="0"/>
    </xf>
    <xf numFmtId="0" fontId="3" fillId="6" borderId="3" xfId="0" applyFont="1" applyFill="1" applyBorder="1" applyAlignment="1" applyProtection="1">
      <alignment vertical="center" wrapText="1"/>
      <protection locked="0"/>
    </xf>
    <xf numFmtId="1" fontId="12" fillId="0" borderId="9" xfId="0" applyNumberFormat="1" applyFont="1" applyBorder="1" applyAlignment="1" applyProtection="1">
      <alignment horizontal="left" vertical="top" wrapText="1"/>
      <protection hidden="1"/>
    </xf>
    <xf numFmtId="1" fontId="10" fillId="0" borderId="5" xfId="0" applyNumberFormat="1" applyFont="1" applyBorder="1" applyAlignment="1" applyProtection="1">
      <alignment horizontal="left" vertical="top" wrapText="1"/>
      <protection hidden="1"/>
    </xf>
    <xf numFmtId="1" fontId="10" fillId="0" borderId="13" xfId="0" applyNumberFormat="1" applyFont="1" applyBorder="1" applyAlignment="1" applyProtection="1">
      <alignment horizontal="left" vertical="top" wrapText="1"/>
      <protection hidden="1"/>
    </xf>
    <xf numFmtId="0" fontId="10" fillId="5" borderId="1" xfId="0" applyFont="1" applyFill="1" applyBorder="1" applyAlignment="1" applyProtection="1">
      <alignment horizontal="left" vertical="center"/>
      <protection locked="0"/>
    </xf>
    <xf numFmtId="49" fontId="10" fillId="5" borderId="2" xfId="0" applyNumberFormat="1" applyFont="1" applyFill="1" applyBorder="1" applyAlignment="1" applyProtection="1">
      <alignment horizontal="left" vertical="center"/>
      <protection locked="0"/>
    </xf>
    <xf numFmtId="0" fontId="10" fillId="5" borderId="3" xfId="0" applyFont="1" applyFill="1" applyBorder="1" applyAlignment="1" applyProtection="1">
      <alignment horizontal="left" vertical="center"/>
      <protection locked="0"/>
    </xf>
    <xf numFmtId="0" fontId="10" fillId="5" borderId="2" xfId="0" applyFont="1" applyFill="1" applyBorder="1" applyAlignment="1" applyProtection="1">
      <alignment horizontal="left" vertical="center"/>
      <protection locked="0"/>
    </xf>
    <xf numFmtId="0" fontId="10" fillId="5" borderId="4" xfId="0" applyFont="1" applyFill="1" applyBorder="1" applyAlignment="1" applyProtection="1">
      <alignment horizontal="left" vertical="center"/>
      <protection locked="0"/>
    </xf>
    <xf numFmtId="14" fontId="10" fillId="5" borderId="2" xfId="0" applyNumberFormat="1" applyFont="1" applyFill="1" applyBorder="1" applyAlignment="1" applyProtection="1">
      <alignment horizontal="left" vertical="center"/>
      <protection locked="0"/>
    </xf>
    <xf numFmtId="14" fontId="10" fillId="5" borderId="3" xfId="0" applyNumberFormat="1" applyFont="1" applyFill="1" applyBorder="1" applyAlignment="1" applyProtection="1">
      <alignment horizontal="left" vertical="center"/>
      <protection locked="0"/>
    </xf>
    <xf numFmtId="14" fontId="10" fillId="5" borderId="4" xfId="0" applyNumberFormat="1" applyFont="1" applyFill="1" applyBorder="1" applyAlignment="1" applyProtection="1">
      <alignment horizontal="left" vertical="center"/>
      <protection locked="0"/>
    </xf>
    <xf numFmtId="0" fontId="10" fillId="9" borderId="0" xfId="5" applyFont="1" applyFill="1" applyAlignment="1">
      <alignment horizontal="center" wrapText="1"/>
    </xf>
    <xf numFmtId="0" fontId="3" fillId="9" borderId="1" xfId="5" applyFill="1" applyBorder="1" applyAlignment="1">
      <alignment horizontal="center" wrapText="1"/>
    </xf>
  </cellXfs>
  <cellStyles count="8">
    <cellStyle name="Hyperlink" xfId="7" builtinId="8"/>
    <cellStyle name="Komma" xfId="6" builtinId="3"/>
    <cellStyle name="Komma 2" xfId="4" xr:uid="{00000000-0005-0000-0000-000001000000}"/>
    <cellStyle name="Procent" xfId="2" builtinId="5"/>
    <cellStyle name="Standaard" xfId="0" builtinId="0"/>
    <cellStyle name="Standaard 3" xfId="3" xr:uid="{00000000-0005-0000-0000-000004000000}"/>
    <cellStyle name="Standaard 4" xfId="5" xr:uid="{00000000-0005-0000-0000-000005000000}"/>
    <cellStyle name="Valuta" xfId="1" builtinId="4"/>
  </cellStyles>
  <dxfs count="16">
    <dxf>
      <fill>
        <patternFill>
          <bgColor rgb="FF00B050"/>
        </patternFill>
      </fill>
    </dxf>
    <dxf>
      <font>
        <b/>
        <i val="0"/>
        <color rgb="FFFF0000"/>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FFFF99"/>
      <color rgb="FF8FCAE7"/>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40094488188976"/>
          <c:y val="3.8369534831932714E-2"/>
          <c:w val="0.85131901900198603"/>
          <c:h val="0.88672364955682947"/>
        </c:manualLayout>
      </c:layout>
      <c:scatterChart>
        <c:scatterStyle val="lineMarker"/>
        <c:varyColors val="0"/>
        <c:ser>
          <c:idx val="14"/>
          <c:order val="0"/>
          <c:tx>
            <c:v>Qmax</c:v>
          </c:tx>
          <c:spPr>
            <a:ln w="38100">
              <a:solidFill>
                <a:schemeClr val="tx2"/>
              </a:solidFill>
            </a:ln>
          </c:spPr>
          <c:marker>
            <c:symbol val="none"/>
          </c:marker>
          <c:xVal>
            <c:numRef>
              <c:f>'BPK-Grafiek'!$N$40:$O$40</c:f>
              <c:numCache>
                <c:formatCode>#,##0</c:formatCode>
                <c:ptCount val="2"/>
                <c:pt idx="0">
                  <c:v>100</c:v>
                </c:pt>
                <c:pt idx="1">
                  <c:v>100</c:v>
                </c:pt>
              </c:numCache>
            </c:numRef>
          </c:xVal>
          <c:yVal>
            <c:numRef>
              <c:f>'BPK-Grafiek'!$N$41:$O$41</c:f>
              <c:numCache>
                <c:formatCode>_("$"* #.##000_);_("$"* \(#.##000\);_("$"* "-"??_);_(@_)</c:formatCode>
                <c:ptCount val="2"/>
                <c:pt idx="0" formatCode="&quot;$&quot;\ #.##000">
                  <c:v>0</c:v>
                </c:pt>
                <c:pt idx="1">
                  <c:v>520000</c:v>
                </c:pt>
              </c:numCache>
            </c:numRef>
          </c:yVal>
          <c:smooth val="0"/>
          <c:extLst>
            <c:ext xmlns:c16="http://schemas.microsoft.com/office/drawing/2014/chart" uri="{C3380CC4-5D6E-409C-BE32-E72D297353CC}">
              <c16:uniqueId val="{00000002-E318-47D7-96DC-99EF817BC194}"/>
            </c:ext>
          </c:extLst>
        </c:ser>
        <c:ser>
          <c:idx val="20"/>
          <c:order val="1"/>
          <c:tx>
            <c:v>Voorbeeld Pvbi | Qvbi</c:v>
          </c:tx>
          <c:marker>
            <c:symbol val="circle"/>
            <c:size val="12"/>
            <c:spPr>
              <a:solidFill>
                <a:schemeClr val="accent2"/>
              </a:solidFill>
              <a:ln>
                <a:noFill/>
              </a:ln>
            </c:spPr>
          </c:marker>
          <c:dLbls>
            <c:dLbl>
              <c:idx val="0"/>
              <c:layout>
                <c:manualLayout>
                  <c:x val="-0.18199992125984252"/>
                  <c:y val="-3.8605898123324434E-2"/>
                </c:manualLayout>
              </c:layout>
              <c:showLegendKey val="0"/>
              <c:showVal val="0"/>
              <c:showCatName val="0"/>
              <c:showSerName val="1"/>
              <c:showPercent val="0"/>
              <c:showBubbleSize val="0"/>
              <c:extLst xmlns:c15="http://schemas.microsoft.com/office/drawing/2012/chart">
                <c:ext xmlns:c15="http://schemas.microsoft.com/office/drawing/2012/chart" uri="{CE6537A1-D6FC-4f65-9D91-7224C49458BB}">
                  <c15:layout>
                    <c:manualLayout>
                      <c:w val="0.13107007874015747"/>
                      <c:h val="5.8788203753351205E-2"/>
                    </c:manualLayout>
                  </c15:layout>
                </c:ext>
                <c:ext xmlns:c16="http://schemas.microsoft.com/office/drawing/2014/chart" uri="{C3380CC4-5D6E-409C-BE32-E72D297353CC}">
                  <c16:uniqueId val="{00000003-E318-47D7-96DC-99EF817BC194}"/>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xmlns:c15="http://schemas.microsoft.com/office/drawing/2012/chart">
              <c:ext xmlns:c15="http://schemas.microsoft.com/office/drawing/2012/chart" uri="{CE6537A1-D6FC-4f65-9D91-7224C49458BB}">
                <c15:showLeaderLines val="1"/>
              </c:ext>
            </c:extLst>
          </c:dLbls>
          <c:xVal>
            <c:numRef>
              <c:f>'BPK-Grafiek'!$N$15</c:f>
              <c:numCache>
                <c:formatCode>#,##0</c:formatCode>
                <c:ptCount val="1"/>
                <c:pt idx="0">
                  <c:v>50</c:v>
                </c:pt>
              </c:numCache>
            </c:numRef>
          </c:xVal>
          <c:yVal>
            <c:numRef>
              <c:f>'BPK-Grafiek'!$O$42</c:f>
              <c:numCache>
                <c:formatCode>_("$"* #.##000_);_("$"* \(#.##000\);_("$"* "-"??_);_(@_)</c:formatCode>
                <c:ptCount val="1"/>
                <c:pt idx="0">
                  <c:v>400000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4-E318-47D7-96DC-99EF817BC194}"/>
            </c:ext>
          </c:extLst>
        </c:ser>
        <c:ser>
          <c:idx val="39"/>
          <c:order val="2"/>
          <c:tx>
            <c:v>Prijsplafond</c:v>
          </c:tx>
          <c:spPr>
            <a:ln w="38100">
              <a:solidFill>
                <a:srgbClr val="FF0000"/>
              </a:solidFill>
              <a:prstDash val="sysDash"/>
            </a:ln>
          </c:spPr>
          <c:marker>
            <c:symbol val="none"/>
          </c:marker>
          <c:xVal>
            <c:numRef>
              <c:f>'BPK-Grafiek'!$N$43:$O$43</c:f>
              <c:numCache>
                <c:formatCode>#,##0</c:formatCode>
                <c:ptCount val="2"/>
                <c:pt idx="0" formatCode="General">
                  <c:v>0</c:v>
                </c:pt>
                <c:pt idx="1">
                  <c:v>100</c:v>
                </c:pt>
              </c:numCache>
            </c:numRef>
          </c:xVal>
          <c:yVal>
            <c:numRef>
              <c:f>'BPK-Grafiek'!$N$44:$O$44</c:f>
              <c:numCache>
                <c:formatCode>_("$"* #.##000_);_("$"* \(#.##000\);_("$"* "-"??_);_(@_)</c:formatCode>
                <c:ptCount val="2"/>
                <c:pt idx="0">
                  <c:v>-100000</c:v>
                </c:pt>
                <c:pt idx="1">
                  <c:v>-100000</c:v>
                </c:pt>
              </c:numCache>
            </c:numRef>
          </c:yVal>
          <c:smooth val="0"/>
          <c:extLst>
            <c:ext xmlns:c16="http://schemas.microsoft.com/office/drawing/2014/chart" uri="{C3380CC4-5D6E-409C-BE32-E72D297353CC}">
              <c16:uniqueId val="{00000005-E318-47D7-96DC-99EF817BC194}"/>
            </c:ext>
          </c:extLst>
        </c:ser>
        <c:ser>
          <c:idx val="7"/>
          <c:order val="3"/>
          <c:tx>
            <c:strRef>
              <c:f>'HULP-velden'!$AJ$16</c:f>
              <c:strCache>
                <c:ptCount val="1"/>
                <c:pt idx="0">
                  <c:v>BPK-Lijn -3</c:v>
                </c:pt>
              </c:strCache>
            </c:strRef>
          </c:tx>
          <c:spPr>
            <a:ln w="38100">
              <a:solidFill>
                <a:schemeClr val="accent2">
                  <a:lumMod val="60000"/>
                  <a:lumOff val="40000"/>
                </a:schemeClr>
              </a:solidFill>
            </a:ln>
          </c:spPr>
          <c:marker>
            <c:symbol val="none"/>
          </c:marker>
          <c:xVal>
            <c:numRef>
              <c:f>'HULP-velden'!$AJ$22:$AJ$223</c:f>
              <c:numCache>
                <c:formatCode>_(* #,##0.00_);_(* \(#,##0.00\);_(* "-"??_);_(@_)</c:formatCode>
                <c:ptCount val="202"/>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5">
                  <c:v>-2</c:v>
                </c:pt>
                <c:pt idx="146">
                  <c:v>-2.5</c:v>
                </c:pt>
                <c:pt idx="147">
                  <c:v>-3</c:v>
                </c:pt>
                <c:pt idx="148">
                  <c:v>-3.5000000000000004</c:v>
                </c:pt>
                <c:pt idx="149">
                  <c:v>-4</c:v>
                </c:pt>
                <c:pt idx="150">
                  <c:v>-4.5</c:v>
                </c:pt>
                <c:pt idx="151">
                  <c:v>-5</c:v>
                </c:pt>
                <c:pt idx="152">
                  <c:v>-5.5</c:v>
                </c:pt>
                <c:pt idx="153">
                  <c:v>-6</c:v>
                </c:pt>
                <c:pt idx="154">
                  <c:v>-6.5</c:v>
                </c:pt>
                <c:pt idx="155">
                  <c:v>-7.0000000000000009</c:v>
                </c:pt>
                <c:pt idx="156">
                  <c:v>-7.5</c:v>
                </c:pt>
                <c:pt idx="157">
                  <c:v>-8</c:v>
                </c:pt>
                <c:pt idx="158">
                  <c:v>-8.5</c:v>
                </c:pt>
                <c:pt idx="159">
                  <c:v>-9</c:v>
                </c:pt>
                <c:pt idx="160">
                  <c:v>-9.5</c:v>
                </c:pt>
                <c:pt idx="161">
                  <c:v>-10</c:v>
                </c:pt>
                <c:pt idx="162">
                  <c:v>-10.5</c:v>
                </c:pt>
                <c:pt idx="163">
                  <c:v>-11</c:v>
                </c:pt>
                <c:pt idx="164">
                  <c:v>-11.5</c:v>
                </c:pt>
                <c:pt idx="165">
                  <c:v>-12</c:v>
                </c:pt>
                <c:pt idx="166">
                  <c:v>-12.5</c:v>
                </c:pt>
                <c:pt idx="167">
                  <c:v>-13</c:v>
                </c:pt>
                <c:pt idx="168">
                  <c:v>-13.5</c:v>
                </c:pt>
                <c:pt idx="169">
                  <c:v>-14.000000000000002</c:v>
                </c:pt>
                <c:pt idx="170">
                  <c:v>-14.499999999999998</c:v>
                </c:pt>
                <c:pt idx="171">
                  <c:v>-15</c:v>
                </c:pt>
                <c:pt idx="172">
                  <c:v>-15.5</c:v>
                </c:pt>
                <c:pt idx="173">
                  <c:v>-16</c:v>
                </c:pt>
                <c:pt idx="174">
                  <c:v>-16.5</c:v>
                </c:pt>
                <c:pt idx="175">
                  <c:v>-17</c:v>
                </c:pt>
                <c:pt idx="176">
                  <c:v>-17.5</c:v>
                </c:pt>
                <c:pt idx="177">
                  <c:v>-18</c:v>
                </c:pt>
                <c:pt idx="178">
                  <c:v>-18.5</c:v>
                </c:pt>
                <c:pt idx="179">
                  <c:v>-19</c:v>
                </c:pt>
                <c:pt idx="180">
                  <c:v>-19.5</c:v>
                </c:pt>
                <c:pt idx="181">
                  <c:v>-20</c:v>
                </c:pt>
                <c:pt idx="182">
                  <c:v>-20.5</c:v>
                </c:pt>
                <c:pt idx="183">
                  <c:v>-21</c:v>
                </c:pt>
                <c:pt idx="184">
                  <c:v>-21.5</c:v>
                </c:pt>
                <c:pt idx="185">
                  <c:v>-22</c:v>
                </c:pt>
                <c:pt idx="186">
                  <c:v>-22.5</c:v>
                </c:pt>
                <c:pt idx="187">
                  <c:v>-23</c:v>
                </c:pt>
                <c:pt idx="188">
                  <c:v>-23.5</c:v>
                </c:pt>
                <c:pt idx="189">
                  <c:v>-24</c:v>
                </c:pt>
                <c:pt idx="190">
                  <c:v>-24.5</c:v>
                </c:pt>
                <c:pt idx="191">
                  <c:v>-25</c:v>
                </c:pt>
                <c:pt idx="192">
                  <c:v>-25.5</c:v>
                </c:pt>
                <c:pt idx="193">
                  <c:v>-26</c:v>
                </c:pt>
                <c:pt idx="194">
                  <c:v>-26.5</c:v>
                </c:pt>
                <c:pt idx="195">
                  <c:v>-27</c:v>
                </c:pt>
                <c:pt idx="196">
                  <c:v>-27.500000000000004</c:v>
                </c:pt>
                <c:pt idx="197">
                  <c:v>-28.000000000000004</c:v>
                </c:pt>
                <c:pt idx="198">
                  <c:v>-28.499999999999996</c:v>
                </c:pt>
                <c:pt idx="199">
                  <c:v>-28.999999999999996</c:v>
                </c:pt>
                <c:pt idx="200">
                  <c:v>-29.5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0-E318-47D7-96DC-99EF817BC194}"/>
            </c:ext>
          </c:extLst>
        </c:ser>
        <c:ser>
          <c:idx val="8"/>
          <c:order val="4"/>
          <c:tx>
            <c:strRef>
              <c:f>'HULP-velden'!$AK$16</c:f>
              <c:strCache>
                <c:ptCount val="1"/>
                <c:pt idx="0">
                  <c:v>BPK-Lijn -2</c:v>
                </c:pt>
              </c:strCache>
            </c:strRef>
          </c:tx>
          <c:spPr>
            <a:ln w="38100">
              <a:solidFill>
                <a:schemeClr val="accent2">
                  <a:lumMod val="60000"/>
                  <a:lumOff val="40000"/>
                </a:schemeClr>
              </a:solidFill>
            </a:ln>
          </c:spPr>
          <c:marker>
            <c:symbol val="none"/>
          </c:marker>
          <c:xVal>
            <c:numRef>
              <c:f>'HULP-velden'!$AK$22:$AK$223</c:f>
              <c:numCache>
                <c:formatCode>_(* #,##0.00_);_(* \(#,##0.00\);_(* "-"??_);_(@_)</c:formatCode>
                <c:ptCount val="202"/>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5">
                  <c:v>8</c:v>
                </c:pt>
                <c:pt idx="146">
                  <c:v>7.5</c:v>
                </c:pt>
                <c:pt idx="147">
                  <c:v>7.0000000000000009</c:v>
                </c:pt>
                <c:pt idx="148">
                  <c:v>6.5</c:v>
                </c:pt>
                <c:pt idx="149">
                  <c:v>6</c:v>
                </c:pt>
                <c:pt idx="150">
                  <c:v>5.5</c:v>
                </c:pt>
                <c:pt idx="151">
                  <c:v>5</c:v>
                </c:pt>
                <c:pt idx="152">
                  <c:v>4.5</c:v>
                </c:pt>
                <c:pt idx="153">
                  <c:v>4</c:v>
                </c:pt>
                <c:pt idx="154">
                  <c:v>3.5000000000000004</c:v>
                </c:pt>
                <c:pt idx="155">
                  <c:v>3</c:v>
                </c:pt>
                <c:pt idx="156">
                  <c:v>2.5</c:v>
                </c:pt>
                <c:pt idx="157">
                  <c:v>2</c:v>
                </c:pt>
                <c:pt idx="158">
                  <c:v>1.5</c:v>
                </c:pt>
                <c:pt idx="159">
                  <c:v>1</c:v>
                </c:pt>
                <c:pt idx="160">
                  <c:v>0.5</c:v>
                </c:pt>
                <c:pt idx="161">
                  <c:v>0</c:v>
                </c:pt>
                <c:pt idx="162">
                  <c:v>-0.5</c:v>
                </c:pt>
                <c:pt idx="163">
                  <c:v>-1</c:v>
                </c:pt>
                <c:pt idx="164">
                  <c:v>-1.5</c:v>
                </c:pt>
                <c:pt idx="165">
                  <c:v>-2</c:v>
                </c:pt>
                <c:pt idx="166">
                  <c:v>-2.5</c:v>
                </c:pt>
                <c:pt idx="167">
                  <c:v>-3</c:v>
                </c:pt>
                <c:pt idx="168">
                  <c:v>-3.5000000000000004</c:v>
                </c:pt>
                <c:pt idx="169">
                  <c:v>-4</c:v>
                </c:pt>
                <c:pt idx="170">
                  <c:v>-4.5</c:v>
                </c:pt>
                <c:pt idx="171">
                  <c:v>-5</c:v>
                </c:pt>
                <c:pt idx="172">
                  <c:v>-5.5</c:v>
                </c:pt>
                <c:pt idx="173">
                  <c:v>-6</c:v>
                </c:pt>
                <c:pt idx="174">
                  <c:v>-6.5</c:v>
                </c:pt>
                <c:pt idx="175">
                  <c:v>-7.0000000000000009</c:v>
                </c:pt>
                <c:pt idx="176">
                  <c:v>-7.5</c:v>
                </c:pt>
                <c:pt idx="177">
                  <c:v>-8</c:v>
                </c:pt>
                <c:pt idx="178">
                  <c:v>-8.5</c:v>
                </c:pt>
                <c:pt idx="179">
                  <c:v>-9</c:v>
                </c:pt>
                <c:pt idx="180">
                  <c:v>-9.5</c:v>
                </c:pt>
                <c:pt idx="181">
                  <c:v>-10</c:v>
                </c:pt>
                <c:pt idx="182">
                  <c:v>-10.5</c:v>
                </c:pt>
                <c:pt idx="183">
                  <c:v>-11</c:v>
                </c:pt>
                <c:pt idx="184">
                  <c:v>-11.5</c:v>
                </c:pt>
                <c:pt idx="185">
                  <c:v>-12</c:v>
                </c:pt>
                <c:pt idx="186">
                  <c:v>-12.5</c:v>
                </c:pt>
                <c:pt idx="187">
                  <c:v>-13</c:v>
                </c:pt>
                <c:pt idx="188">
                  <c:v>-13.5</c:v>
                </c:pt>
                <c:pt idx="189">
                  <c:v>-14.000000000000002</c:v>
                </c:pt>
                <c:pt idx="190">
                  <c:v>-14.499999999999998</c:v>
                </c:pt>
                <c:pt idx="191">
                  <c:v>-15</c:v>
                </c:pt>
                <c:pt idx="192">
                  <c:v>-15.5</c:v>
                </c:pt>
                <c:pt idx="193">
                  <c:v>-16</c:v>
                </c:pt>
                <c:pt idx="194">
                  <c:v>-16.5</c:v>
                </c:pt>
                <c:pt idx="195">
                  <c:v>-17</c:v>
                </c:pt>
                <c:pt idx="196">
                  <c:v>-17.5</c:v>
                </c:pt>
                <c:pt idx="197">
                  <c:v>-18</c:v>
                </c:pt>
                <c:pt idx="198">
                  <c:v>-18.5</c:v>
                </c:pt>
                <c:pt idx="199">
                  <c:v>-19</c:v>
                </c:pt>
                <c:pt idx="200">
                  <c:v>-19.5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1-E318-47D7-96DC-99EF817BC194}"/>
            </c:ext>
          </c:extLst>
        </c:ser>
        <c:ser>
          <c:idx val="0"/>
          <c:order val="5"/>
          <c:tx>
            <c:strRef>
              <c:f>'HULP-velden'!$AL$16</c:f>
              <c:strCache>
                <c:ptCount val="1"/>
                <c:pt idx="0">
                  <c:v>BPK-Lijn -1</c:v>
                </c:pt>
              </c:strCache>
            </c:strRef>
          </c:tx>
          <c:spPr>
            <a:ln w="38100">
              <a:solidFill>
                <a:schemeClr val="accent2">
                  <a:lumMod val="60000"/>
                  <a:lumOff val="40000"/>
                </a:schemeClr>
              </a:solidFill>
            </a:ln>
          </c:spPr>
          <c:marker>
            <c:symbol val="none"/>
          </c:marker>
          <c:xVal>
            <c:numRef>
              <c:f>'HULP-velden'!$AL$22:$AL$223</c:f>
              <c:numCache>
                <c:formatCode>_(* #,##0.00_);_(* \(#,##0.00\);_(* "-"??_);_(@_)</c:formatCode>
                <c:ptCount val="202"/>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5">
                  <c:v>18</c:v>
                </c:pt>
                <c:pt idx="146">
                  <c:v>17.5</c:v>
                </c:pt>
                <c:pt idx="147">
                  <c:v>17</c:v>
                </c:pt>
                <c:pt idx="148">
                  <c:v>16.5</c:v>
                </c:pt>
                <c:pt idx="149">
                  <c:v>16</c:v>
                </c:pt>
                <c:pt idx="150">
                  <c:v>15.5</c:v>
                </c:pt>
                <c:pt idx="151">
                  <c:v>15</c:v>
                </c:pt>
                <c:pt idx="152">
                  <c:v>14.499999999999998</c:v>
                </c:pt>
                <c:pt idx="153">
                  <c:v>14.000000000000002</c:v>
                </c:pt>
                <c:pt idx="154">
                  <c:v>13.5</c:v>
                </c:pt>
                <c:pt idx="155">
                  <c:v>13</c:v>
                </c:pt>
                <c:pt idx="156">
                  <c:v>12.5</c:v>
                </c:pt>
                <c:pt idx="157">
                  <c:v>12</c:v>
                </c:pt>
                <c:pt idx="158">
                  <c:v>11.5</c:v>
                </c:pt>
                <c:pt idx="159">
                  <c:v>11</c:v>
                </c:pt>
                <c:pt idx="160">
                  <c:v>10.5</c:v>
                </c:pt>
                <c:pt idx="161">
                  <c:v>10</c:v>
                </c:pt>
                <c:pt idx="162">
                  <c:v>9.5</c:v>
                </c:pt>
                <c:pt idx="163">
                  <c:v>9</c:v>
                </c:pt>
                <c:pt idx="164">
                  <c:v>8.5</c:v>
                </c:pt>
                <c:pt idx="165">
                  <c:v>8</c:v>
                </c:pt>
                <c:pt idx="166">
                  <c:v>7.5</c:v>
                </c:pt>
                <c:pt idx="167">
                  <c:v>7.0000000000000009</c:v>
                </c:pt>
                <c:pt idx="168">
                  <c:v>6.5</c:v>
                </c:pt>
                <c:pt idx="169">
                  <c:v>6</c:v>
                </c:pt>
                <c:pt idx="170">
                  <c:v>5.5</c:v>
                </c:pt>
                <c:pt idx="171">
                  <c:v>5</c:v>
                </c:pt>
                <c:pt idx="172">
                  <c:v>4.5</c:v>
                </c:pt>
                <c:pt idx="173">
                  <c:v>4</c:v>
                </c:pt>
                <c:pt idx="174">
                  <c:v>3.5000000000000004</c:v>
                </c:pt>
                <c:pt idx="175">
                  <c:v>3</c:v>
                </c:pt>
                <c:pt idx="176">
                  <c:v>2.5</c:v>
                </c:pt>
                <c:pt idx="177">
                  <c:v>2</c:v>
                </c:pt>
                <c:pt idx="178">
                  <c:v>1.5</c:v>
                </c:pt>
                <c:pt idx="179">
                  <c:v>1</c:v>
                </c:pt>
                <c:pt idx="180">
                  <c:v>0.5</c:v>
                </c:pt>
                <c:pt idx="181">
                  <c:v>0</c:v>
                </c:pt>
                <c:pt idx="182">
                  <c:v>-0.5</c:v>
                </c:pt>
                <c:pt idx="183">
                  <c:v>-1</c:v>
                </c:pt>
                <c:pt idx="184">
                  <c:v>-1.5</c:v>
                </c:pt>
                <c:pt idx="185">
                  <c:v>-2</c:v>
                </c:pt>
                <c:pt idx="186">
                  <c:v>-2.5</c:v>
                </c:pt>
                <c:pt idx="187">
                  <c:v>-3</c:v>
                </c:pt>
                <c:pt idx="188">
                  <c:v>-3.5000000000000004</c:v>
                </c:pt>
                <c:pt idx="189">
                  <c:v>-4</c:v>
                </c:pt>
                <c:pt idx="190">
                  <c:v>-4.5</c:v>
                </c:pt>
                <c:pt idx="191">
                  <c:v>-5</c:v>
                </c:pt>
                <c:pt idx="192">
                  <c:v>-5.5</c:v>
                </c:pt>
                <c:pt idx="193">
                  <c:v>-6</c:v>
                </c:pt>
                <c:pt idx="194">
                  <c:v>-6.5</c:v>
                </c:pt>
                <c:pt idx="195">
                  <c:v>-7.0000000000000009</c:v>
                </c:pt>
                <c:pt idx="196">
                  <c:v>-7.5</c:v>
                </c:pt>
                <c:pt idx="197">
                  <c:v>-8</c:v>
                </c:pt>
                <c:pt idx="198">
                  <c:v>-8.5</c:v>
                </c:pt>
                <c:pt idx="199">
                  <c:v>-9</c:v>
                </c:pt>
                <c:pt idx="200">
                  <c:v>-9.5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2-E318-47D7-96DC-99EF817BC194}"/>
            </c:ext>
          </c:extLst>
        </c:ser>
        <c:ser>
          <c:idx val="9"/>
          <c:order val="6"/>
          <c:tx>
            <c:strRef>
              <c:f>'HULP-velden'!$AM$16</c:f>
              <c:strCache>
                <c:ptCount val="1"/>
                <c:pt idx="0">
                  <c:v>BPK-lijn Ref</c:v>
                </c:pt>
              </c:strCache>
            </c:strRef>
          </c:tx>
          <c:spPr>
            <a:ln w="38100">
              <a:solidFill>
                <a:schemeClr val="accent2"/>
              </a:solidFill>
            </a:ln>
          </c:spPr>
          <c:marker>
            <c:symbol val="none"/>
          </c:marker>
          <c:dPt>
            <c:idx val="143"/>
            <c:bubble3D val="0"/>
            <c:extLst>
              <c:ext xmlns:c16="http://schemas.microsoft.com/office/drawing/2014/chart" uri="{C3380CC4-5D6E-409C-BE32-E72D297353CC}">
                <c16:uniqueId val="{00000005-7C12-4433-A805-431DC6BD6309}"/>
              </c:ext>
            </c:extLst>
          </c:dPt>
          <c:xVal>
            <c:numRef>
              <c:f>'HULP-velden'!$AM$22:$AM$223</c:f>
              <c:numCache>
                <c:formatCode>_(* #,##0.00_);_(* \(#,##0.00\);_(* "-"??_);_(@_)</c:formatCode>
                <c:ptCount val="202"/>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5">
                  <c:v>28.000000000000004</c:v>
                </c:pt>
                <c:pt idx="146">
                  <c:v>27.500000000000004</c:v>
                </c:pt>
                <c:pt idx="147">
                  <c:v>27</c:v>
                </c:pt>
                <c:pt idx="148">
                  <c:v>26.5</c:v>
                </c:pt>
                <c:pt idx="149">
                  <c:v>26</c:v>
                </c:pt>
                <c:pt idx="150">
                  <c:v>25.5</c:v>
                </c:pt>
                <c:pt idx="151">
                  <c:v>25</c:v>
                </c:pt>
                <c:pt idx="152">
                  <c:v>24.5</c:v>
                </c:pt>
                <c:pt idx="153">
                  <c:v>24</c:v>
                </c:pt>
                <c:pt idx="154">
                  <c:v>23.5</c:v>
                </c:pt>
                <c:pt idx="155">
                  <c:v>23</c:v>
                </c:pt>
                <c:pt idx="156">
                  <c:v>22.5</c:v>
                </c:pt>
                <c:pt idx="157">
                  <c:v>22</c:v>
                </c:pt>
                <c:pt idx="158">
                  <c:v>21.5</c:v>
                </c:pt>
                <c:pt idx="159">
                  <c:v>21</c:v>
                </c:pt>
                <c:pt idx="160">
                  <c:v>20.5</c:v>
                </c:pt>
                <c:pt idx="161">
                  <c:v>20</c:v>
                </c:pt>
                <c:pt idx="162">
                  <c:v>19.5</c:v>
                </c:pt>
                <c:pt idx="163">
                  <c:v>19</c:v>
                </c:pt>
                <c:pt idx="164">
                  <c:v>18.5</c:v>
                </c:pt>
                <c:pt idx="165">
                  <c:v>18</c:v>
                </c:pt>
                <c:pt idx="166">
                  <c:v>17.5</c:v>
                </c:pt>
                <c:pt idx="167">
                  <c:v>17</c:v>
                </c:pt>
                <c:pt idx="168">
                  <c:v>16.5</c:v>
                </c:pt>
                <c:pt idx="169">
                  <c:v>16</c:v>
                </c:pt>
                <c:pt idx="170">
                  <c:v>15.5</c:v>
                </c:pt>
                <c:pt idx="171">
                  <c:v>15</c:v>
                </c:pt>
                <c:pt idx="172">
                  <c:v>14.499999999999998</c:v>
                </c:pt>
                <c:pt idx="173">
                  <c:v>14.000000000000002</c:v>
                </c:pt>
                <c:pt idx="174">
                  <c:v>13.5</c:v>
                </c:pt>
                <c:pt idx="175">
                  <c:v>13</c:v>
                </c:pt>
                <c:pt idx="176">
                  <c:v>12.5</c:v>
                </c:pt>
                <c:pt idx="177">
                  <c:v>12</c:v>
                </c:pt>
                <c:pt idx="178">
                  <c:v>11.5</c:v>
                </c:pt>
                <c:pt idx="179">
                  <c:v>11</c:v>
                </c:pt>
                <c:pt idx="180">
                  <c:v>10.5</c:v>
                </c:pt>
                <c:pt idx="181">
                  <c:v>10</c:v>
                </c:pt>
                <c:pt idx="182">
                  <c:v>9.5</c:v>
                </c:pt>
                <c:pt idx="183">
                  <c:v>9</c:v>
                </c:pt>
                <c:pt idx="184">
                  <c:v>8.5</c:v>
                </c:pt>
                <c:pt idx="185">
                  <c:v>8</c:v>
                </c:pt>
                <c:pt idx="186">
                  <c:v>7.5</c:v>
                </c:pt>
                <c:pt idx="187">
                  <c:v>7.0000000000000009</c:v>
                </c:pt>
                <c:pt idx="188">
                  <c:v>6.5</c:v>
                </c:pt>
                <c:pt idx="189">
                  <c:v>6</c:v>
                </c:pt>
                <c:pt idx="190">
                  <c:v>5.5</c:v>
                </c:pt>
                <c:pt idx="191">
                  <c:v>5</c:v>
                </c:pt>
                <c:pt idx="192">
                  <c:v>4.5</c:v>
                </c:pt>
                <c:pt idx="193">
                  <c:v>4</c:v>
                </c:pt>
                <c:pt idx="194">
                  <c:v>3.5000000000000004</c:v>
                </c:pt>
                <c:pt idx="195">
                  <c:v>3</c:v>
                </c:pt>
                <c:pt idx="196">
                  <c:v>2.5</c:v>
                </c:pt>
                <c:pt idx="197">
                  <c:v>2</c:v>
                </c:pt>
                <c:pt idx="198">
                  <c:v>1.5</c:v>
                </c:pt>
                <c:pt idx="199">
                  <c:v>1</c:v>
                </c:pt>
                <c:pt idx="200">
                  <c:v>0.5</c:v>
                </c:pt>
                <c:pt idx="201">
                  <c:v>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3-E318-47D7-96DC-99EF817BC194}"/>
            </c:ext>
          </c:extLst>
        </c:ser>
        <c:ser>
          <c:idx val="10"/>
          <c:order val="7"/>
          <c:tx>
            <c:strRef>
              <c:f>'HULP-velden'!$AN$16</c:f>
              <c:strCache>
                <c:ptCount val="1"/>
                <c:pt idx="0">
                  <c:v>BPK-Lijn +1</c:v>
                </c:pt>
              </c:strCache>
            </c:strRef>
          </c:tx>
          <c:spPr>
            <a:ln w="38100">
              <a:solidFill>
                <a:schemeClr val="accent2">
                  <a:lumMod val="60000"/>
                  <a:lumOff val="40000"/>
                </a:schemeClr>
              </a:solidFill>
            </a:ln>
          </c:spPr>
          <c:marker>
            <c:symbol val="none"/>
          </c:marker>
          <c:xVal>
            <c:numRef>
              <c:f>'HULP-velden'!$AN$22:$AN$223</c:f>
              <c:numCache>
                <c:formatCode>_(* #,##0.00_);_(* \(#,##0.00\);_(* "-"??_);_(@_)</c:formatCode>
                <c:ptCount val="202"/>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5">
                  <c:v>38</c:v>
                </c:pt>
                <c:pt idx="146">
                  <c:v>37.5</c:v>
                </c:pt>
                <c:pt idx="147">
                  <c:v>37</c:v>
                </c:pt>
                <c:pt idx="148">
                  <c:v>36.5</c:v>
                </c:pt>
                <c:pt idx="149">
                  <c:v>36</c:v>
                </c:pt>
                <c:pt idx="150">
                  <c:v>35.5</c:v>
                </c:pt>
                <c:pt idx="151">
                  <c:v>35</c:v>
                </c:pt>
                <c:pt idx="152">
                  <c:v>34.5</c:v>
                </c:pt>
                <c:pt idx="153">
                  <c:v>34</c:v>
                </c:pt>
                <c:pt idx="154">
                  <c:v>33.5</c:v>
                </c:pt>
                <c:pt idx="155">
                  <c:v>33</c:v>
                </c:pt>
                <c:pt idx="156">
                  <c:v>32.5</c:v>
                </c:pt>
                <c:pt idx="157">
                  <c:v>32</c:v>
                </c:pt>
                <c:pt idx="158">
                  <c:v>31.5</c:v>
                </c:pt>
                <c:pt idx="159">
                  <c:v>31</c:v>
                </c:pt>
                <c:pt idx="160">
                  <c:v>30.5</c:v>
                </c:pt>
                <c:pt idx="161">
                  <c:v>30</c:v>
                </c:pt>
                <c:pt idx="162">
                  <c:v>29.5</c:v>
                </c:pt>
                <c:pt idx="163">
                  <c:v>28.999999999999996</c:v>
                </c:pt>
                <c:pt idx="164">
                  <c:v>28.499999999999996</c:v>
                </c:pt>
                <c:pt idx="165">
                  <c:v>28.000000000000004</c:v>
                </c:pt>
                <c:pt idx="166">
                  <c:v>27.500000000000004</c:v>
                </c:pt>
                <c:pt idx="167">
                  <c:v>27</c:v>
                </c:pt>
                <c:pt idx="168">
                  <c:v>26.5</c:v>
                </c:pt>
                <c:pt idx="169">
                  <c:v>26</c:v>
                </c:pt>
                <c:pt idx="170">
                  <c:v>25.5</c:v>
                </c:pt>
                <c:pt idx="171">
                  <c:v>25</c:v>
                </c:pt>
                <c:pt idx="172">
                  <c:v>24.5</c:v>
                </c:pt>
                <c:pt idx="173">
                  <c:v>24</c:v>
                </c:pt>
                <c:pt idx="174">
                  <c:v>23.5</c:v>
                </c:pt>
                <c:pt idx="175">
                  <c:v>23</c:v>
                </c:pt>
                <c:pt idx="176">
                  <c:v>22.5</c:v>
                </c:pt>
                <c:pt idx="177">
                  <c:v>22</c:v>
                </c:pt>
                <c:pt idx="178">
                  <c:v>21.5</c:v>
                </c:pt>
                <c:pt idx="179">
                  <c:v>21</c:v>
                </c:pt>
                <c:pt idx="180">
                  <c:v>20.5</c:v>
                </c:pt>
                <c:pt idx="181">
                  <c:v>20</c:v>
                </c:pt>
                <c:pt idx="182">
                  <c:v>19.5</c:v>
                </c:pt>
                <c:pt idx="183">
                  <c:v>19</c:v>
                </c:pt>
                <c:pt idx="184">
                  <c:v>18.5</c:v>
                </c:pt>
                <c:pt idx="185">
                  <c:v>18</c:v>
                </c:pt>
                <c:pt idx="186">
                  <c:v>17.5</c:v>
                </c:pt>
                <c:pt idx="187">
                  <c:v>17</c:v>
                </c:pt>
                <c:pt idx="188">
                  <c:v>16.5</c:v>
                </c:pt>
                <c:pt idx="189">
                  <c:v>16</c:v>
                </c:pt>
                <c:pt idx="190">
                  <c:v>15.5</c:v>
                </c:pt>
                <c:pt idx="191">
                  <c:v>15</c:v>
                </c:pt>
                <c:pt idx="192">
                  <c:v>14.499999999999998</c:v>
                </c:pt>
                <c:pt idx="193">
                  <c:v>14.000000000000002</c:v>
                </c:pt>
                <c:pt idx="194">
                  <c:v>13.5</c:v>
                </c:pt>
                <c:pt idx="195">
                  <c:v>13</c:v>
                </c:pt>
                <c:pt idx="196">
                  <c:v>12.5</c:v>
                </c:pt>
                <c:pt idx="197">
                  <c:v>12</c:v>
                </c:pt>
                <c:pt idx="198">
                  <c:v>11.5</c:v>
                </c:pt>
                <c:pt idx="199">
                  <c:v>11</c:v>
                </c:pt>
                <c:pt idx="200">
                  <c:v>10.5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4-E318-47D7-96DC-99EF817BC194}"/>
            </c:ext>
          </c:extLst>
        </c:ser>
        <c:ser>
          <c:idx val="11"/>
          <c:order val="8"/>
          <c:tx>
            <c:strRef>
              <c:f>'HULP-velden'!$AO$16</c:f>
              <c:strCache>
                <c:ptCount val="1"/>
                <c:pt idx="0">
                  <c:v>BPK-Lijn +2</c:v>
                </c:pt>
              </c:strCache>
            </c:strRef>
          </c:tx>
          <c:spPr>
            <a:ln w="38100">
              <a:solidFill>
                <a:schemeClr val="accent2">
                  <a:lumMod val="60000"/>
                  <a:lumOff val="40000"/>
                </a:schemeClr>
              </a:solidFill>
            </a:ln>
          </c:spPr>
          <c:marker>
            <c:symbol val="none"/>
          </c:marker>
          <c:xVal>
            <c:numRef>
              <c:f>'HULP-velden'!$AO$22:$AO$223</c:f>
              <c:numCache>
                <c:formatCode>_(* #,##0.00_);_(* \(#,##0.00\);_(* "-"??_);_(@_)</c:formatCode>
                <c:ptCount val="202"/>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5">
                  <c:v>48</c:v>
                </c:pt>
                <c:pt idx="146">
                  <c:v>47.5</c:v>
                </c:pt>
                <c:pt idx="147">
                  <c:v>47</c:v>
                </c:pt>
                <c:pt idx="148">
                  <c:v>46.5</c:v>
                </c:pt>
                <c:pt idx="149">
                  <c:v>46</c:v>
                </c:pt>
                <c:pt idx="150">
                  <c:v>45.5</c:v>
                </c:pt>
                <c:pt idx="151">
                  <c:v>45</c:v>
                </c:pt>
                <c:pt idx="152">
                  <c:v>44.5</c:v>
                </c:pt>
                <c:pt idx="153">
                  <c:v>44</c:v>
                </c:pt>
                <c:pt idx="154">
                  <c:v>43.5</c:v>
                </c:pt>
                <c:pt idx="155">
                  <c:v>43</c:v>
                </c:pt>
                <c:pt idx="156">
                  <c:v>42.5</c:v>
                </c:pt>
                <c:pt idx="157">
                  <c:v>42</c:v>
                </c:pt>
                <c:pt idx="158">
                  <c:v>41.5</c:v>
                </c:pt>
                <c:pt idx="159">
                  <c:v>41</c:v>
                </c:pt>
                <c:pt idx="160">
                  <c:v>40.5</c:v>
                </c:pt>
                <c:pt idx="161">
                  <c:v>40</c:v>
                </c:pt>
                <c:pt idx="162">
                  <c:v>39.5</c:v>
                </c:pt>
                <c:pt idx="163">
                  <c:v>39</c:v>
                </c:pt>
                <c:pt idx="164">
                  <c:v>38.5</c:v>
                </c:pt>
                <c:pt idx="165">
                  <c:v>38</c:v>
                </c:pt>
                <c:pt idx="166">
                  <c:v>37.5</c:v>
                </c:pt>
                <c:pt idx="167">
                  <c:v>37</c:v>
                </c:pt>
                <c:pt idx="168">
                  <c:v>36.5</c:v>
                </c:pt>
                <c:pt idx="169">
                  <c:v>36</c:v>
                </c:pt>
                <c:pt idx="170">
                  <c:v>35.5</c:v>
                </c:pt>
                <c:pt idx="171">
                  <c:v>35</c:v>
                </c:pt>
                <c:pt idx="172">
                  <c:v>34.5</c:v>
                </c:pt>
                <c:pt idx="173">
                  <c:v>34</c:v>
                </c:pt>
                <c:pt idx="174">
                  <c:v>33.5</c:v>
                </c:pt>
                <c:pt idx="175">
                  <c:v>33</c:v>
                </c:pt>
                <c:pt idx="176">
                  <c:v>32.5</c:v>
                </c:pt>
                <c:pt idx="177">
                  <c:v>32</c:v>
                </c:pt>
                <c:pt idx="178">
                  <c:v>31.5</c:v>
                </c:pt>
                <c:pt idx="179">
                  <c:v>31</c:v>
                </c:pt>
                <c:pt idx="180">
                  <c:v>30.5</c:v>
                </c:pt>
                <c:pt idx="181">
                  <c:v>30</c:v>
                </c:pt>
                <c:pt idx="182">
                  <c:v>29.5</c:v>
                </c:pt>
                <c:pt idx="183">
                  <c:v>28.999999999999996</c:v>
                </c:pt>
                <c:pt idx="184">
                  <c:v>28.499999999999996</c:v>
                </c:pt>
                <c:pt idx="185">
                  <c:v>28.000000000000004</c:v>
                </c:pt>
                <c:pt idx="186">
                  <c:v>27.500000000000004</c:v>
                </c:pt>
                <c:pt idx="187">
                  <c:v>27</c:v>
                </c:pt>
                <c:pt idx="188">
                  <c:v>26.5</c:v>
                </c:pt>
                <c:pt idx="189">
                  <c:v>26</c:v>
                </c:pt>
                <c:pt idx="190">
                  <c:v>25.5</c:v>
                </c:pt>
                <c:pt idx="191">
                  <c:v>25</c:v>
                </c:pt>
                <c:pt idx="192">
                  <c:v>24.5</c:v>
                </c:pt>
                <c:pt idx="193">
                  <c:v>24</c:v>
                </c:pt>
                <c:pt idx="194">
                  <c:v>23.5</c:v>
                </c:pt>
                <c:pt idx="195">
                  <c:v>23</c:v>
                </c:pt>
                <c:pt idx="196">
                  <c:v>22.5</c:v>
                </c:pt>
                <c:pt idx="197">
                  <c:v>22</c:v>
                </c:pt>
                <c:pt idx="198">
                  <c:v>21.5</c:v>
                </c:pt>
                <c:pt idx="199">
                  <c:v>21</c:v>
                </c:pt>
                <c:pt idx="200">
                  <c:v>20.5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5-E318-47D7-96DC-99EF817BC194}"/>
            </c:ext>
          </c:extLst>
        </c:ser>
        <c:ser>
          <c:idx val="5"/>
          <c:order val="9"/>
          <c:tx>
            <c:strRef>
              <c:f>'HULP-velden'!$AP$16</c:f>
              <c:strCache>
                <c:ptCount val="1"/>
                <c:pt idx="0">
                  <c:v>BPK-Lijn +3</c:v>
                </c:pt>
              </c:strCache>
            </c:strRef>
          </c:tx>
          <c:spPr>
            <a:ln w="38100">
              <a:solidFill>
                <a:schemeClr val="accent2">
                  <a:lumMod val="60000"/>
                  <a:lumOff val="40000"/>
                </a:schemeClr>
              </a:solidFill>
              <a:prstDash val="solid"/>
            </a:ln>
          </c:spPr>
          <c:marker>
            <c:symbol val="none"/>
          </c:marker>
          <c:xVal>
            <c:numRef>
              <c:f>'HULP-velden'!$AP$22:$AP$223</c:f>
              <c:numCache>
                <c:formatCode>_(* #,##0.00_);_(* \(#,##0.00\);_(* "-"??_);_(@_)</c:formatCode>
                <c:ptCount val="202"/>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5">
                  <c:v>57.999999999999993</c:v>
                </c:pt>
                <c:pt idx="146">
                  <c:v>57.499999999999993</c:v>
                </c:pt>
                <c:pt idx="147">
                  <c:v>56.999999999999993</c:v>
                </c:pt>
                <c:pt idx="148">
                  <c:v>56.499999999999993</c:v>
                </c:pt>
                <c:pt idx="149">
                  <c:v>56.000000000000007</c:v>
                </c:pt>
                <c:pt idx="150">
                  <c:v>55.500000000000007</c:v>
                </c:pt>
                <c:pt idx="151">
                  <c:v>55.000000000000007</c:v>
                </c:pt>
                <c:pt idx="152">
                  <c:v>54.500000000000007</c:v>
                </c:pt>
                <c:pt idx="153">
                  <c:v>54</c:v>
                </c:pt>
                <c:pt idx="154">
                  <c:v>53.5</c:v>
                </c:pt>
                <c:pt idx="155">
                  <c:v>53</c:v>
                </c:pt>
                <c:pt idx="156">
                  <c:v>52.5</c:v>
                </c:pt>
                <c:pt idx="157">
                  <c:v>52</c:v>
                </c:pt>
                <c:pt idx="158">
                  <c:v>51.5</c:v>
                </c:pt>
                <c:pt idx="159">
                  <c:v>51</c:v>
                </c:pt>
                <c:pt idx="160">
                  <c:v>50.5</c:v>
                </c:pt>
                <c:pt idx="161">
                  <c:v>50</c:v>
                </c:pt>
                <c:pt idx="162">
                  <c:v>49.5</c:v>
                </c:pt>
                <c:pt idx="163">
                  <c:v>49</c:v>
                </c:pt>
                <c:pt idx="164">
                  <c:v>48.5</c:v>
                </c:pt>
                <c:pt idx="165">
                  <c:v>48</c:v>
                </c:pt>
                <c:pt idx="166">
                  <c:v>47.5</c:v>
                </c:pt>
                <c:pt idx="167">
                  <c:v>47</c:v>
                </c:pt>
                <c:pt idx="168">
                  <c:v>46.5</c:v>
                </c:pt>
                <c:pt idx="169">
                  <c:v>46</c:v>
                </c:pt>
                <c:pt idx="170">
                  <c:v>45.5</c:v>
                </c:pt>
                <c:pt idx="171">
                  <c:v>45</c:v>
                </c:pt>
                <c:pt idx="172">
                  <c:v>44.5</c:v>
                </c:pt>
                <c:pt idx="173">
                  <c:v>44</c:v>
                </c:pt>
                <c:pt idx="174">
                  <c:v>43.5</c:v>
                </c:pt>
                <c:pt idx="175">
                  <c:v>43</c:v>
                </c:pt>
                <c:pt idx="176">
                  <c:v>42.5</c:v>
                </c:pt>
                <c:pt idx="177">
                  <c:v>42</c:v>
                </c:pt>
                <c:pt idx="178">
                  <c:v>41.5</c:v>
                </c:pt>
                <c:pt idx="179">
                  <c:v>41</c:v>
                </c:pt>
                <c:pt idx="180">
                  <c:v>40.5</c:v>
                </c:pt>
                <c:pt idx="181">
                  <c:v>40</c:v>
                </c:pt>
                <c:pt idx="182">
                  <c:v>39.5</c:v>
                </c:pt>
                <c:pt idx="183">
                  <c:v>39</c:v>
                </c:pt>
                <c:pt idx="184">
                  <c:v>38.5</c:v>
                </c:pt>
                <c:pt idx="185">
                  <c:v>38</c:v>
                </c:pt>
                <c:pt idx="186">
                  <c:v>37.5</c:v>
                </c:pt>
                <c:pt idx="187">
                  <c:v>37</c:v>
                </c:pt>
                <c:pt idx="188">
                  <c:v>36.5</c:v>
                </c:pt>
                <c:pt idx="189">
                  <c:v>36</c:v>
                </c:pt>
                <c:pt idx="190">
                  <c:v>35.5</c:v>
                </c:pt>
                <c:pt idx="191">
                  <c:v>35</c:v>
                </c:pt>
                <c:pt idx="192">
                  <c:v>34.5</c:v>
                </c:pt>
                <c:pt idx="193">
                  <c:v>34</c:v>
                </c:pt>
                <c:pt idx="194">
                  <c:v>33.5</c:v>
                </c:pt>
                <c:pt idx="195">
                  <c:v>33</c:v>
                </c:pt>
                <c:pt idx="196">
                  <c:v>32.5</c:v>
                </c:pt>
                <c:pt idx="197">
                  <c:v>32</c:v>
                </c:pt>
                <c:pt idx="198">
                  <c:v>31.5</c:v>
                </c:pt>
                <c:pt idx="199">
                  <c:v>31</c:v>
                </c:pt>
                <c:pt idx="200">
                  <c:v>30.5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D6-E318-47D7-96DC-99EF817BC194}"/>
            </c:ext>
          </c:extLst>
        </c:ser>
        <c:ser>
          <c:idx val="13"/>
          <c:order val="10"/>
          <c:tx>
            <c:v>Qknockout</c:v>
          </c:tx>
          <c:spPr>
            <a:ln w="34925">
              <a:solidFill>
                <a:srgbClr val="FF0000"/>
              </a:solidFill>
              <a:prstDash val="sysDash"/>
            </a:ln>
          </c:spPr>
          <c:marker>
            <c:symbol val="none"/>
          </c:marker>
          <c:dLbls>
            <c:dLbl>
              <c:idx val="0"/>
              <c:layout>
                <c:manualLayout>
                  <c:x val="-5.9363168884437871E-2"/>
                  <c:y val="5.8526741465368272E-2"/>
                </c:manualLayout>
              </c:layout>
              <c:tx>
                <c:rich>
                  <a:bodyPr/>
                  <a:lstStyle/>
                  <a:p>
                    <a:fld id="{8E1C3C80-3438-484A-B482-1CF4F75E9E64}" type="CELLRANGE">
                      <a:rPr lang="en-US" b="1">
                        <a:solidFill>
                          <a:schemeClr val="tx1"/>
                        </a:solidFill>
                      </a:rPr>
                      <a:pPr/>
                      <a:t>[CELLRANGE]</a:t>
                    </a:fld>
                    <a:endParaRPr lang="nl-NL"/>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E79E-4D27-B528-16B2EA0F1879}"/>
                </c:ext>
              </c:extLst>
            </c:dLbl>
            <c:dLbl>
              <c:idx val="1"/>
              <c:tx>
                <c:rich>
                  <a:bodyPr/>
                  <a:lstStyle/>
                  <a:p>
                    <a:endParaRPr lang="nl-NL"/>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D8-E318-47D7-96DC-99EF817BC194}"/>
                </c:ext>
              </c:extLst>
            </c:dLbl>
            <c:spPr>
              <a:noFill/>
              <a:ln>
                <a:noFill/>
              </a:ln>
              <a:effectLst/>
            </c:spPr>
            <c:txPr>
              <a:bodyPr wrap="square" lIns="38100" tIns="19050" rIns="38100" bIns="19050" anchor="ctr">
                <a:spAutoFit/>
              </a:bodyPr>
              <a:lstStyle/>
              <a:p>
                <a:pPr>
                  <a:defRPr b="1">
                    <a:solidFill>
                      <a:schemeClr val="tx1"/>
                    </a:solidFill>
                  </a:defRPr>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'HULP-velden'!$C$26:$D$26</c:f>
              <c:numCache>
                <c:formatCode>General</c:formatCode>
                <c:ptCount val="2"/>
                <c:pt idx="0">
                  <c:v>-1000</c:v>
                </c:pt>
                <c:pt idx="1">
                  <c:v>-1000</c:v>
                </c:pt>
              </c:numCache>
            </c:numRef>
          </c:xVal>
          <c:yVal>
            <c:numRef>
              <c:f>'HULP-velden'!$D$104:$D$105</c:f>
              <c:numCache>
                <c:formatCode>_("$"* #.##000_);_("$"* \(#.##000\);_("$"* "-"??_);_(@_)</c:formatCode>
                <c:ptCount val="2"/>
                <c:pt idx="0">
                  <c:v>280000</c:v>
                </c:pt>
                <c:pt idx="1">
                  <c:v>520000</c:v>
                </c:pt>
              </c:numCache>
            </c:numRef>
          </c:yVal>
          <c:smooth val="0"/>
          <c:extLst>
            <c:ext xmlns:c15="http://schemas.microsoft.com/office/drawing/2012/chart" uri="{02D57815-91ED-43cb-92C2-25804820EDAC}">
              <c15:datalabelsRange>
                <c15:f>'HULP-velden'!$G$15</c15:f>
                <c15:dlblRangeCache>
                  <c:ptCount val="1"/>
                  <c:pt idx="0">
                    <c:v>LAQ = </c:v>
                  </c:pt>
                </c15:dlblRangeCache>
              </c15:datalabelsRange>
            </c:ext>
            <c:ext xmlns:c16="http://schemas.microsoft.com/office/drawing/2014/chart" uri="{C3380CC4-5D6E-409C-BE32-E72D297353CC}">
              <c16:uniqueId val="{000000D9-E318-47D7-96DC-99EF817BC194}"/>
            </c:ext>
          </c:extLst>
        </c:ser>
        <c:ser>
          <c:idx val="1"/>
          <c:order val="11"/>
          <c:tx>
            <c:v>Qmin</c:v>
          </c:tx>
          <c:marker>
            <c:symbol val="none"/>
          </c:marker>
          <c:dPt>
            <c:idx val="1"/>
            <c:bubble3D val="0"/>
            <c:spPr>
              <a:ln w="44450">
                <a:solidFill>
                  <a:schemeClr val="accent1"/>
                </a:solidFill>
              </a:ln>
            </c:spPr>
            <c:extLst>
              <c:ext xmlns:c16="http://schemas.microsoft.com/office/drawing/2014/chart" uri="{C3380CC4-5D6E-409C-BE32-E72D297353CC}">
                <c16:uniqueId val="{000000DB-E318-47D7-96DC-99EF817BC194}"/>
              </c:ext>
            </c:extLst>
          </c:dPt>
          <c:xVal>
            <c:numRef>
              <c:f>'BPK-Grafiek'!$N$47:$O$47</c:f>
              <c:numCache>
                <c:formatCode>General</c:formatCode>
                <c:ptCount val="2"/>
                <c:pt idx="0">
                  <c:v>0</c:v>
                </c:pt>
                <c:pt idx="1">
                  <c:v>0</c:v>
                </c:pt>
              </c:numCache>
            </c:numRef>
          </c:xVal>
          <c:yVal>
            <c:numRef>
              <c:f>'BPK-Grafiek'!$N$41:$O$41</c:f>
              <c:numCache>
                <c:formatCode>_("$"* #.##000_);_("$"* \(#.##000\);_("$"* "-"??_);_(@_)</c:formatCode>
                <c:ptCount val="2"/>
                <c:pt idx="0" formatCode="&quot;$&quot;\ #.##000">
                  <c:v>0</c:v>
                </c:pt>
                <c:pt idx="1">
                  <c:v>520000</c:v>
                </c:pt>
              </c:numCache>
            </c:numRef>
          </c:yVal>
          <c:smooth val="0"/>
          <c:extLst>
            <c:ext xmlns:c16="http://schemas.microsoft.com/office/drawing/2014/chart" uri="{C3380CC4-5D6E-409C-BE32-E72D297353CC}">
              <c16:uniqueId val="{000000DC-E318-47D7-96DC-99EF817BC194}"/>
            </c:ext>
          </c:extLst>
        </c:ser>
        <c:ser>
          <c:idx val="2"/>
          <c:order val="12"/>
          <c:tx>
            <c:v>Punten bij Qmin</c:v>
          </c:tx>
          <c:marker>
            <c:symbol val="none"/>
          </c:marker>
          <c:dLbls>
            <c:dLbl>
              <c:idx val="0"/>
              <c:layout>
                <c:manualLayout>
                  <c:x val="-0.02"/>
                  <c:y val="5.6508577194752628E-2"/>
                </c:manualLayout>
              </c:layout>
              <c:tx>
                <c:rich>
                  <a:bodyPr wrap="square" lIns="38100" tIns="19050" rIns="38100" bIns="19050" anchor="ctr">
                    <a:spAutoFit/>
                  </a:bodyPr>
                  <a:lstStyle/>
                  <a:p>
                    <a:pPr>
                      <a:defRPr b="1"/>
                    </a:pPr>
                    <a:fld id="{F7AAA9A7-760E-49AB-95F9-A8B2A5DEA9AD}" type="CELLRANGE">
                      <a:rPr lang="en-US"/>
                      <a:pPr>
                        <a:defRPr b="1"/>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DD-E318-47D7-96DC-99EF817BC194}"/>
                </c:ext>
              </c:extLst>
            </c:dLbl>
            <c:spPr>
              <a:noFill/>
              <a:ln>
                <a:noFill/>
              </a:ln>
              <a:effectLst/>
            </c:sp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'HULP-velden'!$C$23</c:f>
              <c:numCache>
                <c:formatCode>General</c:formatCode>
                <c:ptCount val="1"/>
                <c:pt idx="0">
                  <c:v>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'HULP-velden'!$C$29</c15:f>
                <c15:dlblRangeCache>
                  <c:ptCount val="1"/>
                  <c:pt idx="0">
                    <c:v>0</c:v>
                  </c:pt>
                </c15:dlblRangeCache>
              </c15:datalabelsRange>
            </c:ext>
            <c:ext xmlns:c16="http://schemas.microsoft.com/office/drawing/2014/chart" uri="{C3380CC4-5D6E-409C-BE32-E72D297353CC}">
              <c16:uniqueId val="{000000DE-E318-47D7-96DC-99EF817BC194}"/>
            </c:ext>
          </c:extLst>
        </c:ser>
        <c:ser>
          <c:idx val="3"/>
          <c:order val="13"/>
          <c:tx>
            <c:v>Punten bij Qmax</c:v>
          </c:tx>
          <c:marker>
            <c:symbol val="none"/>
          </c:marker>
          <c:dLbls>
            <c:dLbl>
              <c:idx val="0"/>
              <c:layout>
                <c:manualLayout>
                  <c:x val="-1.7999999999999999E-2"/>
                  <c:y val="5.6508577194752628E-2"/>
                </c:manualLayout>
              </c:layout>
              <c:tx>
                <c:rich>
                  <a:bodyPr wrap="square" lIns="38100" tIns="19050" rIns="38100" bIns="19050" anchor="ctr">
                    <a:spAutoFit/>
                  </a:bodyPr>
                  <a:lstStyle/>
                  <a:p>
                    <a:pPr>
                      <a:defRPr b="1"/>
                    </a:pPr>
                    <a:fld id="{E6DEDF87-872D-41E4-84D6-F396CF56968B}" type="CELLRANGE">
                      <a:rPr lang="en-US"/>
                      <a:pPr>
                        <a:defRPr b="1"/>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DF-E318-47D7-96DC-99EF817BC194}"/>
                </c:ext>
              </c:extLst>
            </c:dLbl>
            <c:spPr>
              <a:noFill/>
              <a:ln>
                <a:noFill/>
              </a:ln>
              <a:effectLst/>
            </c:sp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'HULP-velden'!$D$23</c:f>
              <c:numCache>
                <c:formatCode>#,##0</c:formatCode>
                <c:ptCount val="1"/>
                <c:pt idx="0">
                  <c:v>100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'BPK-Grafiek'!$N$51</c15:f>
                <c15:dlblRangeCache>
                  <c:ptCount val="1"/>
                  <c:pt idx="0">
                    <c:v>500</c:v>
                  </c:pt>
                </c15:dlblRangeCache>
              </c15:datalabelsRange>
            </c:ext>
            <c:ext xmlns:c16="http://schemas.microsoft.com/office/drawing/2014/chart" uri="{C3380CC4-5D6E-409C-BE32-E72D297353CC}">
              <c16:uniqueId val="{000000E0-E318-47D7-96DC-99EF817BC194}"/>
            </c:ext>
          </c:extLst>
        </c:ser>
        <c:ser>
          <c:idx val="15"/>
          <c:order val="14"/>
          <c:tx>
            <c:v>PQmin</c:v>
          </c:tx>
          <c:spPr>
            <a:ln>
              <a:solidFill>
                <a:schemeClr val="tx1"/>
              </a:solidFill>
              <a:prstDash val="sysDash"/>
            </a:ln>
          </c:spPr>
          <c:marker>
            <c:symbol val="none"/>
          </c:marker>
          <c:xVal>
            <c:numRef>
              <c:f>'HULP-velden'!$C$28</c:f>
              <c:numCache>
                <c:formatCode>General</c:formatCode>
                <c:ptCount val="1"/>
                <c:pt idx="0">
                  <c:v>0</c:v>
                </c:pt>
              </c:numCache>
              <c:extLst xmlns:c15="http://schemas.microsoft.com/office/drawing/2012/chart"/>
            </c:numRef>
          </c:xVal>
          <c:yVal>
            <c:numRef>
              <c:f>'HULP-velden'!$C$25</c:f>
              <c:numCache>
                <c:formatCode>_("$"* #.##000_);_("$"* \(#.##000\);_("$"* "-"??_);_(@_)</c:formatCode>
                <c:ptCount val="1"/>
                <c:pt idx="0">
                  <c:v>300000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E1-E318-47D7-96DC-99EF817BC194}"/>
            </c:ext>
          </c:extLst>
        </c:ser>
        <c:ser>
          <c:idx val="16"/>
          <c:order val="15"/>
          <c:tx>
            <c:v>PQmax</c:v>
          </c:tx>
          <c:spPr>
            <a:ln w="38100">
              <a:solidFill>
                <a:schemeClr val="accent2">
                  <a:lumMod val="60000"/>
                  <a:lumOff val="40000"/>
                </a:schemeClr>
              </a:solidFill>
            </a:ln>
          </c:spPr>
          <c:marker>
            <c:symbol val="none"/>
          </c:marker>
          <c:dLbls>
            <c:dLbl>
              <c:idx val="0"/>
              <c:tx>
                <c:rich>
                  <a:bodyPr/>
                  <a:lstStyle/>
                  <a:p>
                    <a:fld id="{6054DE03-9392-463D-ABEA-08D7F2AEBD25}" type="CELLRANGE">
                      <a:rPr lang="nl-NL"/>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E2-E318-47D7-96DC-99EF817BC194}"/>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'HULP-velden'!$C$20</c:f>
              <c:numCache>
                <c:formatCode>#,##0</c:formatCode>
                <c:ptCount val="1"/>
                <c:pt idx="0">
                  <c:v>100</c:v>
                </c:pt>
              </c:numCache>
              <c:extLst xmlns:c15="http://schemas.microsoft.com/office/drawing/2012/chart"/>
            </c:numRef>
          </c:xVal>
          <c:yVal>
            <c:numRef>
              <c:f>'HULP-velden'!$H$30</c:f>
              <c:numCache>
                <c:formatCode>_("$"* #.##000_);_("$"* \(#.##000\);_("$"* "-"??_);_(@_)</c:formatCode>
                <c:ptCount val="1"/>
                <c:pt idx="0">
                  <c:v>-10000</c:v>
                </c:pt>
              </c:numCache>
              <c:extLst xmlns:c15="http://schemas.microsoft.com/office/drawing/2012/chart"/>
            </c:numRef>
          </c:yVal>
          <c:smooth val="0"/>
          <c:extLst xmlns:c15="http://schemas.microsoft.com/office/drawing/2012/chart">
            <c:ext xmlns:c15="http://schemas.microsoft.com/office/drawing/2012/chart" uri="{02D57815-91ED-43cb-92C2-25804820EDAC}">
              <c15:datalabelsRange>
                <c15:f>'BPK-Grafiek'!$N$53</c15:f>
                <c15:dlblRangeCache>
                  <c:ptCount val="1"/>
                  <c:pt idx="0">
                    <c:v>LAQ = </c:v>
                  </c:pt>
                </c15:dlblRangeCache>
              </c15:datalabelsRange>
            </c:ext>
            <c:ext xmlns:c16="http://schemas.microsoft.com/office/drawing/2014/chart" uri="{C3380CC4-5D6E-409C-BE32-E72D297353CC}">
              <c16:uniqueId val="{000000E3-E318-47D7-96DC-99EF817BC194}"/>
            </c:ext>
          </c:extLst>
        </c:ser>
        <c:ser>
          <c:idx val="18"/>
          <c:order val="16"/>
          <c:tx>
            <c:v>LAQ</c:v>
          </c:tx>
          <c:marker>
            <c:symbol val="none"/>
          </c:marker>
          <c:xVal>
            <c:numRef>
              <c:f>'HULP-velden'!$C$26</c:f>
              <c:numCache>
                <c:formatCode>General</c:formatCode>
                <c:ptCount val="1"/>
                <c:pt idx="0">
                  <c:v>-1000</c:v>
                </c:pt>
              </c:numCache>
            </c:numRef>
          </c:xVal>
          <c:yVal>
            <c:numRef>
              <c:f>'HULP-velden'!$D$105</c:f>
              <c:numCache>
                <c:formatCode>_("$"* #.##000_);_("$"* \(#.##000\);_("$"* "-"??_);_(@_)</c:formatCode>
                <c:ptCount val="1"/>
                <c:pt idx="0">
                  <c:v>520000</c:v>
                </c:pt>
              </c:numCache>
            </c:numRef>
          </c:yVal>
          <c:smooth val="0"/>
          <c:extLst>
            <c:ext xmlns:c16="http://schemas.microsoft.com/office/drawing/2014/chart" uri="{C3380CC4-5D6E-409C-BE32-E72D297353CC}">
              <c16:uniqueId val="{000000E5-E318-47D7-96DC-99EF817BC194}"/>
            </c:ext>
          </c:extLst>
        </c:ser>
        <c:ser>
          <c:idx val="19"/>
          <c:order val="17"/>
          <c:tx>
            <c:v>Plafondprijs</c:v>
          </c:tx>
          <c:marker>
            <c:symbol val="none"/>
          </c:marker>
          <c:dPt>
            <c:idx val="0"/>
            <c:bubble3D val="0"/>
            <c:extLst>
              <c:ext xmlns:c16="http://schemas.microsoft.com/office/drawing/2014/chart" uri="{C3380CC4-5D6E-409C-BE32-E72D297353CC}">
                <c16:uniqueId val="{000000E6-E318-47D7-96DC-99EF817BC194}"/>
              </c:ext>
            </c:extLst>
          </c:dPt>
          <c:dLbls>
            <c:dLbl>
              <c:idx val="0"/>
              <c:layout>
                <c:manualLayout>
                  <c:x val="8.9999999999999993E-3"/>
                  <c:y val="-2.9824106991972129E-2"/>
                </c:manualLayout>
              </c:layout>
              <c:tx>
                <c:rich>
                  <a:bodyPr wrap="square" lIns="38100" tIns="19050" rIns="38100" bIns="19050" anchor="ctr" anchorCtr="0">
                    <a:spAutoFit/>
                  </a:bodyPr>
                  <a:lstStyle/>
                  <a:p>
                    <a:pPr algn="l">
                      <a:defRPr b="0">
                        <a:solidFill>
                          <a:srgbClr val="FF0000"/>
                        </a:solidFill>
                      </a:defRPr>
                    </a:pPr>
                    <a:fld id="{71B7AAB4-C623-4E9F-8869-235D969242BE}" type="CELLRANGE">
                      <a:rPr lang="en-US"/>
                      <a:pPr algn="l">
                        <a:defRPr b="0">
                          <a:solidFill>
                            <a:srgbClr val="FF0000"/>
                          </a:solidFill>
                        </a:defRPr>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layout>
                    <c:manualLayout>
                      <c:w val="0.21894"/>
                      <c:h val="5.4978528639273244E-2"/>
                    </c:manualLayout>
                  </c15:layout>
                  <c15:dlblFieldTable/>
                  <c15:showDataLabelsRange val="1"/>
                </c:ext>
                <c:ext xmlns:c16="http://schemas.microsoft.com/office/drawing/2014/chart" uri="{C3380CC4-5D6E-409C-BE32-E72D297353CC}">
                  <c16:uniqueId val="{000000E6-E318-47D7-96DC-99EF817BC194}"/>
                </c:ext>
              </c:extLst>
            </c:dLbl>
            <c:spPr>
              <a:noFill/>
              <a:ln>
                <a:noFill/>
              </a:ln>
              <a:effectLst/>
            </c:spPr>
            <c:txPr>
              <a:bodyPr wrap="square" lIns="38100" tIns="19050" rIns="38100" bIns="19050" anchor="ctr">
                <a:spAutoFit/>
              </a:bodyPr>
              <a:lstStyle/>
              <a:p>
                <a:pPr>
                  <a:defRPr b="1">
                    <a:solidFill>
                      <a:srgbClr val="FF0000"/>
                    </a:solidFill>
                  </a:defRPr>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Lit>
              <c:formatCode>General</c:formatCode>
              <c:ptCount val="1"/>
              <c:pt idx="0">
                <c:v>0</c:v>
              </c:pt>
            </c:numLit>
          </c:xVal>
          <c:yVal>
            <c:numRef>
              <c:f>'BPK-Grafiek'!$N$54</c:f>
              <c:numCache>
                <c:formatCode>_("$"* #.##000_);_("$"* \(#.##000\);_("$"* "-"??_);_(@_)</c:formatCode>
                <c:ptCount val="1"/>
                <c:pt idx="0">
                  <c:v>-100000</c:v>
                </c:pt>
              </c:numCache>
            </c:numRef>
          </c:yVal>
          <c:smooth val="0"/>
          <c:extLst>
            <c:ext xmlns:c15="http://schemas.microsoft.com/office/drawing/2012/chart" uri="{02D57815-91ED-43cb-92C2-25804820EDAC}">
              <c15:datalabelsRange>
                <c15:f>'HULP-velden'!$G$16</c15:f>
                <c15:dlblRangeCache>
                  <c:ptCount val="1"/>
                  <c:pt idx="0">
                    <c:v>Plafondprijs; -€ 100</c:v>
                  </c:pt>
                </c15:dlblRangeCache>
              </c15:datalabelsRange>
            </c:ext>
            <c:ext xmlns:c16="http://schemas.microsoft.com/office/drawing/2014/chart" uri="{C3380CC4-5D6E-409C-BE32-E72D297353CC}">
              <c16:uniqueId val="{000000E7-E318-47D7-96DC-99EF817BC194}"/>
            </c:ext>
          </c:extLst>
        </c:ser>
        <c:ser>
          <c:idx val="22"/>
          <c:order val="19"/>
          <c:tx>
            <c:v>Bovengrens</c:v>
          </c:tx>
          <c:spPr>
            <a:ln>
              <a:solidFill>
                <a:schemeClr val="tx1"/>
              </a:solidFill>
              <a:prstDash val="sysDash"/>
            </a:ln>
          </c:spPr>
          <c:marker>
            <c:symbol val="none"/>
          </c:marker>
          <c:dLbls>
            <c:dLbl>
              <c:idx val="0"/>
              <c:layout>
                <c:manualLayout>
                  <c:x val="7.0000000000000001E-3"/>
                  <c:y val="-2.8080970483393849E-2"/>
                </c:manualLayout>
              </c:layout>
              <c:numFmt formatCode="&quot;€&quot;\ #,##0" sourceLinked="0"/>
              <c:spPr>
                <a:noFill/>
                <a:ln>
                  <a:noFill/>
                </a:ln>
                <a:effectLst/>
              </c:spPr>
              <c:txPr>
                <a:bodyPr wrap="square" lIns="38100" tIns="19050" rIns="38100" bIns="19050" anchor="ctr" anchorCtr="0">
                  <a:spAutoFit/>
                </a:bodyPr>
                <a:lstStyle/>
                <a:p>
                  <a:pPr algn="l">
                    <a:defRPr b="0"/>
                  </a:pPr>
                  <a:endParaRPr lang="nl-NL"/>
                </a:p>
              </c:txPr>
              <c:showLegendKey val="0"/>
              <c:showVal val="1"/>
              <c:showCatName val="0"/>
              <c:showSerName val="1"/>
              <c:showPercent val="0"/>
              <c:showBubbleSize val="0"/>
              <c:extLst>
                <c:ext xmlns:c15="http://schemas.microsoft.com/office/drawing/2012/chart" uri="{CE6537A1-D6FC-4f65-9D91-7224C49458BB}">
                  <c15:layout>
                    <c:manualLayout>
                      <c:w val="0.3349299212598425"/>
                      <c:h val="5.4978528639273244E-2"/>
                    </c:manualLayout>
                  </c15:layout>
                </c:ext>
                <c:ext xmlns:c16="http://schemas.microsoft.com/office/drawing/2014/chart" uri="{C3380CC4-5D6E-409C-BE32-E72D297353CC}">
                  <c16:uniqueId val="{000000E8-E318-47D7-96DC-99EF817BC194}"/>
                </c:ext>
              </c:extLst>
            </c:dLbl>
            <c:dLbl>
              <c:idx val="1"/>
              <c:delete val="1"/>
              <c:extLst>
                <c:ext xmlns:c15="http://schemas.microsoft.com/office/drawing/2012/chart" uri="{CE6537A1-D6FC-4f65-9D91-7224C49458BB}"/>
                <c:ext xmlns:c16="http://schemas.microsoft.com/office/drawing/2014/chart" uri="{C3380CC4-5D6E-409C-BE32-E72D297353CC}">
                  <c16:uniqueId val="{000000E9-E318-47D7-96DC-99EF817BC194}"/>
                </c:ext>
              </c:extLst>
            </c:dLbl>
            <c:numFmt formatCode="&quot;€&quot;\ #,##0" sourceLinked="0"/>
            <c:spPr>
              <a:noFill/>
              <a:ln>
                <a:noFill/>
              </a:ln>
              <a:effectLst/>
            </c:spPr>
            <c:txPr>
              <a:bodyPr wrap="square" lIns="38100" tIns="19050" rIns="38100" bIns="19050" anchor="ctr">
                <a:spAutoFit/>
              </a:bodyPr>
              <a:lstStyle/>
              <a:p>
                <a:pPr>
                  <a:defRPr b="1"/>
                </a:pPr>
                <a:endParaRPr lang="nl-NL"/>
              </a:p>
            </c:txPr>
            <c:showLegendKey val="0"/>
            <c:showVal val="1"/>
            <c:showCatName val="0"/>
            <c:showSerName val="1"/>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'BPK-Grafiek'!$N$21:$O$21</c:f>
              <c:numCache>
                <c:formatCode>_("$"* #.##000_);_("$"* \(#.##000\);_("$"* "-"??_);_(@_)</c:formatCode>
                <c:ptCount val="2"/>
                <c:pt idx="0">
                  <c:v>500000</c:v>
                </c:pt>
                <c:pt idx="1">
                  <c:v>500000</c:v>
                </c:pt>
              </c:numCache>
            </c:numRef>
          </c:yVal>
          <c:smooth val="0"/>
          <c:extLst>
            <c:ext xmlns:c16="http://schemas.microsoft.com/office/drawing/2014/chart" uri="{C3380CC4-5D6E-409C-BE32-E72D297353CC}">
              <c16:uniqueId val="{000000EA-E318-47D7-96DC-99EF817BC194}"/>
            </c:ext>
          </c:extLst>
        </c:ser>
        <c:ser>
          <c:idx val="12"/>
          <c:order val="20"/>
          <c:tx>
            <c:v>Ondergrens</c:v>
          </c:tx>
          <c:spPr>
            <a:ln>
              <a:solidFill>
                <a:schemeClr val="tx1"/>
              </a:solidFill>
              <a:prstDash val="sysDash"/>
            </a:ln>
          </c:spPr>
          <c:marker>
            <c:symbol val="none"/>
          </c:marker>
          <c:dLbls>
            <c:dLbl>
              <c:idx val="0"/>
              <c:layout>
                <c:manualLayout>
                  <c:x val="3.9999999999999819E-3"/>
                  <c:y val="2.8093391706460507E-2"/>
                </c:manualLayout>
              </c:layout>
              <c:numFmt formatCode="&quot;€&quot;\ #,##0" sourceLinked="0"/>
              <c:spPr>
                <a:noFill/>
                <a:ln>
                  <a:noFill/>
                </a:ln>
                <a:effectLst/>
              </c:spPr>
              <c:txPr>
                <a:bodyPr wrap="square" lIns="38100" tIns="19050" rIns="38100" bIns="19050" anchor="ctr" anchorCtr="0">
                  <a:spAutoFit/>
                </a:bodyPr>
                <a:lstStyle/>
                <a:p>
                  <a:pPr algn="l">
                    <a:defRPr b="0"/>
                  </a:pPr>
                  <a:endParaRPr lang="nl-NL"/>
                </a:p>
              </c:txPr>
              <c:showLegendKey val="0"/>
              <c:showVal val="1"/>
              <c:showCatName val="0"/>
              <c:showSerName val="1"/>
              <c:showPercent val="0"/>
              <c:showBubbleSize val="0"/>
              <c:extLst>
                <c:ext xmlns:c15="http://schemas.microsoft.com/office/drawing/2012/chart" uri="{CE6537A1-D6FC-4f65-9D91-7224C49458BB}">
                  <c15:layout>
                    <c:manualLayout>
                      <c:w val="0.36119007874015746"/>
                      <c:h val="5.4978528639273244E-2"/>
                    </c:manualLayout>
                  </c15:layout>
                </c:ext>
                <c:ext xmlns:c16="http://schemas.microsoft.com/office/drawing/2014/chart" uri="{C3380CC4-5D6E-409C-BE32-E72D297353CC}">
                  <c16:uniqueId val="{000000EB-E318-47D7-96DC-99EF817BC194}"/>
                </c:ext>
              </c:extLst>
            </c:dLbl>
            <c:dLbl>
              <c:idx val="1"/>
              <c:delete val="1"/>
              <c:extLst>
                <c:ext xmlns:c15="http://schemas.microsoft.com/office/drawing/2012/chart" uri="{CE6537A1-D6FC-4f65-9D91-7224C49458BB}"/>
                <c:ext xmlns:c16="http://schemas.microsoft.com/office/drawing/2014/chart" uri="{C3380CC4-5D6E-409C-BE32-E72D297353CC}">
                  <c16:uniqueId val="{000000EC-E318-47D7-96DC-99EF817BC194}"/>
                </c:ext>
              </c:extLst>
            </c:dLbl>
            <c:spPr>
              <a:noFill/>
              <a:ln>
                <a:noFill/>
              </a:ln>
              <a:effectLst/>
            </c:spPr>
            <c:txPr>
              <a:bodyPr wrap="square" lIns="38100" tIns="19050" rIns="38100" bIns="19050" anchor="ctr">
                <a:spAutoFit/>
              </a:bodyPr>
              <a:lstStyle/>
              <a:p>
                <a:pPr>
                  <a:defRPr b="0"/>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'BPK-Grafiek'!$N$20:$O$20</c:f>
              <c:numCache>
                <c:formatCode>_("$"* #.##000_);_("$"* \(#.##000\);_("$"* "-"??_);_(@_)</c:formatCode>
                <c:ptCount val="2"/>
                <c:pt idx="0">
                  <c:v>300000</c:v>
                </c:pt>
                <c:pt idx="1">
                  <c:v>300000</c:v>
                </c:pt>
              </c:numCache>
            </c:numRef>
          </c:yVal>
          <c:smooth val="0"/>
          <c:extLst>
            <c:ext xmlns:c16="http://schemas.microsoft.com/office/drawing/2014/chart" uri="{C3380CC4-5D6E-409C-BE32-E72D297353CC}">
              <c16:uniqueId val="{000000ED-E318-47D7-96DC-99EF817BC194}"/>
            </c:ext>
          </c:extLst>
        </c:ser>
        <c:ser>
          <c:idx val="17"/>
          <c:order val="21"/>
          <c:tx>
            <c:strRef>
              <c:f>'HULP-velden'!$BO$2</c:f>
              <c:strCache>
                <c:ptCount val="1"/>
                <c:pt idx="0">
                  <c:v>1</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'HULP-velden'!$BQ$2</c:f>
            </c:numRef>
          </c:xVal>
          <c:yVal>
            <c:numRef>
              <c:f>'HULP-velden'!$BP$2</c:f>
            </c:numRef>
          </c:yVal>
          <c:smooth val="0"/>
          <c:extLst>
            <c:ext xmlns:c16="http://schemas.microsoft.com/office/drawing/2014/chart" uri="{C3380CC4-5D6E-409C-BE32-E72D297353CC}">
              <c16:uniqueId val="{000000EE-E318-47D7-96DC-99EF817BC194}"/>
            </c:ext>
          </c:extLst>
        </c:ser>
        <c:ser>
          <c:idx val="21"/>
          <c:order val="22"/>
          <c:tx>
            <c:strRef>
              <c:f>'HULP-velden'!$BO$3</c:f>
              <c:strCache>
                <c:ptCount val="1"/>
                <c:pt idx="0">
                  <c:v>2</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'HULP-velden'!$BQ$3</c:f>
            </c:numRef>
          </c:xVal>
          <c:yVal>
            <c:numRef>
              <c:f>'HULP-velden'!$BP$3</c:f>
            </c:numRef>
          </c:yVal>
          <c:smooth val="0"/>
          <c:extLst>
            <c:ext xmlns:c16="http://schemas.microsoft.com/office/drawing/2014/chart" uri="{C3380CC4-5D6E-409C-BE32-E72D297353CC}">
              <c16:uniqueId val="{000000EF-E318-47D7-96DC-99EF817BC194}"/>
            </c:ext>
          </c:extLst>
        </c:ser>
        <c:ser>
          <c:idx val="23"/>
          <c:order val="23"/>
          <c:tx>
            <c:strRef>
              <c:f>'HULP-velden'!$BO$4</c:f>
              <c:strCache>
                <c:ptCount val="1"/>
                <c:pt idx="0">
                  <c:v>3</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'HULP-velden'!$BQ$4</c:f>
            </c:numRef>
          </c:xVal>
          <c:yVal>
            <c:numRef>
              <c:f>'HULP-velden'!$BP$4</c:f>
            </c:numRef>
          </c:yVal>
          <c:smooth val="0"/>
          <c:extLst>
            <c:ext xmlns:c16="http://schemas.microsoft.com/office/drawing/2014/chart" uri="{C3380CC4-5D6E-409C-BE32-E72D297353CC}">
              <c16:uniqueId val="{000000F0-E318-47D7-96DC-99EF817BC194}"/>
            </c:ext>
          </c:extLst>
        </c:ser>
        <c:ser>
          <c:idx val="24"/>
          <c:order val="24"/>
          <c:tx>
            <c:strRef>
              <c:f>'HULP-velden'!$BO$5</c:f>
              <c:strCache>
                <c:ptCount val="1"/>
                <c:pt idx="0">
                  <c:v>4</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'HULP-velden'!$BQ$5</c:f>
            </c:numRef>
          </c:xVal>
          <c:yVal>
            <c:numRef>
              <c:f>'HULP-velden'!$BP$5</c:f>
            </c:numRef>
          </c:yVal>
          <c:smooth val="0"/>
          <c:extLst>
            <c:ext xmlns:c16="http://schemas.microsoft.com/office/drawing/2014/chart" uri="{C3380CC4-5D6E-409C-BE32-E72D297353CC}">
              <c16:uniqueId val="{000000F1-E318-47D7-96DC-99EF817BC194}"/>
            </c:ext>
          </c:extLst>
        </c:ser>
        <c:ser>
          <c:idx val="25"/>
          <c:order val="25"/>
          <c:tx>
            <c:strRef>
              <c:f>'HULP-velden'!$BO$6</c:f>
              <c:strCache>
                <c:ptCount val="1"/>
                <c:pt idx="0">
                  <c:v>5</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'HULP-velden'!$BQ$6</c:f>
            </c:numRef>
          </c:xVal>
          <c:yVal>
            <c:numRef>
              <c:f>'HULP-velden'!$BP$6</c:f>
            </c:numRef>
          </c:yVal>
          <c:smooth val="0"/>
          <c:extLst>
            <c:ext xmlns:c16="http://schemas.microsoft.com/office/drawing/2014/chart" uri="{C3380CC4-5D6E-409C-BE32-E72D297353CC}">
              <c16:uniqueId val="{000000F2-E318-47D7-96DC-99EF817BC194}"/>
            </c:ext>
          </c:extLst>
        </c:ser>
        <c:ser>
          <c:idx val="26"/>
          <c:order val="26"/>
          <c:tx>
            <c:strRef>
              <c:f>'HULP-velden'!$BO$7</c:f>
              <c:strCache>
                <c:ptCount val="1"/>
                <c:pt idx="0">
                  <c:v>6</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'HULP-velden'!$BQ$7</c:f>
            </c:numRef>
          </c:xVal>
          <c:yVal>
            <c:numRef>
              <c:f>'HULP-velden'!$BP$7</c:f>
            </c:numRef>
          </c:yVal>
          <c:smooth val="0"/>
          <c:extLst>
            <c:ext xmlns:c16="http://schemas.microsoft.com/office/drawing/2014/chart" uri="{C3380CC4-5D6E-409C-BE32-E72D297353CC}">
              <c16:uniqueId val="{000000F3-E318-47D7-96DC-99EF817BC194}"/>
            </c:ext>
          </c:extLst>
        </c:ser>
        <c:ser>
          <c:idx val="27"/>
          <c:order val="27"/>
          <c:tx>
            <c:strRef>
              <c:f>'HULP-velden'!$BO$8</c:f>
              <c:strCache>
                <c:ptCount val="1"/>
                <c:pt idx="0">
                  <c:v>7</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'HULP-velden'!$BQ$8</c:f>
            </c:numRef>
          </c:xVal>
          <c:yVal>
            <c:numRef>
              <c:f>'HULP-velden'!$BP$8</c:f>
            </c:numRef>
          </c:yVal>
          <c:smooth val="0"/>
          <c:extLst>
            <c:ext xmlns:c16="http://schemas.microsoft.com/office/drawing/2014/chart" uri="{C3380CC4-5D6E-409C-BE32-E72D297353CC}">
              <c16:uniqueId val="{000000F4-E318-47D7-96DC-99EF817BC194}"/>
            </c:ext>
          </c:extLst>
        </c:ser>
        <c:ser>
          <c:idx val="28"/>
          <c:order val="28"/>
          <c:tx>
            <c:strRef>
              <c:f>'HULP-velden'!$BO$9</c:f>
              <c:strCache>
                <c:ptCount val="1"/>
                <c:pt idx="0">
                  <c:v>8</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'HULP-velden'!$BQ$9</c:f>
            </c:numRef>
          </c:xVal>
          <c:yVal>
            <c:numRef>
              <c:f>'HULP-velden'!$BP$9</c:f>
            </c:numRef>
          </c:yVal>
          <c:smooth val="0"/>
          <c:extLst>
            <c:ext xmlns:c16="http://schemas.microsoft.com/office/drawing/2014/chart" uri="{C3380CC4-5D6E-409C-BE32-E72D297353CC}">
              <c16:uniqueId val="{000000F5-E318-47D7-96DC-99EF817BC194}"/>
            </c:ext>
          </c:extLst>
        </c:ser>
        <c:ser>
          <c:idx val="29"/>
          <c:order val="29"/>
          <c:tx>
            <c:strRef>
              <c:f>'HULP-velden'!$BO$10</c:f>
              <c:strCache>
                <c:ptCount val="1"/>
                <c:pt idx="0">
                  <c:v>9</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'HULP-velden'!$BQ$10</c:f>
            </c:numRef>
          </c:xVal>
          <c:yVal>
            <c:numRef>
              <c:f>'HULP-velden'!$BP$10</c:f>
            </c:numRef>
          </c:yVal>
          <c:smooth val="0"/>
          <c:extLst>
            <c:ext xmlns:c16="http://schemas.microsoft.com/office/drawing/2014/chart" uri="{C3380CC4-5D6E-409C-BE32-E72D297353CC}">
              <c16:uniqueId val="{000000F6-E318-47D7-96DC-99EF817BC194}"/>
            </c:ext>
          </c:extLst>
        </c:ser>
        <c:ser>
          <c:idx val="30"/>
          <c:order val="30"/>
          <c:tx>
            <c:strRef>
              <c:f>'HULP-velden'!$BO$11</c:f>
              <c:strCache>
                <c:ptCount val="1"/>
                <c:pt idx="0">
                  <c:v>10</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'HULP-velden'!$BQ$11</c:f>
            </c:numRef>
          </c:xVal>
          <c:yVal>
            <c:numRef>
              <c:f>'HULP-velden'!$BP$11</c:f>
            </c:numRef>
          </c:yVal>
          <c:smooth val="0"/>
          <c:extLst>
            <c:ext xmlns:c16="http://schemas.microsoft.com/office/drawing/2014/chart" uri="{C3380CC4-5D6E-409C-BE32-E72D297353CC}">
              <c16:uniqueId val="{000000F7-E318-47D7-96DC-99EF817BC194}"/>
            </c:ext>
          </c:extLst>
        </c:ser>
        <c:ser>
          <c:idx val="31"/>
          <c:order val="31"/>
          <c:tx>
            <c:strRef>
              <c:f>'HULP-velden'!$BO$12</c:f>
              <c:strCache>
                <c:ptCount val="1"/>
                <c:pt idx="0">
                  <c:v>11</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'HULP-velden'!$BQ$12</c:f>
            </c:numRef>
          </c:xVal>
          <c:yVal>
            <c:numRef>
              <c:f>'HULP-velden'!$BP$12</c:f>
            </c:numRef>
          </c:yVal>
          <c:smooth val="0"/>
          <c:extLst>
            <c:ext xmlns:c16="http://schemas.microsoft.com/office/drawing/2014/chart" uri="{C3380CC4-5D6E-409C-BE32-E72D297353CC}">
              <c16:uniqueId val="{000000F8-E318-47D7-96DC-99EF817BC194}"/>
            </c:ext>
          </c:extLst>
        </c:ser>
        <c:ser>
          <c:idx val="32"/>
          <c:order val="32"/>
          <c:tx>
            <c:strRef>
              <c:f>'HULP-velden'!$BO$13</c:f>
              <c:strCache>
                <c:ptCount val="1"/>
                <c:pt idx="0">
                  <c:v>12</c:v>
                </c:pt>
              </c:strCache>
            </c:strRef>
          </c:tx>
          <c:marker>
            <c:symbol val="none"/>
          </c:marker>
          <c:dLbls>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'HULP-velden'!$BQ$13</c:f>
            </c:numRef>
          </c:xVal>
          <c:yVal>
            <c:numRef>
              <c:f>'HULP-velden'!$BP$13</c:f>
            </c:numRef>
          </c:yVal>
          <c:smooth val="0"/>
          <c:extLst>
            <c:ext xmlns:c16="http://schemas.microsoft.com/office/drawing/2014/chart" uri="{C3380CC4-5D6E-409C-BE32-E72D297353CC}">
              <c16:uniqueId val="{000000F9-E318-47D7-96DC-99EF817BC194}"/>
            </c:ext>
          </c:extLst>
        </c:ser>
        <c:ser>
          <c:idx val="6"/>
          <c:order val="33"/>
          <c:tx>
            <c:v>Vergelijkingswaarde x 1.000</c:v>
          </c:tx>
          <c:marker>
            <c:symbol val="none"/>
          </c:marker>
          <c:dLbls>
            <c:dLbl>
              <c:idx val="0"/>
              <c:tx>
                <c:rich>
                  <a:bodyPr wrap="square" lIns="38100" tIns="19050" rIns="38100" bIns="19050" anchor="ctr" anchorCtr="0">
                    <a:spAutoFit/>
                  </a:bodyPr>
                  <a:lstStyle/>
                  <a:p>
                    <a:pPr algn="l">
                      <a:defRPr b="1"/>
                    </a:pPr>
                    <a:fld id="{C025809D-CF2D-4782-B87B-FB4B740C4D8D}" type="SERIESNAME">
                      <a:rPr lang="en-US" sz="1100" b="1"/>
                      <a:pPr algn="l">
                        <a:defRPr b="1"/>
                      </a:pPr>
                      <a:t>[REEKSNAAM]</a:t>
                    </a:fld>
                    <a:endParaRPr lang="nl-NL"/>
                  </a:p>
                </c:rich>
              </c:tx>
              <c:spPr>
                <a:noFill/>
                <a:ln>
                  <a:noFill/>
                </a:ln>
                <a:effectLst/>
              </c:spPr>
              <c:showLegendKey val="0"/>
              <c:showVal val="0"/>
              <c:showCatName val="0"/>
              <c:showSerName val="1"/>
              <c:showPercent val="0"/>
              <c:showBubbleSize val="0"/>
              <c:extLst>
                <c:ext xmlns:c15="http://schemas.microsoft.com/office/drawing/2012/chart" uri="{CE6537A1-D6FC-4f65-9D91-7224C49458BB}">
                  <c15:layout>
                    <c:manualLayout>
                      <c:w val="0.37708992125984253"/>
                      <c:h val="5.4978528639273244E-2"/>
                    </c:manualLayout>
                  </c15:layout>
                  <c15:dlblFieldTable/>
                  <c15:showDataLabelsRange val="0"/>
                </c:ext>
                <c:ext xmlns:c16="http://schemas.microsoft.com/office/drawing/2014/chart" uri="{C3380CC4-5D6E-409C-BE32-E72D297353CC}">
                  <c16:uniqueId val="{00000007-E1EA-4BDB-A3C4-EA80EBDDA128}"/>
                </c:ext>
              </c:extLst>
            </c:dLbl>
            <c:spPr>
              <a:noFill/>
              <a:ln>
                <a:noFill/>
              </a:ln>
              <a:effectLst/>
            </c:sp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0</c:v>
              </c:pt>
            </c:numLit>
          </c:xVal>
          <c:yVal>
            <c:numRef>
              <c:f>'HULP-velden'!$D$105</c:f>
              <c:numCache>
                <c:formatCode>_("$"* #.##000_);_("$"* \(#.##000\);_("$"* "-"??_);_(@_)</c:formatCode>
                <c:ptCount val="1"/>
                <c:pt idx="0">
                  <c:v>520000</c:v>
                </c:pt>
              </c:numCache>
            </c:numRef>
          </c:yVal>
          <c:smooth val="0"/>
          <c:extLst>
            <c:ext xmlns:c16="http://schemas.microsoft.com/office/drawing/2014/chart" uri="{C3380CC4-5D6E-409C-BE32-E72D297353CC}">
              <c16:uniqueId val="{00000006-E1EA-4BDB-A3C4-EA80EBDDA128}"/>
            </c:ext>
          </c:extLst>
        </c:ser>
        <c:dLbls>
          <c:showLegendKey val="0"/>
          <c:showVal val="0"/>
          <c:showCatName val="0"/>
          <c:showSerName val="0"/>
          <c:showPercent val="0"/>
          <c:showBubbleSize val="0"/>
        </c:dLbls>
        <c:axId val="622482064"/>
        <c:axId val="622487944"/>
        <c:extLst>
          <c:ext xmlns:c15="http://schemas.microsoft.com/office/drawing/2012/chart" uri="{02D57815-91ED-43cb-92C2-25804820EDAC}">
            <c15:filteredScatterSeries>
              <c15:ser>
                <c:idx val="4"/>
                <c:order val="18"/>
                <c:tx>
                  <c:v>Uw Inschrijving</c:v>
                </c:tx>
                <c:marker>
                  <c:symbol val="none"/>
                </c:marker>
                <c:dLbls>
                  <c:dLbl>
                    <c:idx val="0"/>
                    <c:layout>
                      <c:manualLayout>
                        <c:x val="-2.4E-2"/>
                        <c:y val="4.1999999999999926E-2"/>
                      </c:manualLayout>
                    </c:layout>
                    <c:showLegendKey val="0"/>
                    <c:showVal val="0"/>
                    <c:showCatName val="0"/>
                    <c:showSerName val="1"/>
                    <c:showPercent val="0"/>
                    <c:showBubbleSize val="0"/>
                    <c:extLst>
                      <c:ext uri="{CE6537A1-D6FC-4f65-9D91-7224C49458BB}"/>
                      <c:ext xmlns:c16="http://schemas.microsoft.com/office/drawing/2014/chart" uri="{C3380CC4-5D6E-409C-BE32-E72D297353CC}">
                        <c16:uniqueId val="{000000FA-E318-47D7-96DC-99EF817BC194}"/>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c:ext uri="{CE6537A1-D6FC-4f65-9D91-7224C49458BB}">
                      <c15:showLeaderLines val="1"/>
                    </c:ext>
                  </c:extLst>
                </c:dLbls>
                <c:xVal>
                  <c:numRef>
                    <c:extLst>
                      <c:ext uri="{02D57815-91ED-43cb-92C2-25804820EDAC}">
                        <c15:formulaRef>
                          <c15:sqref>'BPK-Grafiek'!$R$2</c15:sqref>
                        </c15:formulaRef>
                      </c:ext>
                    </c:extLst>
                    <c:numCache>
                      <c:formatCode>#,##0.00</c:formatCode>
                      <c:ptCount val="1"/>
                      <c:pt idx="0">
                        <c:v>1250</c:v>
                      </c:pt>
                    </c:numCache>
                  </c:numRef>
                </c:xVal>
                <c:yVal>
                  <c:numRef>
                    <c:extLst>
                      <c:ext uri="{02D57815-91ED-43cb-92C2-25804820EDAC}">
                        <c15:formulaRef>
                          <c15:sqref>'BPK-Grafiek'!$N$2</c15:sqref>
                        </c15:formulaRef>
                      </c:ext>
                    </c:extLst>
                    <c:numCache>
                      <c:formatCode>_("$"* #.##000_);_("$"* \(#.##000\);_("$"* "-"??_);_(@_)</c:formatCode>
                      <c:ptCount val="1"/>
                      <c:pt idx="0">
                        <c:v>0</c:v>
                      </c:pt>
                    </c:numCache>
                  </c:numRef>
                </c:yVal>
                <c:smooth val="0"/>
                <c:extLst>
                  <c:ext xmlns:c16="http://schemas.microsoft.com/office/drawing/2014/chart" uri="{C3380CC4-5D6E-409C-BE32-E72D297353CC}">
                    <c16:uniqueId val="{000000FB-E318-47D7-96DC-99EF817BC194}"/>
                  </c:ext>
                </c:extLst>
              </c15:ser>
            </c15:filteredScatterSeries>
          </c:ext>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10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1000"/>
            </a:pPr>
            <a:endParaRPr lang="nl-NL"/>
          </a:p>
        </c:txPr>
        <c:crossAx val="622482064"/>
        <c:crosses val="autoZero"/>
        <c:crossBetween val="midCat"/>
        <c:majorUnit val="20000"/>
        <c:dispUnits>
          <c:builtInUnit val="thousands"/>
        </c:dispUnits>
      </c:valAx>
      <c:spPr>
        <a:noFill/>
        <a:ln>
          <a:noFill/>
        </a:ln>
      </c:spPr>
    </c:plotArea>
    <c:plotVisOnly val="1"/>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416541333729319E-2"/>
          <c:y val="1.2137020449333789E-2"/>
          <c:w val="0.87516823693050805"/>
          <c:h val="0.92809462935827203"/>
        </c:manualLayout>
      </c:layout>
      <c:scatterChart>
        <c:scatterStyle val="lineMarker"/>
        <c:varyColors val="0"/>
        <c:ser>
          <c:idx val="0"/>
          <c:order val="0"/>
          <c:tx>
            <c:strRef>
              <c:f>'HULP-velden'!$E$200</c:f>
              <c:strCache>
                <c:ptCount val="1"/>
                <c:pt idx="0">
                  <c:v>   </c:v>
                </c:pt>
              </c:strCache>
            </c:strRef>
          </c:tx>
          <c:spPr>
            <a:ln w="38100" cap="rnd">
              <a:solidFill>
                <a:schemeClr val="accent2"/>
              </a:solidFill>
              <a:round/>
            </a:ln>
            <a:effectLst/>
          </c:spPr>
          <c:marker>
            <c:symbol val="none"/>
          </c:marker>
          <c:xVal>
            <c:numRef>
              <c:f>'HULP-velden'!$D$201:$D$301</c:f>
              <c:numCache>
                <c:formatCode>"€"\ #,##0</c:formatCode>
                <c:ptCount val="101"/>
                <c:pt idx="0">
                  <c:v>300000</c:v>
                </c:pt>
                <c:pt idx="1">
                  <c:v>302000</c:v>
                </c:pt>
                <c:pt idx="2">
                  <c:v>304000</c:v>
                </c:pt>
                <c:pt idx="3">
                  <c:v>306000</c:v>
                </c:pt>
                <c:pt idx="4">
                  <c:v>308000</c:v>
                </c:pt>
                <c:pt idx="5">
                  <c:v>310000</c:v>
                </c:pt>
                <c:pt idx="6">
                  <c:v>312000</c:v>
                </c:pt>
                <c:pt idx="7">
                  <c:v>314000</c:v>
                </c:pt>
                <c:pt idx="8">
                  <c:v>316000</c:v>
                </c:pt>
                <c:pt idx="9">
                  <c:v>318000</c:v>
                </c:pt>
                <c:pt idx="10">
                  <c:v>320000</c:v>
                </c:pt>
                <c:pt idx="11">
                  <c:v>322000</c:v>
                </c:pt>
                <c:pt idx="12">
                  <c:v>324000</c:v>
                </c:pt>
                <c:pt idx="13">
                  <c:v>326000</c:v>
                </c:pt>
                <c:pt idx="14">
                  <c:v>328000</c:v>
                </c:pt>
                <c:pt idx="15">
                  <c:v>330000</c:v>
                </c:pt>
                <c:pt idx="16">
                  <c:v>332000</c:v>
                </c:pt>
                <c:pt idx="17">
                  <c:v>334000</c:v>
                </c:pt>
                <c:pt idx="18">
                  <c:v>336000</c:v>
                </c:pt>
                <c:pt idx="19">
                  <c:v>338000</c:v>
                </c:pt>
                <c:pt idx="20">
                  <c:v>340000</c:v>
                </c:pt>
                <c:pt idx="21">
                  <c:v>342000</c:v>
                </c:pt>
                <c:pt idx="22">
                  <c:v>344000</c:v>
                </c:pt>
                <c:pt idx="23">
                  <c:v>346000</c:v>
                </c:pt>
                <c:pt idx="24">
                  <c:v>348000</c:v>
                </c:pt>
                <c:pt idx="25">
                  <c:v>350000</c:v>
                </c:pt>
                <c:pt idx="26">
                  <c:v>352000</c:v>
                </c:pt>
                <c:pt idx="27">
                  <c:v>354000</c:v>
                </c:pt>
                <c:pt idx="28">
                  <c:v>356000</c:v>
                </c:pt>
                <c:pt idx="29">
                  <c:v>358000</c:v>
                </c:pt>
                <c:pt idx="30">
                  <c:v>360000</c:v>
                </c:pt>
                <c:pt idx="31">
                  <c:v>362000</c:v>
                </c:pt>
                <c:pt idx="32">
                  <c:v>364000</c:v>
                </c:pt>
                <c:pt idx="33">
                  <c:v>366000</c:v>
                </c:pt>
                <c:pt idx="34">
                  <c:v>368000</c:v>
                </c:pt>
                <c:pt idx="35">
                  <c:v>370000</c:v>
                </c:pt>
                <c:pt idx="36">
                  <c:v>372000</c:v>
                </c:pt>
                <c:pt idx="37">
                  <c:v>374000</c:v>
                </c:pt>
                <c:pt idx="38">
                  <c:v>376000</c:v>
                </c:pt>
                <c:pt idx="39">
                  <c:v>378000</c:v>
                </c:pt>
                <c:pt idx="40">
                  <c:v>380000</c:v>
                </c:pt>
                <c:pt idx="41">
                  <c:v>382000</c:v>
                </c:pt>
                <c:pt idx="42">
                  <c:v>384000</c:v>
                </c:pt>
                <c:pt idx="43">
                  <c:v>386000</c:v>
                </c:pt>
                <c:pt idx="44">
                  <c:v>388000</c:v>
                </c:pt>
                <c:pt idx="45">
                  <c:v>390000</c:v>
                </c:pt>
                <c:pt idx="46">
                  <c:v>392000</c:v>
                </c:pt>
                <c:pt idx="47">
                  <c:v>394000</c:v>
                </c:pt>
                <c:pt idx="48">
                  <c:v>396000</c:v>
                </c:pt>
                <c:pt idx="49">
                  <c:v>398000</c:v>
                </c:pt>
                <c:pt idx="50">
                  <c:v>400000</c:v>
                </c:pt>
                <c:pt idx="51">
                  <c:v>402000</c:v>
                </c:pt>
                <c:pt idx="52">
                  <c:v>404000</c:v>
                </c:pt>
                <c:pt idx="53">
                  <c:v>406000</c:v>
                </c:pt>
                <c:pt idx="54">
                  <c:v>408000</c:v>
                </c:pt>
                <c:pt idx="55">
                  <c:v>410000</c:v>
                </c:pt>
                <c:pt idx="56">
                  <c:v>412000</c:v>
                </c:pt>
                <c:pt idx="57">
                  <c:v>414000</c:v>
                </c:pt>
                <c:pt idx="58">
                  <c:v>416000</c:v>
                </c:pt>
                <c:pt idx="59">
                  <c:v>418000</c:v>
                </c:pt>
                <c:pt idx="60">
                  <c:v>420000</c:v>
                </c:pt>
                <c:pt idx="61">
                  <c:v>422000</c:v>
                </c:pt>
                <c:pt idx="62">
                  <c:v>424000</c:v>
                </c:pt>
                <c:pt idx="63">
                  <c:v>426000</c:v>
                </c:pt>
                <c:pt idx="64">
                  <c:v>428000</c:v>
                </c:pt>
                <c:pt idx="65">
                  <c:v>430000</c:v>
                </c:pt>
                <c:pt idx="66">
                  <c:v>432000</c:v>
                </c:pt>
                <c:pt idx="67">
                  <c:v>434000</c:v>
                </c:pt>
                <c:pt idx="68">
                  <c:v>436000</c:v>
                </c:pt>
                <c:pt idx="69">
                  <c:v>438000</c:v>
                </c:pt>
                <c:pt idx="70">
                  <c:v>440000</c:v>
                </c:pt>
                <c:pt idx="71">
                  <c:v>442000</c:v>
                </c:pt>
                <c:pt idx="72">
                  <c:v>444000</c:v>
                </c:pt>
                <c:pt idx="73">
                  <c:v>446000</c:v>
                </c:pt>
                <c:pt idx="74">
                  <c:v>448000</c:v>
                </c:pt>
                <c:pt idx="75">
                  <c:v>450000</c:v>
                </c:pt>
                <c:pt idx="76">
                  <c:v>452000</c:v>
                </c:pt>
                <c:pt idx="77">
                  <c:v>454000</c:v>
                </c:pt>
                <c:pt idx="78">
                  <c:v>456000</c:v>
                </c:pt>
                <c:pt idx="79">
                  <c:v>458000</c:v>
                </c:pt>
                <c:pt idx="80">
                  <c:v>460000</c:v>
                </c:pt>
                <c:pt idx="81">
                  <c:v>462000</c:v>
                </c:pt>
                <c:pt idx="82">
                  <c:v>464000</c:v>
                </c:pt>
                <c:pt idx="83">
                  <c:v>466000</c:v>
                </c:pt>
                <c:pt idx="84">
                  <c:v>468000</c:v>
                </c:pt>
                <c:pt idx="85">
                  <c:v>470000</c:v>
                </c:pt>
                <c:pt idx="86">
                  <c:v>472000</c:v>
                </c:pt>
                <c:pt idx="87">
                  <c:v>474000</c:v>
                </c:pt>
                <c:pt idx="88">
                  <c:v>476000</c:v>
                </c:pt>
                <c:pt idx="89">
                  <c:v>478000</c:v>
                </c:pt>
                <c:pt idx="90">
                  <c:v>480000</c:v>
                </c:pt>
                <c:pt idx="91">
                  <c:v>482000</c:v>
                </c:pt>
                <c:pt idx="92">
                  <c:v>484000</c:v>
                </c:pt>
                <c:pt idx="93">
                  <c:v>486000</c:v>
                </c:pt>
                <c:pt idx="94">
                  <c:v>488000</c:v>
                </c:pt>
                <c:pt idx="95">
                  <c:v>490000</c:v>
                </c:pt>
                <c:pt idx="96">
                  <c:v>492000</c:v>
                </c:pt>
                <c:pt idx="97">
                  <c:v>494000</c:v>
                </c:pt>
                <c:pt idx="98">
                  <c:v>496000</c:v>
                </c:pt>
                <c:pt idx="99">
                  <c:v>498000</c:v>
                </c:pt>
                <c:pt idx="100">
                  <c:v>500000</c:v>
                </c:pt>
              </c:numCache>
            </c:numRef>
          </c:xVal>
          <c:yVal>
            <c:numRef>
              <c:f>'HULP-velden'!$E$201:$E$301</c:f>
              <c:numCache>
                <c:formatCode>_ * #,##0_ ;_ * \-#,##0_ ;_ * "-"??_ ;_ @_ </c:formatCode>
                <c:ptCount val="101"/>
                <c:pt idx="0">
                  <c:v>500</c:v>
                </c:pt>
                <c:pt idx="1">
                  <c:v>495</c:v>
                </c:pt>
                <c:pt idx="2">
                  <c:v>490</c:v>
                </c:pt>
                <c:pt idx="3">
                  <c:v>485</c:v>
                </c:pt>
                <c:pt idx="4">
                  <c:v>480</c:v>
                </c:pt>
                <c:pt idx="5">
                  <c:v>475</c:v>
                </c:pt>
                <c:pt idx="6">
                  <c:v>470</c:v>
                </c:pt>
                <c:pt idx="7">
                  <c:v>465</c:v>
                </c:pt>
                <c:pt idx="8">
                  <c:v>460</c:v>
                </c:pt>
                <c:pt idx="9">
                  <c:v>455</c:v>
                </c:pt>
                <c:pt idx="10">
                  <c:v>450</c:v>
                </c:pt>
                <c:pt idx="11">
                  <c:v>445</c:v>
                </c:pt>
                <c:pt idx="12">
                  <c:v>440</c:v>
                </c:pt>
                <c:pt idx="13">
                  <c:v>435</c:v>
                </c:pt>
                <c:pt idx="14">
                  <c:v>430</c:v>
                </c:pt>
                <c:pt idx="15">
                  <c:v>425</c:v>
                </c:pt>
                <c:pt idx="16">
                  <c:v>420</c:v>
                </c:pt>
                <c:pt idx="17">
                  <c:v>415</c:v>
                </c:pt>
                <c:pt idx="18">
                  <c:v>410</c:v>
                </c:pt>
                <c:pt idx="19">
                  <c:v>405</c:v>
                </c:pt>
                <c:pt idx="20">
                  <c:v>400</c:v>
                </c:pt>
                <c:pt idx="21">
                  <c:v>395</c:v>
                </c:pt>
                <c:pt idx="22">
                  <c:v>390</c:v>
                </c:pt>
                <c:pt idx="23">
                  <c:v>385</c:v>
                </c:pt>
                <c:pt idx="24">
                  <c:v>380</c:v>
                </c:pt>
                <c:pt idx="25">
                  <c:v>375</c:v>
                </c:pt>
                <c:pt idx="26">
                  <c:v>370</c:v>
                </c:pt>
                <c:pt idx="27">
                  <c:v>365</c:v>
                </c:pt>
                <c:pt idx="28">
                  <c:v>360</c:v>
                </c:pt>
                <c:pt idx="29">
                  <c:v>355</c:v>
                </c:pt>
                <c:pt idx="30">
                  <c:v>350</c:v>
                </c:pt>
                <c:pt idx="31">
                  <c:v>345</c:v>
                </c:pt>
                <c:pt idx="32">
                  <c:v>340</c:v>
                </c:pt>
                <c:pt idx="33">
                  <c:v>335</c:v>
                </c:pt>
                <c:pt idx="34">
                  <c:v>330</c:v>
                </c:pt>
                <c:pt idx="35">
                  <c:v>325</c:v>
                </c:pt>
                <c:pt idx="36">
                  <c:v>320</c:v>
                </c:pt>
                <c:pt idx="37">
                  <c:v>315</c:v>
                </c:pt>
                <c:pt idx="38">
                  <c:v>310</c:v>
                </c:pt>
                <c:pt idx="39">
                  <c:v>305</c:v>
                </c:pt>
                <c:pt idx="40">
                  <c:v>300</c:v>
                </c:pt>
                <c:pt idx="41">
                  <c:v>295</c:v>
                </c:pt>
                <c:pt idx="42">
                  <c:v>290</c:v>
                </c:pt>
                <c:pt idx="43">
                  <c:v>285</c:v>
                </c:pt>
                <c:pt idx="44">
                  <c:v>280</c:v>
                </c:pt>
                <c:pt idx="45">
                  <c:v>275</c:v>
                </c:pt>
                <c:pt idx="46">
                  <c:v>270</c:v>
                </c:pt>
                <c:pt idx="47">
                  <c:v>265</c:v>
                </c:pt>
                <c:pt idx="48">
                  <c:v>260</c:v>
                </c:pt>
                <c:pt idx="49">
                  <c:v>255</c:v>
                </c:pt>
                <c:pt idx="50">
                  <c:v>250</c:v>
                </c:pt>
                <c:pt idx="51">
                  <c:v>245</c:v>
                </c:pt>
                <c:pt idx="52">
                  <c:v>240</c:v>
                </c:pt>
                <c:pt idx="53">
                  <c:v>235</c:v>
                </c:pt>
                <c:pt idx="54">
                  <c:v>230</c:v>
                </c:pt>
                <c:pt idx="55">
                  <c:v>225</c:v>
                </c:pt>
                <c:pt idx="56">
                  <c:v>220</c:v>
                </c:pt>
                <c:pt idx="57">
                  <c:v>215</c:v>
                </c:pt>
                <c:pt idx="58">
                  <c:v>210</c:v>
                </c:pt>
                <c:pt idx="59">
                  <c:v>205</c:v>
                </c:pt>
                <c:pt idx="60">
                  <c:v>200</c:v>
                </c:pt>
                <c:pt idx="61">
                  <c:v>195</c:v>
                </c:pt>
                <c:pt idx="62">
                  <c:v>190</c:v>
                </c:pt>
                <c:pt idx="63">
                  <c:v>185</c:v>
                </c:pt>
                <c:pt idx="64">
                  <c:v>180</c:v>
                </c:pt>
                <c:pt idx="65">
                  <c:v>175</c:v>
                </c:pt>
                <c:pt idx="66">
                  <c:v>170</c:v>
                </c:pt>
                <c:pt idx="67">
                  <c:v>165</c:v>
                </c:pt>
                <c:pt idx="68">
                  <c:v>160</c:v>
                </c:pt>
                <c:pt idx="69">
                  <c:v>155</c:v>
                </c:pt>
                <c:pt idx="70">
                  <c:v>150</c:v>
                </c:pt>
                <c:pt idx="71">
                  <c:v>145</c:v>
                </c:pt>
                <c:pt idx="72">
                  <c:v>140</c:v>
                </c:pt>
                <c:pt idx="73">
                  <c:v>135</c:v>
                </c:pt>
                <c:pt idx="74">
                  <c:v>130</c:v>
                </c:pt>
                <c:pt idx="75">
                  <c:v>125</c:v>
                </c:pt>
                <c:pt idx="76">
                  <c:v>120</c:v>
                </c:pt>
                <c:pt idx="77">
                  <c:v>115</c:v>
                </c:pt>
                <c:pt idx="78">
                  <c:v>110</c:v>
                </c:pt>
                <c:pt idx="79">
                  <c:v>105</c:v>
                </c:pt>
                <c:pt idx="80">
                  <c:v>100</c:v>
                </c:pt>
                <c:pt idx="81">
                  <c:v>95</c:v>
                </c:pt>
                <c:pt idx="82">
                  <c:v>90</c:v>
                </c:pt>
                <c:pt idx="83">
                  <c:v>85</c:v>
                </c:pt>
                <c:pt idx="84">
                  <c:v>80</c:v>
                </c:pt>
                <c:pt idx="85">
                  <c:v>75</c:v>
                </c:pt>
                <c:pt idx="86">
                  <c:v>70</c:v>
                </c:pt>
                <c:pt idx="87">
                  <c:v>65</c:v>
                </c:pt>
                <c:pt idx="88">
                  <c:v>60</c:v>
                </c:pt>
                <c:pt idx="89">
                  <c:v>55</c:v>
                </c:pt>
                <c:pt idx="90">
                  <c:v>50</c:v>
                </c:pt>
                <c:pt idx="91">
                  <c:v>45</c:v>
                </c:pt>
                <c:pt idx="92">
                  <c:v>40</c:v>
                </c:pt>
                <c:pt idx="93">
                  <c:v>35</c:v>
                </c:pt>
                <c:pt idx="94">
                  <c:v>30</c:v>
                </c:pt>
                <c:pt idx="95">
                  <c:v>25</c:v>
                </c:pt>
                <c:pt idx="96">
                  <c:v>20</c:v>
                </c:pt>
                <c:pt idx="97">
                  <c:v>15</c:v>
                </c:pt>
                <c:pt idx="98">
                  <c:v>10</c:v>
                </c:pt>
                <c:pt idx="99">
                  <c:v>5</c:v>
                </c:pt>
                <c:pt idx="100">
                  <c:v>0</c:v>
                </c:pt>
              </c:numCache>
            </c:numRef>
          </c:yVal>
          <c:smooth val="1"/>
          <c:extLst>
            <c:ext xmlns:c16="http://schemas.microsoft.com/office/drawing/2014/chart" uri="{C3380CC4-5D6E-409C-BE32-E72D297353CC}">
              <c16:uniqueId val="{00000000-0AF9-4F18-BE6E-CCB2D49F2CDF}"/>
            </c:ext>
          </c:extLst>
        </c:ser>
        <c:ser>
          <c:idx val="1"/>
          <c:order val="1"/>
          <c:tx>
            <c:v>Voorbeeld Inschrijving</c:v>
          </c:tx>
          <c:spPr>
            <a:ln w="19050" cap="rnd">
              <a:solidFill>
                <a:schemeClr val="accent2"/>
              </a:solidFill>
              <a:round/>
            </a:ln>
            <a:effectLst/>
          </c:spPr>
          <c:marker>
            <c:symbol val="circle"/>
            <c:size val="12"/>
            <c:spPr>
              <a:solidFill>
                <a:schemeClr val="accent2"/>
              </a:solidFill>
              <a:ln w="9525">
                <a:solidFill>
                  <a:schemeClr val="accent2"/>
                </a:solidFill>
              </a:ln>
              <a:effectLst/>
            </c:spPr>
          </c:marker>
          <c:dLbls>
            <c:dLbl>
              <c:idx val="0"/>
              <c:layout>
                <c:manualLayout>
                  <c:x val="-0.32699440777057387"/>
                  <c:y val="4.5678650999508665E-2"/>
                </c:manualLayout>
              </c:layout>
              <c:spPr>
                <a:noFill/>
                <a:ln>
                  <a:noFill/>
                </a:ln>
                <a:effectLst/>
              </c:spPr>
              <c:txPr>
                <a:bodyPr rot="0" spcFirstLastPara="1" vertOverflow="ellipsis" vert="horz" wrap="square" lIns="38100" tIns="19050" rIns="38100" bIns="19050" numCol="1" anchor="ctr" anchorCtr="1">
                  <a:noAutofit/>
                </a:bodyPr>
                <a:lstStyle/>
                <a:p>
                  <a:pPr>
                    <a:defRPr sz="900" b="1" i="0" u="none" strike="noStrike" kern="1200" baseline="0">
                      <a:solidFill>
                        <a:schemeClr val="tx1">
                          <a:lumMod val="75000"/>
                          <a:lumOff val="25000"/>
                        </a:schemeClr>
                      </a:solidFill>
                      <a:latin typeface="+mn-lt"/>
                      <a:ea typeface="+mn-ea"/>
                      <a:cs typeface="+mn-cs"/>
                    </a:defRPr>
                  </a:pPr>
                  <a:endParaRPr lang="nl-NL"/>
                </a:p>
              </c:txPr>
              <c:showLegendKey val="0"/>
              <c:showVal val="1"/>
              <c:showCatName val="1"/>
              <c:showSerName val="1"/>
              <c:showPercent val="0"/>
              <c:showBubbleSize val="0"/>
              <c:extLst>
                <c:ext xmlns:c15="http://schemas.microsoft.com/office/drawing/2012/chart" uri="{CE6537A1-D6FC-4f65-9D91-7224C49458BB}">
                  <c15:layout>
                    <c:manualLayout>
                      <c:w val="0.27586478939421161"/>
                      <c:h val="7.9407734950600467E-2"/>
                    </c:manualLayout>
                  </c15:layout>
                </c:ext>
                <c:ext xmlns:c16="http://schemas.microsoft.com/office/drawing/2014/chart" uri="{C3380CC4-5D6E-409C-BE32-E72D297353CC}">
                  <c16:uniqueId val="{00000000-9887-4E85-BE49-47E446A4EE31}"/>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nl-NL"/>
              </a:p>
            </c:txPr>
            <c:showLegendKey val="0"/>
            <c:showVal val="1"/>
            <c:showCatName val="1"/>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solidFill>
                      <a:round/>
                    </a:ln>
                    <a:effectLst/>
                  </c:spPr>
                </c15:leaderLines>
              </c:ext>
            </c:extLst>
          </c:dLbls>
          <c:xVal>
            <c:numRef>
              <c:f>'Scoregraph Prijs'!$H$18</c:f>
              <c:numCache>
                <c:formatCode>"€"\ #,##0</c:formatCode>
                <c:ptCount val="1"/>
                <c:pt idx="0">
                  <c:v>400000</c:v>
                </c:pt>
              </c:numCache>
            </c:numRef>
          </c:xVal>
          <c:yVal>
            <c:numRef>
              <c:f>'Scoregraph Prijs'!$H$19</c:f>
              <c:numCache>
                <c:formatCode>0.0</c:formatCode>
                <c:ptCount val="1"/>
                <c:pt idx="0">
                  <c:v>250</c:v>
                </c:pt>
              </c:numCache>
            </c:numRef>
          </c:yVal>
          <c:smooth val="0"/>
          <c:extLst>
            <c:ext xmlns:c16="http://schemas.microsoft.com/office/drawing/2014/chart" uri="{C3380CC4-5D6E-409C-BE32-E72D297353CC}">
              <c16:uniqueId val="{00000000-4CA3-4839-84A0-0899F76A193F}"/>
            </c:ext>
          </c:extLst>
        </c:ser>
        <c:dLbls>
          <c:showLegendKey val="0"/>
          <c:showVal val="0"/>
          <c:showCatName val="0"/>
          <c:showSerName val="0"/>
          <c:showPercent val="0"/>
          <c:showBubbleSize val="0"/>
        </c:dLbls>
        <c:axId val="1881328608"/>
        <c:axId val="206125776"/>
        <c:extLst>
          <c:ext xmlns:c15="http://schemas.microsoft.com/office/drawing/2012/chart" uri="{02D57815-91ED-43cb-92C2-25804820EDAC}">
            <c15:filteredScatterSeries>
              <c15:ser>
                <c:idx val="2"/>
                <c:order val="2"/>
                <c:tx>
                  <c:v>Wortelformule</c:v>
                </c:tx>
                <c:spPr>
                  <a:ln w="38100" cap="rnd">
                    <a:solidFill>
                      <a:schemeClr val="accent4"/>
                    </a:solidFill>
                    <a:round/>
                  </a:ln>
                  <a:effectLst/>
                </c:spPr>
                <c:marker>
                  <c:symbol val="none"/>
                </c:marker>
                <c:xVal>
                  <c:numRef>
                    <c:extLst>
                      <c:ext uri="{02D57815-91ED-43cb-92C2-25804820EDAC}">
                        <c15:formulaRef>
                          <c15:sqref>'HULP-velden'!$D$201:$D$301</c15:sqref>
                        </c15:formulaRef>
                      </c:ext>
                    </c:extLst>
                    <c:numCache>
                      <c:formatCode>"€"\ #,##0</c:formatCode>
                      <c:ptCount val="101"/>
                      <c:pt idx="0">
                        <c:v>300000</c:v>
                      </c:pt>
                      <c:pt idx="1">
                        <c:v>302000</c:v>
                      </c:pt>
                      <c:pt idx="2">
                        <c:v>304000</c:v>
                      </c:pt>
                      <c:pt idx="3">
                        <c:v>306000</c:v>
                      </c:pt>
                      <c:pt idx="4">
                        <c:v>308000</c:v>
                      </c:pt>
                      <c:pt idx="5">
                        <c:v>310000</c:v>
                      </c:pt>
                      <c:pt idx="6">
                        <c:v>312000</c:v>
                      </c:pt>
                      <c:pt idx="7">
                        <c:v>314000</c:v>
                      </c:pt>
                      <c:pt idx="8">
                        <c:v>316000</c:v>
                      </c:pt>
                      <c:pt idx="9">
                        <c:v>318000</c:v>
                      </c:pt>
                      <c:pt idx="10">
                        <c:v>320000</c:v>
                      </c:pt>
                      <c:pt idx="11">
                        <c:v>322000</c:v>
                      </c:pt>
                      <c:pt idx="12">
                        <c:v>324000</c:v>
                      </c:pt>
                      <c:pt idx="13">
                        <c:v>326000</c:v>
                      </c:pt>
                      <c:pt idx="14">
                        <c:v>328000</c:v>
                      </c:pt>
                      <c:pt idx="15">
                        <c:v>330000</c:v>
                      </c:pt>
                      <c:pt idx="16">
                        <c:v>332000</c:v>
                      </c:pt>
                      <c:pt idx="17">
                        <c:v>334000</c:v>
                      </c:pt>
                      <c:pt idx="18">
                        <c:v>336000</c:v>
                      </c:pt>
                      <c:pt idx="19">
                        <c:v>338000</c:v>
                      </c:pt>
                      <c:pt idx="20">
                        <c:v>340000</c:v>
                      </c:pt>
                      <c:pt idx="21">
                        <c:v>342000</c:v>
                      </c:pt>
                      <c:pt idx="22">
                        <c:v>344000</c:v>
                      </c:pt>
                      <c:pt idx="23">
                        <c:v>346000</c:v>
                      </c:pt>
                      <c:pt idx="24">
                        <c:v>348000</c:v>
                      </c:pt>
                      <c:pt idx="25">
                        <c:v>350000</c:v>
                      </c:pt>
                      <c:pt idx="26">
                        <c:v>352000</c:v>
                      </c:pt>
                      <c:pt idx="27">
                        <c:v>354000</c:v>
                      </c:pt>
                      <c:pt idx="28">
                        <c:v>356000</c:v>
                      </c:pt>
                      <c:pt idx="29">
                        <c:v>358000</c:v>
                      </c:pt>
                      <c:pt idx="30">
                        <c:v>360000</c:v>
                      </c:pt>
                      <c:pt idx="31">
                        <c:v>362000</c:v>
                      </c:pt>
                      <c:pt idx="32">
                        <c:v>364000</c:v>
                      </c:pt>
                      <c:pt idx="33">
                        <c:v>366000</c:v>
                      </c:pt>
                      <c:pt idx="34">
                        <c:v>368000</c:v>
                      </c:pt>
                      <c:pt idx="35">
                        <c:v>370000</c:v>
                      </c:pt>
                      <c:pt idx="36">
                        <c:v>372000</c:v>
                      </c:pt>
                      <c:pt idx="37">
                        <c:v>374000</c:v>
                      </c:pt>
                      <c:pt idx="38">
                        <c:v>376000</c:v>
                      </c:pt>
                      <c:pt idx="39">
                        <c:v>378000</c:v>
                      </c:pt>
                      <c:pt idx="40">
                        <c:v>380000</c:v>
                      </c:pt>
                      <c:pt idx="41">
                        <c:v>382000</c:v>
                      </c:pt>
                      <c:pt idx="42">
                        <c:v>384000</c:v>
                      </c:pt>
                      <c:pt idx="43">
                        <c:v>386000</c:v>
                      </c:pt>
                      <c:pt idx="44">
                        <c:v>388000</c:v>
                      </c:pt>
                      <c:pt idx="45">
                        <c:v>390000</c:v>
                      </c:pt>
                      <c:pt idx="46">
                        <c:v>392000</c:v>
                      </c:pt>
                      <c:pt idx="47">
                        <c:v>394000</c:v>
                      </c:pt>
                      <c:pt idx="48">
                        <c:v>396000</c:v>
                      </c:pt>
                      <c:pt idx="49">
                        <c:v>398000</c:v>
                      </c:pt>
                      <c:pt idx="50">
                        <c:v>400000</c:v>
                      </c:pt>
                      <c:pt idx="51">
                        <c:v>402000</c:v>
                      </c:pt>
                      <c:pt idx="52">
                        <c:v>404000</c:v>
                      </c:pt>
                      <c:pt idx="53">
                        <c:v>406000</c:v>
                      </c:pt>
                      <c:pt idx="54">
                        <c:v>408000</c:v>
                      </c:pt>
                      <c:pt idx="55">
                        <c:v>410000</c:v>
                      </c:pt>
                      <c:pt idx="56">
                        <c:v>412000</c:v>
                      </c:pt>
                      <c:pt idx="57">
                        <c:v>414000</c:v>
                      </c:pt>
                      <c:pt idx="58">
                        <c:v>416000</c:v>
                      </c:pt>
                      <c:pt idx="59">
                        <c:v>418000</c:v>
                      </c:pt>
                      <c:pt idx="60">
                        <c:v>420000</c:v>
                      </c:pt>
                      <c:pt idx="61">
                        <c:v>422000</c:v>
                      </c:pt>
                      <c:pt idx="62">
                        <c:v>424000</c:v>
                      </c:pt>
                      <c:pt idx="63">
                        <c:v>426000</c:v>
                      </c:pt>
                      <c:pt idx="64">
                        <c:v>428000</c:v>
                      </c:pt>
                      <c:pt idx="65">
                        <c:v>430000</c:v>
                      </c:pt>
                      <c:pt idx="66">
                        <c:v>432000</c:v>
                      </c:pt>
                      <c:pt idx="67">
                        <c:v>434000</c:v>
                      </c:pt>
                      <c:pt idx="68">
                        <c:v>436000</c:v>
                      </c:pt>
                      <c:pt idx="69">
                        <c:v>438000</c:v>
                      </c:pt>
                      <c:pt idx="70">
                        <c:v>440000</c:v>
                      </c:pt>
                      <c:pt idx="71">
                        <c:v>442000</c:v>
                      </c:pt>
                      <c:pt idx="72">
                        <c:v>444000</c:v>
                      </c:pt>
                      <c:pt idx="73">
                        <c:v>446000</c:v>
                      </c:pt>
                      <c:pt idx="74">
                        <c:v>448000</c:v>
                      </c:pt>
                      <c:pt idx="75">
                        <c:v>450000</c:v>
                      </c:pt>
                      <c:pt idx="76">
                        <c:v>452000</c:v>
                      </c:pt>
                      <c:pt idx="77">
                        <c:v>454000</c:v>
                      </c:pt>
                      <c:pt idx="78">
                        <c:v>456000</c:v>
                      </c:pt>
                      <c:pt idx="79">
                        <c:v>458000</c:v>
                      </c:pt>
                      <c:pt idx="80">
                        <c:v>460000</c:v>
                      </c:pt>
                      <c:pt idx="81">
                        <c:v>462000</c:v>
                      </c:pt>
                      <c:pt idx="82">
                        <c:v>464000</c:v>
                      </c:pt>
                      <c:pt idx="83">
                        <c:v>466000</c:v>
                      </c:pt>
                      <c:pt idx="84">
                        <c:v>468000</c:v>
                      </c:pt>
                      <c:pt idx="85">
                        <c:v>470000</c:v>
                      </c:pt>
                      <c:pt idx="86">
                        <c:v>472000</c:v>
                      </c:pt>
                      <c:pt idx="87">
                        <c:v>474000</c:v>
                      </c:pt>
                      <c:pt idx="88">
                        <c:v>476000</c:v>
                      </c:pt>
                      <c:pt idx="89">
                        <c:v>478000</c:v>
                      </c:pt>
                      <c:pt idx="90">
                        <c:v>480000</c:v>
                      </c:pt>
                      <c:pt idx="91">
                        <c:v>482000</c:v>
                      </c:pt>
                      <c:pt idx="92">
                        <c:v>484000</c:v>
                      </c:pt>
                      <c:pt idx="93">
                        <c:v>486000</c:v>
                      </c:pt>
                      <c:pt idx="94">
                        <c:v>488000</c:v>
                      </c:pt>
                      <c:pt idx="95">
                        <c:v>490000</c:v>
                      </c:pt>
                      <c:pt idx="96">
                        <c:v>492000</c:v>
                      </c:pt>
                      <c:pt idx="97">
                        <c:v>494000</c:v>
                      </c:pt>
                      <c:pt idx="98">
                        <c:v>496000</c:v>
                      </c:pt>
                      <c:pt idx="99">
                        <c:v>498000</c:v>
                      </c:pt>
                      <c:pt idx="100">
                        <c:v>500000</c:v>
                      </c:pt>
                    </c:numCache>
                  </c:numRef>
                </c:xVal>
                <c:yVal>
                  <c:numRef>
                    <c:extLst>
                      <c:ext uri="{02D57815-91ED-43cb-92C2-25804820EDAC}">
                        <c15:formulaRef>
                          <c15:sqref>'HULP-velden'!$F$201:$F$301</c15:sqref>
                        </c15:formulaRef>
                      </c:ext>
                    </c:extLst>
                    <c:numCache>
                      <c:formatCode>_ * #,##0_ ;_ * \-#,##0_ ;_ * "-"??_ ;_ @_ </c:formatCode>
                      <c:ptCount val="101"/>
                      <c:pt idx="0">
                        <c:v>500</c:v>
                      </c:pt>
                      <c:pt idx="1">
                        <c:v>495</c:v>
                      </c:pt>
                      <c:pt idx="2">
                        <c:v>490</c:v>
                      </c:pt>
                      <c:pt idx="3">
                        <c:v>485</c:v>
                      </c:pt>
                      <c:pt idx="4">
                        <c:v>480</c:v>
                      </c:pt>
                      <c:pt idx="5">
                        <c:v>475</c:v>
                      </c:pt>
                      <c:pt idx="6">
                        <c:v>470</c:v>
                      </c:pt>
                      <c:pt idx="7">
                        <c:v>465</c:v>
                      </c:pt>
                      <c:pt idx="8">
                        <c:v>460</c:v>
                      </c:pt>
                      <c:pt idx="9">
                        <c:v>455</c:v>
                      </c:pt>
                      <c:pt idx="10">
                        <c:v>450</c:v>
                      </c:pt>
                      <c:pt idx="11">
                        <c:v>445</c:v>
                      </c:pt>
                      <c:pt idx="12">
                        <c:v>440</c:v>
                      </c:pt>
                      <c:pt idx="13">
                        <c:v>435</c:v>
                      </c:pt>
                      <c:pt idx="14">
                        <c:v>430</c:v>
                      </c:pt>
                      <c:pt idx="15">
                        <c:v>425</c:v>
                      </c:pt>
                      <c:pt idx="16">
                        <c:v>420</c:v>
                      </c:pt>
                      <c:pt idx="17">
                        <c:v>415</c:v>
                      </c:pt>
                      <c:pt idx="18">
                        <c:v>410</c:v>
                      </c:pt>
                      <c:pt idx="19">
                        <c:v>405</c:v>
                      </c:pt>
                      <c:pt idx="20">
                        <c:v>400</c:v>
                      </c:pt>
                      <c:pt idx="21">
                        <c:v>395</c:v>
                      </c:pt>
                      <c:pt idx="22">
                        <c:v>390</c:v>
                      </c:pt>
                      <c:pt idx="23">
                        <c:v>385</c:v>
                      </c:pt>
                      <c:pt idx="24">
                        <c:v>380</c:v>
                      </c:pt>
                      <c:pt idx="25">
                        <c:v>375</c:v>
                      </c:pt>
                      <c:pt idx="26">
                        <c:v>370</c:v>
                      </c:pt>
                      <c:pt idx="27">
                        <c:v>365</c:v>
                      </c:pt>
                      <c:pt idx="28">
                        <c:v>360</c:v>
                      </c:pt>
                      <c:pt idx="29">
                        <c:v>355</c:v>
                      </c:pt>
                      <c:pt idx="30">
                        <c:v>350</c:v>
                      </c:pt>
                      <c:pt idx="31">
                        <c:v>345</c:v>
                      </c:pt>
                      <c:pt idx="32">
                        <c:v>340</c:v>
                      </c:pt>
                      <c:pt idx="33">
                        <c:v>335</c:v>
                      </c:pt>
                      <c:pt idx="34">
                        <c:v>330</c:v>
                      </c:pt>
                      <c:pt idx="35">
                        <c:v>325</c:v>
                      </c:pt>
                      <c:pt idx="36">
                        <c:v>320</c:v>
                      </c:pt>
                      <c:pt idx="37">
                        <c:v>315</c:v>
                      </c:pt>
                      <c:pt idx="38">
                        <c:v>310</c:v>
                      </c:pt>
                      <c:pt idx="39">
                        <c:v>305</c:v>
                      </c:pt>
                      <c:pt idx="40">
                        <c:v>300</c:v>
                      </c:pt>
                      <c:pt idx="41">
                        <c:v>295</c:v>
                      </c:pt>
                      <c:pt idx="42">
                        <c:v>290</c:v>
                      </c:pt>
                      <c:pt idx="43">
                        <c:v>285</c:v>
                      </c:pt>
                      <c:pt idx="44">
                        <c:v>280</c:v>
                      </c:pt>
                      <c:pt idx="45">
                        <c:v>275</c:v>
                      </c:pt>
                      <c:pt idx="46">
                        <c:v>270</c:v>
                      </c:pt>
                      <c:pt idx="47">
                        <c:v>265</c:v>
                      </c:pt>
                      <c:pt idx="48">
                        <c:v>260</c:v>
                      </c:pt>
                      <c:pt idx="49">
                        <c:v>255</c:v>
                      </c:pt>
                      <c:pt idx="50">
                        <c:v>250</c:v>
                      </c:pt>
                      <c:pt idx="51">
                        <c:v>245</c:v>
                      </c:pt>
                      <c:pt idx="52">
                        <c:v>240</c:v>
                      </c:pt>
                      <c:pt idx="53">
                        <c:v>235</c:v>
                      </c:pt>
                      <c:pt idx="54">
                        <c:v>230</c:v>
                      </c:pt>
                      <c:pt idx="55">
                        <c:v>225</c:v>
                      </c:pt>
                      <c:pt idx="56">
                        <c:v>220</c:v>
                      </c:pt>
                      <c:pt idx="57">
                        <c:v>215</c:v>
                      </c:pt>
                      <c:pt idx="58">
                        <c:v>210</c:v>
                      </c:pt>
                      <c:pt idx="59">
                        <c:v>205</c:v>
                      </c:pt>
                      <c:pt idx="60">
                        <c:v>200</c:v>
                      </c:pt>
                      <c:pt idx="61">
                        <c:v>195</c:v>
                      </c:pt>
                      <c:pt idx="62">
                        <c:v>190</c:v>
                      </c:pt>
                      <c:pt idx="63">
                        <c:v>185</c:v>
                      </c:pt>
                      <c:pt idx="64">
                        <c:v>180</c:v>
                      </c:pt>
                      <c:pt idx="65">
                        <c:v>175</c:v>
                      </c:pt>
                      <c:pt idx="66">
                        <c:v>170</c:v>
                      </c:pt>
                      <c:pt idx="67">
                        <c:v>165</c:v>
                      </c:pt>
                      <c:pt idx="68">
                        <c:v>160</c:v>
                      </c:pt>
                      <c:pt idx="69">
                        <c:v>155</c:v>
                      </c:pt>
                      <c:pt idx="70">
                        <c:v>150</c:v>
                      </c:pt>
                      <c:pt idx="71">
                        <c:v>145</c:v>
                      </c:pt>
                      <c:pt idx="72">
                        <c:v>140</c:v>
                      </c:pt>
                      <c:pt idx="73">
                        <c:v>135</c:v>
                      </c:pt>
                      <c:pt idx="74">
                        <c:v>130</c:v>
                      </c:pt>
                      <c:pt idx="75">
                        <c:v>125</c:v>
                      </c:pt>
                      <c:pt idx="76">
                        <c:v>120</c:v>
                      </c:pt>
                      <c:pt idx="77">
                        <c:v>115</c:v>
                      </c:pt>
                      <c:pt idx="78">
                        <c:v>110</c:v>
                      </c:pt>
                      <c:pt idx="79">
                        <c:v>105</c:v>
                      </c:pt>
                      <c:pt idx="80">
                        <c:v>100</c:v>
                      </c:pt>
                      <c:pt idx="81">
                        <c:v>95</c:v>
                      </c:pt>
                      <c:pt idx="82">
                        <c:v>90</c:v>
                      </c:pt>
                      <c:pt idx="83">
                        <c:v>85</c:v>
                      </c:pt>
                      <c:pt idx="84">
                        <c:v>80</c:v>
                      </c:pt>
                      <c:pt idx="85">
                        <c:v>75</c:v>
                      </c:pt>
                      <c:pt idx="86">
                        <c:v>70</c:v>
                      </c:pt>
                      <c:pt idx="87">
                        <c:v>65</c:v>
                      </c:pt>
                      <c:pt idx="88">
                        <c:v>60</c:v>
                      </c:pt>
                      <c:pt idx="89">
                        <c:v>55</c:v>
                      </c:pt>
                      <c:pt idx="90">
                        <c:v>50</c:v>
                      </c:pt>
                      <c:pt idx="91">
                        <c:v>45</c:v>
                      </c:pt>
                      <c:pt idx="92">
                        <c:v>40</c:v>
                      </c:pt>
                      <c:pt idx="93">
                        <c:v>35</c:v>
                      </c:pt>
                      <c:pt idx="94">
                        <c:v>30</c:v>
                      </c:pt>
                      <c:pt idx="95">
                        <c:v>25</c:v>
                      </c:pt>
                      <c:pt idx="96">
                        <c:v>20</c:v>
                      </c:pt>
                      <c:pt idx="97">
                        <c:v>15</c:v>
                      </c:pt>
                      <c:pt idx="98">
                        <c:v>10</c:v>
                      </c:pt>
                      <c:pt idx="99">
                        <c:v>5</c:v>
                      </c:pt>
                      <c:pt idx="100">
                        <c:v>0</c:v>
                      </c:pt>
                    </c:numCache>
                  </c:numRef>
                </c:yVal>
                <c:smooth val="0"/>
                <c:extLst>
                  <c:ext xmlns:c16="http://schemas.microsoft.com/office/drawing/2014/chart" uri="{C3380CC4-5D6E-409C-BE32-E72D297353CC}">
                    <c16:uniqueId val="{00000000-417E-4280-A81C-B000996FDAA2}"/>
                  </c:ext>
                </c:extLst>
              </c15:ser>
            </c15:filteredScatterSeries>
            <c15:filteredScatterSeries>
              <c15:ser>
                <c:idx val="3"/>
                <c:order val="3"/>
                <c:tx>
                  <c:v>Voorbeeld Inschrijving</c:v>
                </c:tx>
                <c:spPr>
                  <a:ln w="19050" cap="rnd">
                    <a:solidFill>
                      <a:schemeClr val="accent4"/>
                    </a:solidFill>
                    <a:round/>
                  </a:ln>
                  <a:effectLst/>
                </c:spPr>
                <c:marker>
                  <c:symbol val="circle"/>
                  <c:size val="12"/>
                  <c:spPr>
                    <a:solidFill>
                      <a:schemeClr val="accent4"/>
                    </a:solidFill>
                    <a:ln w="9525">
                      <a:solidFill>
                        <a:schemeClr val="accent4"/>
                      </a:solidFill>
                    </a:ln>
                    <a:effectLst/>
                  </c:spPr>
                </c:marker>
                <c:dLbls>
                  <c:dLbl>
                    <c:idx val="0"/>
                    <c:layout>
                      <c:manualLayout>
                        <c:x val="-0.22400000000000003"/>
                        <c:y val="4.1692988590003158E-2"/>
                      </c:manualLayout>
                    </c:layout>
                    <c:tx>
                      <c:rich>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fld id="{80C72553-B696-48F6-AB64-906792E19D46}" type="SERIESNAME">
                            <a:rPr lang="en-US" b="1"/>
                            <a:pPr>
                              <a:defRPr b="1"/>
                            </a:pPr>
                            <a:t>[REEKSNAAM]</a:t>
                          </a:fld>
                          <a:r>
                            <a:rPr lang="en-US" b="1" baseline="0"/>
                            <a:t>; </a:t>
                          </a:r>
                          <a:br>
                            <a:rPr lang="en-US" b="1" baseline="0"/>
                          </a:br>
                          <a:fld id="{076DFE78-9F83-4487-91B6-A80AC955D8BF}" type="XVALUE">
                            <a:rPr lang="en-US" b="1" baseline="0"/>
                            <a:pPr>
                              <a:defRPr b="1"/>
                            </a:pPr>
                            <a:t>[X-WAARDE]</a:t>
                          </a:fld>
                          <a:r>
                            <a:rPr lang="en-US" b="1" baseline="0"/>
                            <a:t>; </a:t>
                          </a:r>
                          <a:fld id="{F7DEBB75-00C8-4C84-A089-CB79D5931653}" type="YVALUE">
                            <a:rPr lang="en-US" b="1" baseline="0"/>
                            <a:pPr>
                              <a:defRPr b="1"/>
                            </a:pPr>
                            <a:t>[Y-WAARDE]</a:t>
                          </a:fld>
                          <a:endParaRPr lang="en-US" b="1" baseline="0"/>
                        </a:p>
                      </c:rich>
                    </c:tx>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nl-NL"/>
                      </a:p>
                    </c:txPr>
                    <c:showLegendKey val="0"/>
                    <c:showVal val="1"/>
                    <c:showCatName val="1"/>
                    <c:showSerName val="1"/>
                    <c:showPercent val="0"/>
                    <c:showBubbleSize val="0"/>
                    <c:extLst xmlns:c15="http://schemas.microsoft.com/office/drawing/2012/chart">
                      <c:ext xmlns:c15="http://schemas.microsoft.com/office/drawing/2012/chart" uri="{CE6537A1-D6FC-4f65-9D91-7224C49458BB}">
                        <c15:dlblFieldTable/>
                        <c15:showDataLabelsRange val="0"/>
                      </c:ext>
                      <c:ext xmlns:c16="http://schemas.microsoft.com/office/drawing/2014/chart" uri="{C3380CC4-5D6E-409C-BE32-E72D297353CC}">
                        <c16:uniqueId val="{00000002-417E-4280-A81C-B000996FDAA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NL"/>
                    </a:p>
                  </c:txPr>
                  <c:showLegendKey val="0"/>
                  <c:showVal val="1"/>
                  <c:showCatName val="1"/>
                  <c:showSerName val="1"/>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solidFill>
                            <a:round/>
                          </a:ln>
                          <a:effectLst/>
                        </c:spPr>
                      </c15:leaderLines>
                    </c:ext>
                  </c:extLst>
                </c:dLbls>
                <c:xVal>
                  <c:numRef>
                    <c:extLst xmlns:c15="http://schemas.microsoft.com/office/drawing/2012/chart">
                      <c:ext xmlns:c15="http://schemas.microsoft.com/office/drawing/2012/chart" uri="{02D57815-91ED-43cb-92C2-25804820EDAC}">
                        <c15:formulaRef>
                          <c15:sqref>'HULP-velden'!$F$193</c15:sqref>
                        </c15:formulaRef>
                      </c:ext>
                    </c:extLst>
                    <c:numCache>
                      <c:formatCode>"€"\ #,##0</c:formatCode>
                      <c:ptCount val="1"/>
                      <c:pt idx="0">
                        <c:v>400000</c:v>
                      </c:pt>
                    </c:numCache>
                  </c:numRef>
                </c:xVal>
                <c:yVal>
                  <c:numRef>
                    <c:extLst xmlns:c15="http://schemas.microsoft.com/office/drawing/2012/chart">
                      <c:ext xmlns:c15="http://schemas.microsoft.com/office/drawing/2012/chart" uri="{02D57815-91ED-43cb-92C2-25804820EDAC}">
                        <c15:formulaRef>
                          <c15:sqref>'HULP-velden'!$F$194</c15:sqref>
                        </c15:formulaRef>
                      </c:ext>
                    </c:extLst>
                    <c:numCache>
                      <c:formatCode>_ * #,##0_ ;_ * \-#,##0_ ;_ * "-"??_ ;_ @_ </c:formatCode>
                      <c:ptCount val="1"/>
                      <c:pt idx="0">
                        <c:v>250</c:v>
                      </c:pt>
                    </c:numCache>
                  </c:numRef>
                </c:yVal>
                <c:smooth val="0"/>
                <c:extLst xmlns:c15="http://schemas.microsoft.com/office/drawing/2012/chart">
                  <c:ext xmlns:c16="http://schemas.microsoft.com/office/drawing/2014/chart" uri="{C3380CC4-5D6E-409C-BE32-E72D297353CC}">
                    <c16:uniqueId val="{00000001-417E-4280-A81C-B000996FDAA2}"/>
                  </c:ext>
                </c:extLst>
              </c15:ser>
            </c15:filteredScatterSeries>
          </c:ext>
        </c:extLst>
      </c:scatterChart>
      <c:valAx>
        <c:axId val="1881328608"/>
        <c:scaling>
          <c:orientation val="minMax"/>
          <c:max val="500000"/>
          <c:min val="300000"/>
        </c:scaling>
        <c:delete val="0"/>
        <c:axPos val="b"/>
        <c:majorGridlines>
          <c:spPr>
            <a:ln w="9525" cap="flat" cmpd="sng" algn="ctr">
              <a:solidFill>
                <a:schemeClr val="tx1">
                  <a:lumMod val="15000"/>
                  <a:lumOff val="85000"/>
                </a:schemeClr>
              </a:solidFill>
              <a:prstDash val="sysDash"/>
              <a:round/>
            </a:ln>
            <a:effectLst/>
          </c:spPr>
        </c:majorGridlines>
        <c:numFmt formatCode="&quot;€&quot;\ #,##0" sourceLinked="0"/>
        <c:majorTickMark val="out"/>
        <c:minorTickMark val="none"/>
        <c:tickLblPos val="low"/>
        <c:spPr>
          <a:noFill/>
          <a:ln w="9525" cap="flat" cmpd="sng" algn="ctr">
            <a:solidFill>
              <a:schemeClr val="tx1"/>
            </a:solidFill>
            <a:round/>
          </a:ln>
          <a:effectLst/>
        </c:spPr>
        <c:txPr>
          <a:bodyPr rot="-60000000" spcFirstLastPara="1" vertOverflow="ellipsis" vert="horz" wrap="square" anchor="ctr" anchorCtr="1"/>
          <a:lstStyle/>
          <a:p>
            <a:pPr>
              <a:defRPr sz="1000" b="1" i="0" u="none" strike="noStrike" kern="1200" baseline="0">
                <a:solidFill>
                  <a:schemeClr val="tx1"/>
                </a:solidFill>
                <a:latin typeface="+mn-lt"/>
                <a:ea typeface="+mn-ea"/>
                <a:cs typeface="+mn-cs"/>
              </a:defRPr>
            </a:pPr>
            <a:endParaRPr lang="nl-NL"/>
          </a:p>
        </c:txPr>
        <c:crossAx val="206125776"/>
        <c:crosses val="autoZero"/>
        <c:crossBetween val="midCat"/>
        <c:majorUnit val="40000"/>
        <c:dispUnits>
          <c:builtInUnit val="thousands"/>
        </c:dispUnits>
      </c:valAx>
      <c:valAx>
        <c:axId val="206125776"/>
        <c:scaling>
          <c:orientation val="minMax"/>
          <c:max val="500"/>
          <c:min val="0"/>
        </c:scaling>
        <c:delete val="0"/>
        <c:axPos val="l"/>
        <c:majorGridlines>
          <c:spPr>
            <a:ln w="9525" cap="flat" cmpd="sng" algn="ctr">
              <a:solidFill>
                <a:schemeClr val="tx1">
                  <a:lumMod val="15000"/>
                  <a:lumOff val="85000"/>
                </a:schemeClr>
              </a:solidFill>
              <a:prstDash val="dash"/>
              <a:round/>
            </a:ln>
            <a:effectLst/>
          </c:spPr>
        </c:majorGridlines>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1" i="0" u="none" strike="noStrike" kern="1200" baseline="0">
                <a:solidFill>
                  <a:sysClr val="windowText" lastClr="000000"/>
                </a:solidFill>
                <a:latin typeface="+mn-lt"/>
                <a:ea typeface="+mn-ea"/>
                <a:cs typeface="+mn-cs"/>
              </a:defRPr>
            </a:pPr>
            <a:endParaRPr lang="nl-NL"/>
          </a:p>
        </c:txPr>
        <c:crossAx val="1881328608"/>
        <c:crosses val="autoZero"/>
        <c:crossBetween val="midCat"/>
        <c:majorUnit val="50"/>
      </c:valAx>
      <c:spPr>
        <a:noFill/>
        <a:ln>
          <a:solidFill>
            <a:schemeClr val="tx1"/>
          </a:solidFill>
        </a:ln>
        <a:effectLst/>
      </c:spPr>
    </c:plotArea>
    <c:plotVisOnly val="1"/>
    <c:dispBlanksAs val="gap"/>
    <c:showDLblsOverMax val="0"/>
  </c:chart>
  <c:spPr>
    <a:solidFill>
      <a:srgbClr val="8FCAE7"/>
    </a:solidFill>
    <a:ln w="9525" cap="flat" cmpd="sng" algn="ctr">
      <a:solidFill>
        <a:schemeClr val="tx1"/>
      </a:solidFill>
      <a:round/>
    </a:ln>
    <a:effectLst/>
  </c:spPr>
  <c:txPr>
    <a:bodyPr/>
    <a:lstStyle/>
    <a:p>
      <a:pPr>
        <a:defRPr/>
      </a:pPr>
      <a:endParaRPr lang="nl-NL"/>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640094488188976"/>
          <c:y val="3.4357863439736541E-2"/>
          <c:w val="0.85131901900198603"/>
          <c:h val="0.88672364955682947"/>
        </c:manualLayout>
      </c:layout>
      <c:scatterChart>
        <c:scatterStyle val="lineMarker"/>
        <c:varyColors val="0"/>
        <c:ser>
          <c:idx val="14"/>
          <c:order val="0"/>
          <c:tx>
            <c:v>Qmax</c:v>
          </c:tx>
          <c:spPr>
            <a:ln w="44450">
              <a:solidFill>
                <a:schemeClr val="tx2"/>
              </a:solidFill>
            </a:ln>
          </c:spPr>
          <c:marker>
            <c:symbol val="none"/>
          </c:marker>
          <c:dPt>
            <c:idx val="1"/>
            <c:bubble3D val="0"/>
            <c:spPr>
              <a:ln w="69850">
                <a:solidFill>
                  <a:srgbClr val="002060"/>
                </a:solidFill>
              </a:ln>
            </c:spPr>
            <c:extLst>
              <c:ext xmlns:c16="http://schemas.microsoft.com/office/drawing/2014/chart" uri="{C3380CC4-5D6E-409C-BE32-E72D297353CC}">
                <c16:uniqueId val="{00000001-523D-45F2-A185-6CF84E099DBB}"/>
              </c:ext>
            </c:extLst>
          </c:dPt>
          <c:xVal>
            <c:numRef>
              <c:f>'HULP-velden'!$C$20:$D$20</c:f>
              <c:numCache>
                <c:formatCode>#,##0</c:formatCode>
                <c:ptCount val="2"/>
                <c:pt idx="0">
                  <c:v>100</c:v>
                </c:pt>
                <c:pt idx="1">
                  <c:v>100</c:v>
                </c:pt>
              </c:numCache>
            </c:numRef>
          </c:xVal>
          <c:yVal>
            <c:numRef>
              <c:f>'HULP-velden'!$C$21:$D$21</c:f>
              <c:numCache>
                <c:formatCode>"$"\ #.##000</c:formatCode>
                <c:ptCount val="2"/>
                <c:pt idx="0">
                  <c:v>0</c:v>
                </c:pt>
                <c:pt idx="1">
                  <c:v>520000</c:v>
                </c:pt>
              </c:numCache>
            </c:numRef>
          </c:yVal>
          <c:smooth val="0"/>
          <c:extLst>
            <c:ext xmlns:c16="http://schemas.microsoft.com/office/drawing/2014/chart" uri="{C3380CC4-5D6E-409C-BE32-E72D297353CC}">
              <c16:uniqueId val="{00000002-523D-45F2-A185-6CF84E099DBB}"/>
            </c:ext>
          </c:extLst>
        </c:ser>
        <c:ser>
          <c:idx val="20"/>
          <c:order val="1"/>
          <c:tx>
            <c:v>Voorbeeld Pvbi | Qvbi</c:v>
          </c:tx>
          <c:marker>
            <c:symbol val="circle"/>
            <c:size val="12"/>
            <c:spPr>
              <a:solidFill>
                <a:srgbClr val="F79646"/>
              </a:solidFill>
              <a:ln>
                <a:noFill/>
              </a:ln>
              <a:effectLst>
                <a:outerShdw blurRad="57150" dist="19050" dir="5400000" algn="ctr" rotWithShape="0">
                  <a:srgbClr val="000000">
                    <a:alpha val="63000"/>
                  </a:srgbClr>
                </a:outerShdw>
              </a:effectLst>
            </c:spPr>
          </c:marker>
          <c:dLbls>
            <c:dLbl>
              <c:idx val="0"/>
              <c:layout>
                <c:manualLayout>
                  <c:x val="-0.19543616299108996"/>
                  <c:y val="-4.6759936013436552E-2"/>
                </c:manualLayout>
              </c:layout>
              <c:spPr>
                <a:noFill/>
                <a:ln>
                  <a:noFill/>
                </a:ln>
                <a:effectLst/>
              </c:spPr>
              <c:txPr>
                <a:bodyPr wrap="square" lIns="38100" tIns="19050" rIns="38100" bIns="19050" anchor="ctr">
                  <a:noAutofit/>
                </a:bodyPr>
                <a:lstStyle/>
                <a:p>
                  <a:pPr>
                    <a:defRPr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13842888170470455"/>
                      <c:h val="7.6427751116709658E-2"/>
                    </c:manualLayout>
                  </c15:layout>
                </c:ext>
                <c:ext xmlns:c16="http://schemas.microsoft.com/office/drawing/2014/chart" uri="{C3380CC4-5D6E-409C-BE32-E72D297353CC}">
                  <c16:uniqueId val="{0000000F-28CD-4D9F-9E0B-B403A63DDB20}"/>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'HULP-velden'!$F$12</c:f>
              <c:numCache>
                <c:formatCode>General</c:formatCode>
                <c:ptCount val="1"/>
                <c:pt idx="0">
                  <c:v>50</c:v>
                </c:pt>
              </c:numCache>
            </c:numRef>
          </c:xVal>
          <c:yVal>
            <c:numRef>
              <c:f>'HULP-velden'!$C$8</c:f>
              <c:numCache>
                <c:formatCode>_("$"* #.##000_);_("$"* \(#.##000\);_("$"* "-"??_);_(@_)</c:formatCode>
                <c:ptCount val="1"/>
                <c:pt idx="0">
                  <c:v>400000</c:v>
                </c:pt>
              </c:numCache>
            </c:numRef>
          </c:yVal>
          <c:smooth val="0"/>
          <c:extLst>
            <c:ext xmlns:c16="http://schemas.microsoft.com/office/drawing/2014/chart" uri="{C3380CC4-5D6E-409C-BE32-E72D297353CC}">
              <c16:uniqueId val="{00000003-523D-45F2-A185-6CF84E099DBB}"/>
            </c:ext>
          </c:extLst>
        </c:ser>
        <c:ser>
          <c:idx val="39"/>
          <c:order val="2"/>
          <c:tx>
            <c:v>Plafondprijs</c:v>
          </c:tx>
          <c:spPr>
            <a:ln w="38100">
              <a:solidFill>
                <a:srgbClr val="FF0000"/>
              </a:solidFill>
              <a:prstDash val="sysDash"/>
            </a:ln>
          </c:spPr>
          <c:marker>
            <c:symbol val="none"/>
          </c:marker>
          <c:dPt>
            <c:idx val="0"/>
            <c:bubble3D val="0"/>
            <c:spPr/>
            <c:extLst>
              <c:ext xmlns:c16="http://schemas.microsoft.com/office/drawing/2014/chart" uri="{C3380CC4-5D6E-409C-BE32-E72D297353CC}">
                <c16:uniqueId val="{00000005-523D-45F2-A185-6CF84E099DBB}"/>
              </c:ext>
            </c:extLst>
          </c:dPt>
          <c:xVal>
            <c:numRef>
              <c:f>'HULP-velden'!$C$23:$D$23</c:f>
              <c:numCache>
                <c:formatCode>#,##0</c:formatCode>
                <c:ptCount val="2"/>
                <c:pt idx="0" formatCode="General">
                  <c:v>0</c:v>
                </c:pt>
                <c:pt idx="1">
                  <c:v>100</c:v>
                </c:pt>
              </c:numCache>
            </c:numRef>
          </c:xVal>
          <c:yVal>
            <c:numRef>
              <c:f>'HULP-velden'!$C$24:$D$24</c:f>
              <c:numCache>
                <c:formatCode>_("$"* #.##000_);_("$"* \(#.##000\);_("$"* "-"??_);_(@_)</c:formatCode>
                <c:ptCount val="2"/>
                <c:pt idx="0">
                  <c:v>-100000</c:v>
                </c:pt>
                <c:pt idx="1">
                  <c:v>-100000</c:v>
                </c:pt>
              </c:numCache>
            </c:numRef>
          </c:yVal>
          <c:smooth val="0"/>
          <c:extLst>
            <c:ext xmlns:c16="http://schemas.microsoft.com/office/drawing/2014/chart" uri="{C3380CC4-5D6E-409C-BE32-E72D297353CC}">
              <c16:uniqueId val="{00000006-523D-45F2-A185-6CF84E099DBB}"/>
            </c:ext>
          </c:extLst>
        </c:ser>
        <c:ser>
          <c:idx val="6"/>
          <c:order val="3"/>
          <c:tx>
            <c:v>Vergelijkingswaarde x1.000</c:v>
          </c:tx>
          <c:marker>
            <c:symbol val="none"/>
          </c:marker>
          <c:dPt>
            <c:idx val="0"/>
            <c:bubble3D val="0"/>
            <c:extLst>
              <c:ext xmlns:c16="http://schemas.microsoft.com/office/drawing/2014/chart" uri="{C3380CC4-5D6E-409C-BE32-E72D297353CC}">
                <c16:uniqueId val="{00000007-523D-45F2-A185-6CF84E099DBB}"/>
              </c:ext>
            </c:extLst>
          </c:dPt>
          <c:dLbls>
            <c:dLbl>
              <c:idx val="0"/>
              <c:spPr>
                <a:noFill/>
                <a:ln>
                  <a:noFill/>
                </a:ln>
                <a:effectLst/>
              </c:spPr>
              <c:txPr>
                <a:bodyPr wrap="square" lIns="38100" tIns="19050" rIns="38100" bIns="19050" anchor="ctr" anchorCtr="0">
                  <a:spAutoFit/>
                </a:bodyPr>
                <a:lstStyle/>
                <a:p>
                  <a:pPr algn="l">
                    <a:defRPr sz="1100"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37266789156019481"/>
                      <c:h val="5.5317860746720487E-2"/>
                    </c:manualLayout>
                  </c15:layout>
                </c:ext>
                <c:ext xmlns:c16="http://schemas.microsoft.com/office/drawing/2014/chart" uri="{C3380CC4-5D6E-409C-BE32-E72D297353CC}">
                  <c16:uniqueId val="{00000007-523D-45F2-A185-6CF84E099DBB}"/>
                </c:ext>
              </c:extLst>
            </c:dLbl>
            <c:spPr>
              <a:noFill/>
              <a:ln>
                <a:noFill/>
              </a:ln>
              <a:effectLst/>
            </c:sp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0</c:v>
              </c:pt>
            </c:numLit>
          </c:xVal>
          <c:yVal>
            <c:numRef>
              <c:f>'HULP-velden'!$D$105</c:f>
              <c:numCache>
                <c:formatCode>_("$"* #.##000_);_("$"* \(#.##000\);_("$"* "-"??_);_(@_)</c:formatCode>
                <c:ptCount val="1"/>
                <c:pt idx="0">
                  <c:v>520000</c:v>
                </c:pt>
              </c:numCache>
            </c:numRef>
          </c:yVal>
          <c:smooth val="0"/>
          <c:extLst xmlns:c15="http://schemas.microsoft.com/office/drawing/2012/chart">
            <c:ext xmlns:c16="http://schemas.microsoft.com/office/drawing/2014/chart" uri="{C3380CC4-5D6E-409C-BE32-E72D297353CC}">
              <c16:uniqueId val="{00000008-523D-45F2-A185-6CF84E099DBB}"/>
            </c:ext>
          </c:extLst>
        </c:ser>
        <c:ser>
          <c:idx val="7"/>
          <c:order val="4"/>
          <c:tx>
            <c:strRef>
              <c:f>'HULP-velden'!$AJ$16</c:f>
              <c:strCache>
                <c:ptCount val="1"/>
                <c:pt idx="0">
                  <c:v>BPK-Lijn -3</c:v>
                </c:pt>
              </c:strCache>
            </c:strRef>
          </c:tx>
          <c:spPr>
            <a:ln w="38100">
              <a:solidFill>
                <a:schemeClr val="accent2">
                  <a:lumMod val="60000"/>
                  <a:lumOff val="40000"/>
                </a:schemeClr>
              </a:solidFill>
            </a:ln>
          </c:spPr>
          <c:marker>
            <c:symbol val="none"/>
          </c:marker>
          <c:xVal>
            <c:numRef>
              <c:f>'HULP-velden'!$AJ$22:$AJ$223</c:f>
              <c:numCache>
                <c:formatCode>_(* #,##0.00_);_(* \(#,##0.00\);_(* "-"??_);_(@_)</c:formatCode>
                <c:ptCount val="202"/>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5">
                  <c:v>-2</c:v>
                </c:pt>
                <c:pt idx="146">
                  <c:v>-2.5</c:v>
                </c:pt>
                <c:pt idx="147">
                  <c:v>-3</c:v>
                </c:pt>
                <c:pt idx="148">
                  <c:v>-3.5000000000000004</c:v>
                </c:pt>
                <c:pt idx="149">
                  <c:v>-4</c:v>
                </c:pt>
                <c:pt idx="150">
                  <c:v>-4.5</c:v>
                </c:pt>
                <c:pt idx="151">
                  <c:v>-5</c:v>
                </c:pt>
                <c:pt idx="152">
                  <c:v>-5.5</c:v>
                </c:pt>
                <c:pt idx="153">
                  <c:v>-6</c:v>
                </c:pt>
                <c:pt idx="154">
                  <c:v>-6.5</c:v>
                </c:pt>
                <c:pt idx="155">
                  <c:v>-7.0000000000000009</c:v>
                </c:pt>
                <c:pt idx="156">
                  <c:v>-7.5</c:v>
                </c:pt>
                <c:pt idx="157">
                  <c:v>-8</c:v>
                </c:pt>
                <c:pt idx="158">
                  <c:v>-8.5</c:v>
                </c:pt>
                <c:pt idx="159">
                  <c:v>-9</c:v>
                </c:pt>
                <c:pt idx="160">
                  <c:v>-9.5</c:v>
                </c:pt>
                <c:pt idx="161">
                  <c:v>-10</c:v>
                </c:pt>
                <c:pt idx="162">
                  <c:v>-10.5</c:v>
                </c:pt>
                <c:pt idx="163">
                  <c:v>-11</c:v>
                </c:pt>
                <c:pt idx="164">
                  <c:v>-11.5</c:v>
                </c:pt>
                <c:pt idx="165">
                  <c:v>-12</c:v>
                </c:pt>
                <c:pt idx="166">
                  <c:v>-12.5</c:v>
                </c:pt>
                <c:pt idx="167">
                  <c:v>-13</c:v>
                </c:pt>
                <c:pt idx="168">
                  <c:v>-13.5</c:v>
                </c:pt>
                <c:pt idx="169">
                  <c:v>-14.000000000000002</c:v>
                </c:pt>
                <c:pt idx="170">
                  <c:v>-14.499999999999998</c:v>
                </c:pt>
                <c:pt idx="171">
                  <c:v>-15</c:v>
                </c:pt>
                <c:pt idx="172">
                  <c:v>-15.5</c:v>
                </c:pt>
                <c:pt idx="173">
                  <c:v>-16</c:v>
                </c:pt>
                <c:pt idx="174">
                  <c:v>-16.5</c:v>
                </c:pt>
                <c:pt idx="175">
                  <c:v>-17</c:v>
                </c:pt>
                <c:pt idx="176">
                  <c:v>-17.5</c:v>
                </c:pt>
                <c:pt idx="177">
                  <c:v>-18</c:v>
                </c:pt>
                <c:pt idx="178">
                  <c:v>-18.5</c:v>
                </c:pt>
                <c:pt idx="179">
                  <c:v>-19</c:v>
                </c:pt>
                <c:pt idx="180">
                  <c:v>-19.5</c:v>
                </c:pt>
                <c:pt idx="181">
                  <c:v>-20</c:v>
                </c:pt>
                <c:pt idx="182">
                  <c:v>-20.5</c:v>
                </c:pt>
                <c:pt idx="183">
                  <c:v>-21</c:v>
                </c:pt>
                <c:pt idx="184">
                  <c:v>-21.5</c:v>
                </c:pt>
                <c:pt idx="185">
                  <c:v>-22</c:v>
                </c:pt>
                <c:pt idx="186">
                  <c:v>-22.5</c:v>
                </c:pt>
                <c:pt idx="187">
                  <c:v>-23</c:v>
                </c:pt>
                <c:pt idx="188">
                  <c:v>-23.5</c:v>
                </c:pt>
                <c:pt idx="189">
                  <c:v>-24</c:v>
                </c:pt>
                <c:pt idx="190">
                  <c:v>-24.5</c:v>
                </c:pt>
                <c:pt idx="191">
                  <c:v>-25</c:v>
                </c:pt>
                <c:pt idx="192">
                  <c:v>-25.5</c:v>
                </c:pt>
                <c:pt idx="193">
                  <c:v>-26</c:v>
                </c:pt>
                <c:pt idx="194">
                  <c:v>-26.5</c:v>
                </c:pt>
                <c:pt idx="195">
                  <c:v>-27</c:v>
                </c:pt>
                <c:pt idx="196">
                  <c:v>-27.500000000000004</c:v>
                </c:pt>
                <c:pt idx="197">
                  <c:v>-28.000000000000004</c:v>
                </c:pt>
                <c:pt idx="198">
                  <c:v>-28.499999999999996</c:v>
                </c:pt>
                <c:pt idx="199">
                  <c:v>-28.999999999999996</c:v>
                </c:pt>
                <c:pt idx="200">
                  <c:v>-29.5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9-523D-45F2-A185-6CF84E099DBB}"/>
            </c:ext>
          </c:extLst>
        </c:ser>
        <c:ser>
          <c:idx val="8"/>
          <c:order val="5"/>
          <c:tx>
            <c:strRef>
              <c:f>'HULP-velden'!$AK$16</c:f>
              <c:strCache>
                <c:ptCount val="1"/>
                <c:pt idx="0">
                  <c:v>BPK-Lijn -2</c:v>
                </c:pt>
              </c:strCache>
            </c:strRef>
          </c:tx>
          <c:spPr>
            <a:ln w="38100">
              <a:solidFill>
                <a:schemeClr val="accent2">
                  <a:lumMod val="60000"/>
                  <a:lumOff val="40000"/>
                </a:schemeClr>
              </a:solidFill>
            </a:ln>
          </c:spPr>
          <c:marker>
            <c:symbol val="none"/>
          </c:marker>
          <c:xVal>
            <c:numRef>
              <c:f>'HULP-velden'!$AK$22:$AK$223</c:f>
              <c:numCache>
                <c:formatCode>_(* #,##0.00_);_(* \(#,##0.00\);_(* "-"??_);_(@_)</c:formatCode>
                <c:ptCount val="202"/>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5">
                  <c:v>8</c:v>
                </c:pt>
                <c:pt idx="146">
                  <c:v>7.5</c:v>
                </c:pt>
                <c:pt idx="147">
                  <c:v>7.0000000000000009</c:v>
                </c:pt>
                <c:pt idx="148">
                  <c:v>6.5</c:v>
                </c:pt>
                <c:pt idx="149">
                  <c:v>6</c:v>
                </c:pt>
                <c:pt idx="150">
                  <c:v>5.5</c:v>
                </c:pt>
                <c:pt idx="151">
                  <c:v>5</c:v>
                </c:pt>
                <c:pt idx="152">
                  <c:v>4.5</c:v>
                </c:pt>
                <c:pt idx="153">
                  <c:v>4</c:v>
                </c:pt>
                <c:pt idx="154">
                  <c:v>3.5000000000000004</c:v>
                </c:pt>
                <c:pt idx="155">
                  <c:v>3</c:v>
                </c:pt>
                <c:pt idx="156">
                  <c:v>2.5</c:v>
                </c:pt>
                <c:pt idx="157">
                  <c:v>2</c:v>
                </c:pt>
                <c:pt idx="158">
                  <c:v>1.5</c:v>
                </c:pt>
                <c:pt idx="159">
                  <c:v>1</c:v>
                </c:pt>
                <c:pt idx="160">
                  <c:v>0.5</c:v>
                </c:pt>
                <c:pt idx="161">
                  <c:v>0</c:v>
                </c:pt>
                <c:pt idx="162">
                  <c:v>-0.5</c:v>
                </c:pt>
                <c:pt idx="163">
                  <c:v>-1</c:v>
                </c:pt>
                <c:pt idx="164">
                  <c:v>-1.5</c:v>
                </c:pt>
                <c:pt idx="165">
                  <c:v>-2</c:v>
                </c:pt>
                <c:pt idx="166">
                  <c:v>-2.5</c:v>
                </c:pt>
                <c:pt idx="167">
                  <c:v>-3</c:v>
                </c:pt>
                <c:pt idx="168">
                  <c:v>-3.5000000000000004</c:v>
                </c:pt>
                <c:pt idx="169">
                  <c:v>-4</c:v>
                </c:pt>
                <c:pt idx="170">
                  <c:v>-4.5</c:v>
                </c:pt>
                <c:pt idx="171">
                  <c:v>-5</c:v>
                </c:pt>
                <c:pt idx="172">
                  <c:v>-5.5</c:v>
                </c:pt>
                <c:pt idx="173">
                  <c:v>-6</c:v>
                </c:pt>
                <c:pt idx="174">
                  <c:v>-6.5</c:v>
                </c:pt>
                <c:pt idx="175">
                  <c:v>-7.0000000000000009</c:v>
                </c:pt>
                <c:pt idx="176">
                  <c:v>-7.5</c:v>
                </c:pt>
                <c:pt idx="177">
                  <c:v>-8</c:v>
                </c:pt>
                <c:pt idx="178">
                  <c:v>-8.5</c:v>
                </c:pt>
                <c:pt idx="179">
                  <c:v>-9</c:v>
                </c:pt>
                <c:pt idx="180">
                  <c:v>-9.5</c:v>
                </c:pt>
                <c:pt idx="181">
                  <c:v>-10</c:v>
                </c:pt>
                <c:pt idx="182">
                  <c:v>-10.5</c:v>
                </c:pt>
                <c:pt idx="183">
                  <c:v>-11</c:v>
                </c:pt>
                <c:pt idx="184">
                  <c:v>-11.5</c:v>
                </c:pt>
                <c:pt idx="185">
                  <c:v>-12</c:v>
                </c:pt>
                <c:pt idx="186">
                  <c:v>-12.5</c:v>
                </c:pt>
                <c:pt idx="187">
                  <c:v>-13</c:v>
                </c:pt>
                <c:pt idx="188">
                  <c:v>-13.5</c:v>
                </c:pt>
                <c:pt idx="189">
                  <c:v>-14.000000000000002</c:v>
                </c:pt>
                <c:pt idx="190">
                  <c:v>-14.499999999999998</c:v>
                </c:pt>
                <c:pt idx="191">
                  <c:v>-15</c:v>
                </c:pt>
                <c:pt idx="192">
                  <c:v>-15.5</c:v>
                </c:pt>
                <c:pt idx="193">
                  <c:v>-16</c:v>
                </c:pt>
                <c:pt idx="194">
                  <c:v>-16.5</c:v>
                </c:pt>
                <c:pt idx="195">
                  <c:v>-17</c:v>
                </c:pt>
                <c:pt idx="196">
                  <c:v>-17.5</c:v>
                </c:pt>
                <c:pt idx="197">
                  <c:v>-18</c:v>
                </c:pt>
                <c:pt idx="198">
                  <c:v>-18.5</c:v>
                </c:pt>
                <c:pt idx="199">
                  <c:v>-19</c:v>
                </c:pt>
                <c:pt idx="200">
                  <c:v>-19.5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A-523D-45F2-A185-6CF84E099DBB}"/>
            </c:ext>
          </c:extLst>
        </c:ser>
        <c:ser>
          <c:idx val="0"/>
          <c:order val="6"/>
          <c:tx>
            <c:strRef>
              <c:f>'HULP-velden'!$AL$16</c:f>
              <c:strCache>
                <c:ptCount val="1"/>
                <c:pt idx="0">
                  <c:v>BPK-Lijn -1</c:v>
                </c:pt>
              </c:strCache>
            </c:strRef>
          </c:tx>
          <c:spPr>
            <a:ln w="38100">
              <a:solidFill>
                <a:schemeClr val="accent2">
                  <a:lumMod val="60000"/>
                  <a:lumOff val="40000"/>
                </a:schemeClr>
              </a:solidFill>
            </a:ln>
          </c:spPr>
          <c:marker>
            <c:symbol val="none"/>
          </c:marker>
          <c:xVal>
            <c:numRef>
              <c:f>'HULP-velden'!$AL$22:$AL$223</c:f>
              <c:numCache>
                <c:formatCode>_(* #,##0.00_);_(* \(#,##0.00\);_(* "-"??_);_(@_)</c:formatCode>
                <c:ptCount val="202"/>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5">
                  <c:v>18</c:v>
                </c:pt>
                <c:pt idx="146">
                  <c:v>17.5</c:v>
                </c:pt>
                <c:pt idx="147">
                  <c:v>17</c:v>
                </c:pt>
                <c:pt idx="148">
                  <c:v>16.5</c:v>
                </c:pt>
                <c:pt idx="149">
                  <c:v>16</c:v>
                </c:pt>
                <c:pt idx="150">
                  <c:v>15.5</c:v>
                </c:pt>
                <c:pt idx="151">
                  <c:v>15</c:v>
                </c:pt>
                <c:pt idx="152">
                  <c:v>14.499999999999998</c:v>
                </c:pt>
                <c:pt idx="153">
                  <c:v>14.000000000000002</c:v>
                </c:pt>
                <c:pt idx="154">
                  <c:v>13.5</c:v>
                </c:pt>
                <c:pt idx="155">
                  <c:v>13</c:v>
                </c:pt>
                <c:pt idx="156">
                  <c:v>12.5</c:v>
                </c:pt>
                <c:pt idx="157">
                  <c:v>12</c:v>
                </c:pt>
                <c:pt idx="158">
                  <c:v>11.5</c:v>
                </c:pt>
                <c:pt idx="159">
                  <c:v>11</c:v>
                </c:pt>
                <c:pt idx="160">
                  <c:v>10.5</c:v>
                </c:pt>
                <c:pt idx="161">
                  <c:v>10</c:v>
                </c:pt>
                <c:pt idx="162">
                  <c:v>9.5</c:v>
                </c:pt>
                <c:pt idx="163">
                  <c:v>9</c:v>
                </c:pt>
                <c:pt idx="164">
                  <c:v>8.5</c:v>
                </c:pt>
                <c:pt idx="165">
                  <c:v>8</c:v>
                </c:pt>
                <c:pt idx="166">
                  <c:v>7.5</c:v>
                </c:pt>
                <c:pt idx="167">
                  <c:v>7.0000000000000009</c:v>
                </c:pt>
                <c:pt idx="168">
                  <c:v>6.5</c:v>
                </c:pt>
                <c:pt idx="169">
                  <c:v>6</c:v>
                </c:pt>
                <c:pt idx="170">
                  <c:v>5.5</c:v>
                </c:pt>
                <c:pt idx="171">
                  <c:v>5</c:v>
                </c:pt>
                <c:pt idx="172">
                  <c:v>4.5</c:v>
                </c:pt>
                <c:pt idx="173">
                  <c:v>4</c:v>
                </c:pt>
                <c:pt idx="174">
                  <c:v>3.5000000000000004</c:v>
                </c:pt>
                <c:pt idx="175">
                  <c:v>3</c:v>
                </c:pt>
                <c:pt idx="176">
                  <c:v>2.5</c:v>
                </c:pt>
                <c:pt idx="177">
                  <c:v>2</c:v>
                </c:pt>
                <c:pt idx="178">
                  <c:v>1.5</c:v>
                </c:pt>
                <c:pt idx="179">
                  <c:v>1</c:v>
                </c:pt>
                <c:pt idx="180">
                  <c:v>0.5</c:v>
                </c:pt>
                <c:pt idx="181">
                  <c:v>0</c:v>
                </c:pt>
                <c:pt idx="182">
                  <c:v>-0.5</c:v>
                </c:pt>
                <c:pt idx="183">
                  <c:v>-1</c:v>
                </c:pt>
                <c:pt idx="184">
                  <c:v>-1.5</c:v>
                </c:pt>
                <c:pt idx="185">
                  <c:v>-2</c:v>
                </c:pt>
                <c:pt idx="186">
                  <c:v>-2.5</c:v>
                </c:pt>
                <c:pt idx="187">
                  <c:v>-3</c:v>
                </c:pt>
                <c:pt idx="188">
                  <c:v>-3.5000000000000004</c:v>
                </c:pt>
                <c:pt idx="189">
                  <c:v>-4</c:v>
                </c:pt>
                <c:pt idx="190">
                  <c:v>-4.5</c:v>
                </c:pt>
                <c:pt idx="191">
                  <c:v>-5</c:v>
                </c:pt>
                <c:pt idx="192">
                  <c:v>-5.5</c:v>
                </c:pt>
                <c:pt idx="193">
                  <c:v>-6</c:v>
                </c:pt>
                <c:pt idx="194">
                  <c:v>-6.5</c:v>
                </c:pt>
                <c:pt idx="195">
                  <c:v>-7.0000000000000009</c:v>
                </c:pt>
                <c:pt idx="196">
                  <c:v>-7.5</c:v>
                </c:pt>
                <c:pt idx="197">
                  <c:v>-8</c:v>
                </c:pt>
                <c:pt idx="198">
                  <c:v>-8.5</c:v>
                </c:pt>
                <c:pt idx="199">
                  <c:v>-9</c:v>
                </c:pt>
                <c:pt idx="200">
                  <c:v>-9.5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0"/>
          <c:extLst>
            <c:ext xmlns:c16="http://schemas.microsoft.com/office/drawing/2014/chart" uri="{C3380CC4-5D6E-409C-BE32-E72D297353CC}">
              <c16:uniqueId val="{0000000B-523D-45F2-A185-6CF84E099DBB}"/>
            </c:ext>
          </c:extLst>
        </c:ser>
        <c:ser>
          <c:idx val="9"/>
          <c:order val="7"/>
          <c:tx>
            <c:strRef>
              <c:f>'HULP-velden'!$AM$16</c:f>
              <c:strCache>
                <c:ptCount val="1"/>
                <c:pt idx="0">
                  <c:v>BPK-lijn Ref</c:v>
                </c:pt>
              </c:strCache>
            </c:strRef>
          </c:tx>
          <c:spPr>
            <a:ln w="38100">
              <a:solidFill>
                <a:schemeClr val="accent2"/>
              </a:solidFill>
            </a:ln>
          </c:spPr>
          <c:marker>
            <c:symbol val="none"/>
          </c:marker>
          <c:xVal>
            <c:numRef>
              <c:f>'HULP-velden'!$AM$22:$AM$223</c:f>
              <c:numCache>
                <c:formatCode>_(* #,##0.00_);_(* \(#,##0.00\);_(* "-"??_);_(@_)</c:formatCode>
                <c:ptCount val="202"/>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5">
                  <c:v>28.000000000000004</c:v>
                </c:pt>
                <c:pt idx="146">
                  <c:v>27.500000000000004</c:v>
                </c:pt>
                <c:pt idx="147">
                  <c:v>27</c:v>
                </c:pt>
                <c:pt idx="148">
                  <c:v>26.5</c:v>
                </c:pt>
                <c:pt idx="149">
                  <c:v>26</c:v>
                </c:pt>
                <c:pt idx="150">
                  <c:v>25.5</c:v>
                </c:pt>
                <c:pt idx="151">
                  <c:v>25</c:v>
                </c:pt>
                <c:pt idx="152">
                  <c:v>24.5</c:v>
                </c:pt>
                <c:pt idx="153">
                  <c:v>24</c:v>
                </c:pt>
                <c:pt idx="154">
                  <c:v>23.5</c:v>
                </c:pt>
                <c:pt idx="155">
                  <c:v>23</c:v>
                </c:pt>
                <c:pt idx="156">
                  <c:v>22.5</c:v>
                </c:pt>
                <c:pt idx="157">
                  <c:v>22</c:v>
                </c:pt>
                <c:pt idx="158">
                  <c:v>21.5</c:v>
                </c:pt>
                <c:pt idx="159">
                  <c:v>21</c:v>
                </c:pt>
                <c:pt idx="160">
                  <c:v>20.5</c:v>
                </c:pt>
                <c:pt idx="161">
                  <c:v>20</c:v>
                </c:pt>
                <c:pt idx="162">
                  <c:v>19.5</c:v>
                </c:pt>
                <c:pt idx="163">
                  <c:v>19</c:v>
                </c:pt>
                <c:pt idx="164">
                  <c:v>18.5</c:v>
                </c:pt>
                <c:pt idx="165">
                  <c:v>18</c:v>
                </c:pt>
                <c:pt idx="166">
                  <c:v>17.5</c:v>
                </c:pt>
                <c:pt idx="167">
                  <c:v>17</c:v>
                </c:pt>
                <c:pt idx="168">
                  <c:v>16.5</c:v>
                </c:pt>
                <c:pt idx="169">
                  <c:v>16</c:v>
                </c:pt>
                <c:pt idx="170">
                  <c:v>15.5</c:v>
                </c:pt>
                <c:pt idx="171">
                  <c:v>15</c:v>
                </c:pt>
                <c:pt idx="172">
                  <c:v>14.499999999999998</c:v>
                </c:pt>
                <c:pt idx="173">
                  <c:v>14.000000000000002</c:v>
                </c:pt>
                <c:pt idx="174">
                  <c:v>13.5</c:v>
                </c:pt>
                <c:pt idx="175">
                  <c:v>13</c:v>
                </c:pt>
                <c:pt idx="176">
                  <c:v>12.5</c:v>
                </c:pt>
                <c:pt idx="177">
                  <c:v>12</c:v>
                </c:pt>
                <c:pt idx="178">
                  <c:v>11.5</c:v>
                </c:pt>
                <c:pt idx="179">
                  <c:v>11</c:v>
                </c:pt>
                <c:pt idx="180">
                  <c:v>10.5</c:v>
                </c:pt>
                <c:pt idx="181">
                  <c:v>10</c:v>
                </c:pt>
                <c:pt idx="182">
                  <c:v>9.5</c:v>
                </c:pt>
                <c:pt idx="183">
                  <c:v>9</c:v>
                </c:pt>
                <c:pt idx="184">
                  <c:v>8.5</c:v>
                </c:pt>
                <c:pt idx="185">
                  <c:v>8</c:v>
                </c:pt>
                <c:pt idx="186">
                  <c:v>7.5</c:v>
                </c:pt>
                <c:pt idx="187">
                  <c:v>7.0000000000000009</c:v>
                </c:pt>
                <c:pt idx="188">
                  <c:v>6.5</c:v>
                </c:pt>
                <c:pt idx="189">
                  <c:v>6</c:v>
                </c:pt>
                <c:pt idx="190">
                  <c:v>5.5</c:v>
                </c:pt>
                <c:pt idx="191">
                  <c:v>5</c:v>
                </c:pt>
                <c:pt idx="192">
                  <c:v>4.5</c:v>
                </c:pt>
                <c:pt idx="193">
                  <c:v>4</c:v>
                </c:pt>
                <c:pt idx="194">
                  <c:v>3.5000000000000004</c:v>
                </c:pt>
                <c:pt idx="195">
                  <c:v>3</c:v>
                </c:pt>
                <c:pt idx="196">
                  <c:v>2.5</c:v>
                </c:pt>
                <c:pt idx="197">
                  <c:v>2</c:v>
                </c:pt>
                <c:pt idx="198">
                  <c:v>1.5</c:v>
                </c:pt>
                <c:pt idx="199">
                  <c:v>1</c:v>
                </c:pt>
                <c:pt idx="200">
                  <c:v>0.5</c:v>
                </c:pt>
                <c:pt idx="201">
                  <c:v>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14-523D-45F2-A185-6CF84E099DBB}"/>
            </c:ext>
          </c:extLst>
        </c:ser>
        <c:ser>
          <c:idx val="10"/>
          <c:order val="8"/>
          <c:tx>
            <c:strRef>
              <c:f>'HULP-velden'!$AN$16</c:f>
              <c:strCache>
                <c:ptCount val="1"/>
                <c:pt idx="0">
                  <c:v>BPK-Lijn +1</c:v>
                </c:pt>
              </c:strCache>
            </c:strRef>
          </c:tx>
          <c:spPr>
            <a:ln w="38100">
              <a:solidFill>
                <a:schemeClr val="accent2">
                  <a:lumMod val="60000"/>
                  <a:lumOff val="40000"/>
                </a:schemeClr>
              </a:solidFill>
            </a:ln>
          </c:spPr>
          <c:marker>
            <c:symbol val="none"/>
          </c:marker>
          <c:xVal>
            <c:numRef>
              <c:f>'HULP-velden'!$AN$22:$AN$223</c:f>
              <c:numCache>
                <c:formatCode>_(* #,##0.00_);_(* \(#,##0.00\);_(* "-"??_);_(@_)</c:formatCode>
                <c:ptCount val="202"/>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5">
                  <c:v>38</c:v>
                </c:pt>
                <c:pt idx="146">
                  <c:v>37.5</c:v>
                </c:pt>
                <c:pt idx="147">
                  <c:v>37</c:v>
                </c:pt>
                <c:pt idx="148">
                  <c:v>36.5</c:v>
                </c:pt>
                <c:pt idx="149">
                  <c:v>36</c:v>
                </c:pt>
                <c:pt idx="150">
                  <c:v>35.5</c:v>
                </c:pt>
                <c:pt idx="151">
                  <c:v>35</c:v>
                </c:pt>
                <c:pt idx="152">
                  <c:v>34.5</c:v>
                </c:pt>
                <c:pt idx="153">
                  <c:v>34</c:v>
                </c:pt>
                <c:pt idx="154">
                  <c:v>33.5</c:v>
                </c:pt>
                <c:pt idx="155">
                  <c:v>33</c:v>
                </c:pt>
                <c:pt idx="156">
                  <c:v>32.5</c:v>
                </c:pt>
                <c:pt idx="157">
                  <c:v>32</c:v>
                </c:pt>
                <c:pt idx="158">
                  <c:v>31.5</c:v>
                </c:pt>
                <c:pt idx="159">
                  <c:v>31</c:v>
                </c:pt>
                <c:pt idx="160">
                  <c:v>30.5</c:v>
                </c:pt>
                <c:pt idx="161">
                  <c:v>30</c:v>
                </c:pt>
                <c:pt idx="162">
                  <c:v>29.5</c:v>
                </c:pt>
                <c:pt idx="163">
                  <c:v>28.999999999999996</c:v>
                </c:pt>
                <c:pt idx="164">
                  <c:v>28.499999999999996</c:v>
                </c:pt>
                <c:pt idx="165">
                  <c:v>28.000000000000004</c:v>
                </c:pt>
                <c:pt idx="166">
                  <c:v>27.500000000000004</c:v>
                </c:pt>
                <c:pt idx="167">
                  <c:v>27</c:v>
                </c:pt>
                <c:pt idx="168">
                  <c:v>26.5</c:v>
                </c:pt>
                <c:pt idx="169">
                  <c:v>26</c:v>
                </c:pt>
                <c:pt idx="170">
                  <c:v>25.5</c:v>
                </c:pt>
                <c:pt idx="171">
                  <c:v>25</c:v>
                </c:pt>
                <c:pt idx="172">
                  <c:v>24.5</c:v>
                </c:pt>
                <c:pt idx="173">
                  <c:v>24</c:v>
                </c:pt>
                <c:pt idx="174">
                  <c:v>23.5</c:v>
                </c:pt>
                <c:pt idx="175">
                  <c:v>23</c:v>
                </c:pt>
                <c:pt idx="176">
                  <c:v>22.5</c:v>
                </c:pt>
                <c:pt idx="177">
                  <c:v>22</c:v>
                </c:pt>
                <c:pt idx="178">
                  <c:v>21.5</c:v>
                </c:pt>
                <c:pt idx="179">
                  <c:v>21</c:v>
                </c:pt>
                <c:pt idx="180">
                  <c:v>20.5</c:v>
                </c:pt>
                <c:pt idx="181">
                  <c:v>20</c:v>
                </c:pt>
                <c:pt idx="182">
                  <c:v>19.5</c:v>
                </c:pt>
                <c:pt idx="183">
                  <c:v>19</c:v>
                </c:pt>
                <c:pt idx="184">
                  <c:v>18.5</c:v>
                </c:pt>
                <c:pt idx="185">
                  <c:v>18</c:v>
                </c:pt>
                <c:pt idx="186">
                  <c:v>17.5</c:v>
                </c:pt>
                <c:pt idx="187">
                  <c:v>17</c:v>
                </c:pt>
                <c:pt idx="188">
                  <c:v>16.5</c:v>
                </c:pt>
                <c:pt idx="189">
                  <c:v>16</c:v>
                </c:pt>
                <c:pt idx="190">
                  <c:v>15.5</c:v>
                </c:pt>
                <c:pt idx="191">
                  <c:v>15</c:v>
                </c:pt>
                <c:pt idx="192">
                  <c:v>14.499999999999998</c:v>
                </c:pt>
                <c:pt idx="193">
                  <c:v>14.000000000000002</c:v>
                </c:pt>
                <c:pt idx="194">
                  <c:v>13.5</c:v>
                </c:pt>
                <c:pt idx="195">
                  <c:v>13</c:v>
                </c:pt>
                <c:pt idx="196">
                  <c:v>12.5</c:v>
                </c:pt>
                <c:pt idx="197">
                  <c:v>12</c:v>
                </c:pt>
                <c:pt idx="198">
                  <c:v>11.5</c:v>
                </c:pt>
                <c:pt idx="199">
                  <c:v>11</c:v>
                </c:pt>
                <c:pt idx="200">
                  <c:v>10.5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15-523D-45F2-A185-6CF84E099DBB}"/>
            </c:ext>
          </c:extLst>
        </c:ser>
        <c:ser>
          <c:idx val="11"/>
          <c:order val="9"/>
          <c:tx>
            <c:strRef>
              <c:f>'HULP-velden'!$AO$16</c:f>
              <c:strCache>
                <c:ptCount val="1"/>
                <c:pt idx="0">
                  <c:v>BPK-Lijn +2</c:v>
                </c:pt>
              </c:strCache>
            </c:strRef>
          </c:tx>
          <c:spPr>
            <a:ln w="38100">
              <a:solidFill>
                <a:schemeClr val="accent2">
                  <a:lumMod val="60000"/>
                  <a:lumOff val="40000"/>
                </a:schemeClr>
              </a:solidFill>
            </a:ln>
          </c:spPr>
          <c:marker>
            <c:symbol val="none"/>
          </c:marker>
          <c:xVal>
            <c:numRef>
              <c:f>'HULP-velden'!$AO$22:$AO$223</c:f>
              <c:numCache>
                <c:formatCode>_(* #,##0.00_);_(* \(#,##0.00\);_(* "-"??_);_(@_)</c:formatCode>
                <c:ptCount val="202"/>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5">
                  <c:v>48</c:v>
                </c:pt>
                <c:pt idx="146">
                  <c:v>47.5</c:v>
                </c:pt>
                <c:pt idx="147">
                  <c:v>47</c:v>
                </c:pt>
                <c:pt idx="148">
                  <c:v>46.5</c:v>
                </c:pt>
                <c:pt idx="149">
                  <c:v>46</c:v>
                </c:pt>
                <c:pt idx="150">
                  <c:v>45.5</c:v>
                </c:pt>
                <c:pt idx="151">
                  <c:v>45</c:v>
                </c:pt>
                <c:pt idx="152">
                  <c:v>44.5</c:v>
                </c:pt>
                <c:pt idx="153">
                  <c:v>44</c:v>
                </c:pt>
                <c:pt idx="154">
                  <c:v>43.5</c:v>
                </c:pt>
                <c:pt idx="155">
                  <c:v>43</c:v>
                </c:pt>
                <c:pt idx="156">
                  <c:v>42.5</c:v>
                </c:pt>
                <c:pt idx="157">
                  <c:v>42</c:v>
                </c:pt>
                <c:pt idx="158">
                  <c:v>41.5</c:v>
                </c:pt>
                <c:pt idx="159">
                  <c:v>41</c:v>
                </c:pt>
                <c:pt idx="160">
                  <c:v>40.5</c:v>
                </c:pt>
                <c:pt idx="161">
                  <c:v>40</c:v>
                </c:pt>
                <c:pt idx="162">
                  <c:v>39.5</c:v>
                </c:pt>
                <c:pt idx="163">
                  <c:v>39</c:v>
                </c:pt>
                <c:pt idx="164">
                  <c:v>38.5</c:v>
                </c:pt>
                <c:pt idx="165">
                  <c:v>38</c:v>
                </c:pt>
                <c:pt idx="166">
                  <c:v>37.5</c:v>
                </c:pt>
                <c:pt idx="167">
                  <c:v>37</c:v>
                </c:pt>
                <c:pt idx="168">
                  <c:v>36.5</c:v>
                </c:pt>
                <c:pt idx="169">
                  <c:v>36</c:v>
                </c:pt>
                <c:pt idx="170">
                  <c:v>35.5</c:v>
                </c:pt>
                <c:pt idx="171">
                  <c:v>35</c:v>
                </c:pt>
                <c:pt idx="172">
                  <c:v>34.5</c:v>
                </c:pt>
                <c:pt idx="173">
                  <c:v>34</c:v>
                </c:pt>
                <c:pt idx="174">
                  <c:v>33.5</c:v>
                </c:pt>
                <c:pt idx="175">
                  <c:v>33</c:v>
                </c:pt>
                <c:pt idx="176">
                  <c:v>32.5</c:v>
                </c:pt>
                <c:pt idx="177">
                  <c:v>32</c:v>
                </c:pt>
                <c:pt idx="178">
                  <c:v>31.5</c:v>
                </c:pt>
                <c:pt idx="179">
                  <c:v>31</c:v>
                </c:pt>
                <c:pt idx="180">
                  <c:v>30.5</c:v>
                </c:pt>
                <c:pt idx="181">
                  <c:v>30</c:v>
                </c:pt>
                <c:pt idx="182">
                  <c:v>29.5</c:v>
                </c:pt>
                <c:pt idx="183">
                  <c:v>28.999999999999996</c:v>
                </c:pt>
                <c:pt idx="184">
                  <c:v>28.499999999999996</c:v>
                </c:pt>
                <c:pt idx="185">
                  <c:v>28.000000000000004</c:v>
                </c:pt>
                <c:pt idx="186">
                  <c:v>27.500000000000004</c:v>
                </c:pt>
                <c:pt idx="187">
                  <c:v>27</c:v>
                </c:pt>
                <c:pt idx="188">
                  <c:v>26.5</c:v>
                </c:pt>
                <c:pt idx="189">
                  <c:v>26</c:v>
                </c:pt>
                <c:pt idx="190">
                  <c:v>25.5</c:v>
                </c:pt>
                <c:pt idx="191">
                  <c:v>25</c:v>
                </c:pt>
                <c:pt idx="192">
                  <c:v>24.5</c:v>
                </c:pt>
                <c:pt idx="193">
                  <c:v>24</c:v>
                </c:pt>
                <c:pt idx="194">
                  <c:v>23.5</c:v>
                </c:pt>
                <c:pt idx="195">
                  <c:v>23</c:v>
                </c:pt>
                <c:pt idx="196">
                  <c:v>22.5</c:v>
                </c:pt>
                <c:pt idx="197">
                  <c:v>22</c:v>
                </c:pt>
                <c:pt idx="198">
                  <c:v>21.5</c:v>
                </c:pt>
                <c:pt idx="199">
                  <c:v>21</c:v>
                </c:pt>
                <c:pt idx="200">
                  <c:v>20.5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16-523D-45F2-A185-6CF84E099DBB}"/>
            </c:ext>
          </c:extLst>
        </c:ser>
        <c:ser>
          <c:idx val="5"/>
          <c:order val="10"/>
          <c:tx>
            <c:strRef>
              <c:f>'HULP-velden'!$AP$16</c:f>
              <c:strCache>
                <c:ptCount val="1"/>
                <c:pt idx="0">
                  <c:v>BPK-Lijn +3</c:v>
                </c:pt>
              </c:strCache>
            </c:strRef>
          </c:tx>
          <c:spPr>
            <a:ln w="38100">
              <a:solidFill>
                <a:schemeClr val="accent2">
                  <a:lumMod val="60000"/>
                  <a:lumOff val="40000"/>
                </a:schemeClr>
              </a:solidFill>
            </a:ln>
          </c:spPr>
          <c:marker>
            <c:symbol val="none"/>
          </c:marker>
          <c:xVal>
            <c:numRef>
              <c:f>'HULP-velden'!$AP$22:$AP$223</c:f>
              <c:numCache>
                <c:formatCode>_(* #,##0.00_);_(* \(#,##0.00\);_(* "-"??_);_(@_)</c:formatCode>
                <c:ptCount val="202"/>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5">
                  <c:v>57.999999999999993</c:v>
                </c:pt>
                <c:pt idx="146">
                  <c:v>57.499999999999993</c:v>
                </c:pt>
                <c:pt idx="147">
                  <c:v>56.999999999999993</c:v>
                </c:pt>
                <c:pt idx="148">
                  <c:v>56.499999999999993</c:v>
                </c:pt>
                <c:pt idx="149">
                  <c:v>56.000000000000007</c:v>
                </c:pt>
                <c:pt idx="150">
                  <c:v>55.500000000000007</c:v>
                </c:pt>
                <c:pt idx="151">
                  <c:v>55.000000000000007</c:v>
                </c:pt>
                <c:pt idx="152">
                  <c:v>54.500000000000007</c:v>
                </c:pt>
                <c:pt idx="153">
                  <c:v>54</c:v>
                </c:pt>
                <c:pt idx="154">
                  <c:v>53.5</c:v>
                </c:pt>
                <c:pt idx="155">
                  <c:v>53</c:v>
                </c:pt>
                <c:pt idx="156">
                  <c:v>52.5</c:v>
                </c:pt>
                <c:pt idx="157">
                  <c:v>52</c:v>
                </c:pt>
                <c:pt idx="158">
                  <c:v>51.5</c:v>
                </c:pt>
                <c:pt idx="159">
                  <c:v>51</c:v>
                </c:pt>
                <c:pt idx="160">
                  <c:v>50.5</c:v>
                </c:pt>
                <c:pt idx="161">
                  <c:v>50</c:v>
                </c:pt>
                <c:pt idx="162">
                  <c:v>49.5</c:v>
                </c:pt>
                <c:pt idx="163">
                  <c:v>49</c:v>
                </c:pt>
                <c:pt idx="164">
                  <c:v>48.5</c:v>
                </c:pt>
                <c:pt idx="165">
                  <c:v>48</c:v>
                </c:pt>
                <c:pt idx="166">
                  <c:v>47.5</c:v>
                </c:pt>
                <c:pt idx="167">
                  <c:v>47</c:v>
                </c:pt>
                <c:pt idx="168">
                  <c:v>46.5</c:v>
                </c:pt>
                <c:pt idx="169">
                  <c:v>46</c:v>
                </c:pt>
                <c:pt idx="170">
                  <c:v>45.5</c:v>
                </c:pt>
                <c:pt idx="171">
                  <c:v>45</c:v>
                </c:pt>
                <c:pt idx="172">
                  <c:v>44.5</c:v>
                </c:pt>
                <c:pt idx="173">
                  <c:v>44</c:v>
                </c:pt>
                <c:pt idx="174">
                  <c:v>43.5</c:v>
                </c:pt>
                <c:pt idx="175">
                  <c:v>43</c:v>
                </c:pt>
                <c:pt idx="176">
                  <c:v>42.5</c:v>
                </c:pt>
                <c:pt idx="177">
                  <c:v>42</c:v>
                </c:pt>
                <c:pt idx="178">
                  <c:v>41.5</c:v>
                </c:pt>
                <c:pt idx="179">
                  <c:v>41</c:v>
                </c:pt>
                <c:pt idx="180">
                  <c:v>40.5</c:v>
                </c:pt>
                <c:pt idx="181">
                  <c:v>40</c:v>
                </c:pt>
                <c:pt idx="182">
                  <c:v>39.5</c:v>
                </c:pt>
                <c:pt idx="183">
                  <c:v>39</c:v>
                </c:pt>
                <c:pt idx="184">
                  <c:v>38.5</c:v>
                </c:pt>
                <c:pt idx="185">
                  <c:v>38</c:v>
                </c:pt>
                <c:pt idx="186">
                  <c:v>37.5</c:v>
                </c:pt>
                <c:pt idx="187">
                  <c:v>37</c:v>
                </c:pt>
                <c:pt idx="188">
                  <c:v>36.5</c:v>
                </c:pt>
                <c:pt idx="189">
                  <c:v>36</c:v>
                </c:pt>
                <c:pt idx="190">
                  <c:v>35.5</c:v>
                </c:pt>
                <c:pt idx="191">
                  <c:v>35</c:v>
                </c:pt>
                <c:pt idx="192">
                  <c:v>34.5</c:v>
                </c:pt>
                <c:pt idx="193">
                  <c:v>34</c:v>
                </c:pt>
                <c:pt idx="194">
                  <c:v>33.5</c:v>
                </c:pt>
                <c:pt idx="195">
                  <c:v>33</c:v>
                </c:pt>
                <c:pt idx="196">
                  <c:v>32.5</c:v>
                </c:pt>
                <c:pt idx="197">
                  <c:v>32</c:v>
                </c:pt>
                <c:pt idx="198">
                  <c:v>31.5</c:v>
                </c:pt>
                <c:pt idx="199">
                  <c:v>31</c:v>
                </c:pt>
                <c:pt idx="200">
                  <c:v>30.5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17-523D-45F2-A185-6CF84E099DBB}"/>
            </c:ext>
          </c:extLst>
        </c:ser>
        <c:ser>
          <c:idx val="13"/>
          <c:order val="11"/>
          <c:tx>
            <c:v>Qknockout</c:v>
          </c:tx>
          <c:spPr>
            <a:ln w="38100">
              <a:solidFill>
                <a:srgbClr val="FF0000"/>
              </a:solidFill>
              <a:prstDash val="sysDash"/>
            </a:ln>
          </c:spPr>
          <c:marker>
            <c:symbol val="none"/>
          </c:marker>
          <c:xVal>
            <c:numRef>
              <c:f>'HULP-velden'!$C$26:$D$26</c:f>
              <c:numCache>
                <c:formatCode>General</c:formatCode>
                <c:ptCount val="2"/>
                <c:pt idx="0">
                  <c:v>-1000</c:v>
                </c:pt>
                <c:pt idx="1">
                  <c:v>-1000</c:v>
                </c:pt>
              </c:numCache>
            </c:numRef>
          </c:xVal>
          <c:yVal>
            <c:numRef>
              <c:f>'HULP-velden'!$C$21:$D$21</c:f>
              <c:numCache>
                <c:formatCode>"$"\ #.##000</c:formatCode>
                <c:ptCount val="2"/>
                <c:pt idx="0">
                  <c:v>0</c:v>
                </c:pt>
                <c:pt idx="1">
                  <c:v>520000</c:v>
                </c:pt>
              </c:numCache>
            </c:numRef>
          </c:yVal>
          <c:smooth val="0"/>
          <c:extLst>
            <c:ext xmlns:c16="http://schemas.microsoft.com/office/drawing/2014/chart" uri="{C3380CC4-5D6E-409C-BE32-E72D297353CC}">
              <c16:uniqueId val="{0000001A-523D-45F2-A185-6CF84E099DBB}"/>
            </c:ext>
          </c:extLst>
        </c:ser>
        <c:ser>
          <c:idx val="1"/>
          <c:order val="12"/>
          <c:tx>
            <c:v>Qmin</c:v>
          </c:tx>
          <c:marker>
            <c:symbol val="none"/>
          </c:marker>
          <c:dPt>
            <c:idx val="1"/>
            <c:bubble3D val="0"/>
            <c:spPr>
              <a:ln w="41275">
                <a:solidFill>
                  <a:srgbClr val="0070C0"/>
                </a:solidFill>
              </a:ln>
            </c:spPr>
            <c:extLst xmlns:c15="http://schemas.microsoft.com/office/drawing/2012/chart">
              <c:ext xmlns:c16="http://schemas.microsoft.com/office/drawing/2014/chart" uri="{C3380CC4-5D6E-409C-BE32-E72D297353CC}">
                <c16:uniqueId val="{0000001D-523D-45F2-A185-6CF84E099DBB}"/>
              </c:ext>
            </c:extLst>
          </c:dPt>
          <c:xVal>
            <c:numRef>
              <c:f>'HULP-velden'!$C$28:$D$28</c:f>
              <c:numCache>
                <c:formatCode>General</c:formatCode>
                <c:ptCount val="2"/>
                <c:pt idx="0">
                  <c:v>0</c:v>
                </c:pt>
                <c:pt idx="1">
                  <c:v>0</c:v>
                </c:pt>
              </c:numCache>
              <c:extLst xmlns:c15="http://schemas.microsoft.com/office/drawing/2012/chart"/>
            </c:numRef>
          </c:xVal>
          <c:yVal>
            <c:numRef>
              <c:f>'HULP-velden'!$C$21:$D$21</c:f>
              <c:numCache>
                <c:formatCode>"$"\ #.##000</c:formatCode>
                <c:ptCount val="2"/>
                <c:pt idx="0">
                  <c:v>0</c:v>
                </c:pt>
                <c:pt idx="1">
                  <c:v>520000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1E-523D-45F2-A185-6CF84E099DBB}"/>
            </c:ext>
          </c:extLst>
        </c:ser>
        <c:ser>
          <c:idx val="2"/>
          <c:order val="13"/>
          <c:tx>
            <c:v>Punten bij Qmin</c:v>
          </c:tx>
          <c:marker>
            <c:symbol val="none"/>
          </c:marker>
          <c:dLbls>
            <c:dLbl>
              <c:idx val="0"/>
              <c:layout>
                <c:manualLayout>
                  <c:x val="-2.2031475519040746E-2"/>
                  <c:y val="5.7777144001883614E-2"/>
                </c:manualLayout>
              </c:layout>
              <c:showLegendKey val="0"/>
              <c:showVal val="0"/>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F-523D-45F2-A185-6CF84E099DBB}"/>
                </c:ext>
              </c:extLst>
            </c:dLbl>
            <c:spPr>
              <a:noFill/>
              <a:ln>
                <a:noFill/>
              </a:ln>
              <a:effectLst/>
            </c:spPr>
            <c:txPr>
              <a:bodyPr wrap="square" lIns="38100" tIns="19050" rIns="38100" bIns="19050" anchor="ctr">
                <a:spAutoFit/>
              </a:bodyPr>
              <a:lstStyle/>
              <a:p>
                <a:pPr>
                  <a:defRPr b="1"/>
                </a:pPr>
                <a:endParaRPr lang="nl-NL"/>
              </a:p>
            </c:txPr>
            <c:showLegendKey val="0"/>
            <c:showVal val="0"/>
            <c:showCatName val="1"/>
            <c:showSerName val="0"/>
            <c:showPercent val="0"/>
            <c:showBubbleSize val="0"/>
            <c:showLeaderLines val="0"/>
            <c:extLst>
              <c:ext xmlns:c15="http://schemas.microsoft.com/office/drawing/2012/chart" uri="{CE6537A1-D6FC-4f65-9D91-7224C49458BB}">
                <c15:showLeaderLines val="0"/>
              </c:ext>
            </c:extLst>
          </c:dLbls>
          <c:xVal>
            <c:numRef>
              <c:f>'HULP-velden'!$C$28</c:f>
              <c:numCache>
                <c:formatCode>General</c:formatCode>
                <c:ptCount val="1"/>
                <c:pt idx="0">
                  <c:v>0</c:v>
                </c:pt>
              </c:numCache>
            </c:numRef>
          </c:xVal>
          <c:yVal>
            <c:numRef>
              <c:f>'HULP-velden'!$D$104</c:f>
              <c:numCache>
                <c:formatCode>_("$"* #.##000_);_("$"* \(#.##000\);_("$"* "-"??_);_(@_)</c:formatCode>
                <c:ptCount val="1"/>
                <c:pt idx="0">
                  <c:v>280000</c:v>
                </c:pt>
              </c:numCache>
            </c:numRef>
          </c:yVal>
          <c:smooth val="0"/>
          <c:extLst>
            <c:ext xmlns:c16="http://schemas.microsoft.com/office/drawing/2014/chart" uri="{C3380CC4-5D6E-409C-BE32-E72D297353CC}">
              <c16:uniqueId val="{00000020-523D-45F2-A185-6CF84E099DBB}"/>
            </c:ext>
          </c:extLst>
        </c:ser>
        <c:ser>
          <c:idx val="3"/>
          <c:order val="14"/>
          <c:tx>
            <c:v>Punten bij Qmax</c:v>
          </c:tx>
          <c:marker>
            <c:symbol val="none"/>
          </c:marker>
          <c:dLbls>
            <c:dLbl>
              <c:idx val="0"/>
              <c:layout>
                <c:manualLayout>
                  <c:x val="-1.1140503951709938E-2"/>
                  <c:y val="5.0454086781029264E-2"/>
                </c:manualLayout>
              </c:layout>
              <c:tx>
                <c:rich>
                  <a:bodyPr wrap="square" lIns="38100" tIns="19050" rIns="38100" bIns="19050" anchor="ctr">
                    <a:spAutoFit/>
                  </a:bodyPr>
                  <a:lstStyle/>
                  <a:p>
                    <a:pPr>
                      <a:defRPr b="1"/>
                    </a:pPr>
                    <a:fld id="{1DB1995E-2C19-46EB-95F6-010EC7C03A5E}" type="CELLRANGE">
                      <a:rPr lang="en-US"/>
                      <a:pPr>
                        <a:defRPr b="1"/>
                      </a:pPr>
                      <a:t>[CELLRANGE]</a:t>
                    </a:fld>
                    <a:endParaRPr lang="nl-NL"/>
                  </a:p>
                </c:rich>
              </c:tx>
              <c:spPr>
                <a:noFill/>
                <a:ln>
                  <a:noFill/>
                </a:ln>
                <a:effectLst/>
              </c:spPr>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523D-45F2-A185-6CF84E099DBB}"/>
                </c:ext>
              </c:extLst>
            </c:dLbl>
            <c:spPr>
              <a:noFill/>
              <a:ln>
                <a:noFill/>
              </a:ln>
              <a:effectLst/>
            </c:sp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'HULP-velden'!$C$20</c:f>
              <c:numCache>
                <c:formatCode>#,##0</c:formatCode>
                <c:ptCount val="1"/>
                <c:pt idx="0">
                  <c:v>100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'HULP-velden'!$C$6</c15:f>
                <c15:dlblRangeCache>
                  <c:ptCount val="1"/>
                  <c:pt idx="0">
                    <c:v>500</c:v>
                  </c:pt>
                </c15:dlblRangeCache>
              </c15:datalabelsRange>
            </c:ext>
            <c:ext xmlns:c16="http://schemas.microsoft.com/office/drawing/2014/chart" uri="{C3380CC4-5D6E-409C-BE32-E72D297353CC}">
              <c16:uniqueId val="{00000022-523D-45F2-A185-6CF84E099DBB}"/>
            </c:ext>
          </c:extLst>
        </c:ser>
        <c:ser>
          <c:idx val="18"/>
          <c:order val="15"/>
          <c:tx>
            <c:v>LAQ</c:v>
          </c:tx>
          <c:marker>
            <c:symbol val="none"/>
          </c:marker>
          <c:dLbls>
            <c:dLbl>
              <c:idx val="0"/>
              <c:layout>
                <c:manualLayout>
                  <c:x val="-5.9800670709254787E-2"/>
                  <c:y val="5.2472250252270286E-2"/>
                </c:manualLayout>
              </c:layout>
              <c:tx>
                <c:rich>
                  <a:bodyPr/>
                  <a:lstStyle/>
                  <a:p>
                    <a:fld id="{B9F7CD1B-198C-4029-8576-D4797C349CE0}"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8-523D-45F2-A185-6CF84E099DBB}"/>
                </c:ext>
              </c:extLst>
            </c:dLbl>
            <c:spPr>
              <a:noFill/>
              <a:ln>
                <a:noFill/>
              </a:ln>
              <a:effectLst/>
            </c:spPr>
            <c:txPr>
              <a:bodyPr wrap="square" lIns="38100" tIns="19050" rIns="38100" bIns="19050" anchor="ctr">
                <a:spAutoFit/>
              </a:bodyPr>
              <a:lstStyle/>
              <a:p>
                <a:pPr>
                  <a:defRPr b="1">
                    <a:solidFill>
                      <a:schemeClr val="tx1"/>
                    </a:solidFill>
                  </a:defRPr>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'HULP-velden'!$C$26</c:f>
              <c:numCache>
                <c:formatCode>General</c:formatCode>
                <c:ptCount val="1"/>
                <c:pt idx="0">
                  <c:v>-1000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'HULP-velden'!$G$15</c15:f>
                <c15:dlblRangeCache>
                  <c:ptCount val="1"/>
                  <c:pt idx="0">
                    <c:v>LAQ = </c:v>
                  </c:pt>
                </c15:dlblRangeCache>
              </c15:datalabelsRange>
            </c:ext>
            <c:ext xmlns:c16="http://schemas.microsoft.com/office/drawing/2014/chart" uri="{C3380CC4-5D6E-409C-BE32-E72D297353CC}">
              <c16:uniqueId val="{00000029-523D-45F2-A185-6CF84E099DBB}"/>
            </c:ext>
          </c:extLst>
        </c:ser>
        <c:ser>
          <c:idx val="19"/>
          <c:order val="16"/>
          <c:tx>
            <c:v>Plafondprijs</c:v>
          </c:tx>
          <c:marker>
            <c:symbol val="none"/>
          </c:marker>
          <c:dLbls>
            <c:dLbl>
              <c:idx val="0"/>
              <c:layout>
                <c:manualLayout>
                  <c:x val="7.9552311291131161E-3"/>
                  <c:y val="2.6533899247797525E-2"/>
                </c:manualLayout>
              </c:layout>
              <c:tx>
                <c:rich>
                  <a:bodyPr wrap="square" lIns="38100" tIns="19050" rIns="38100" bIns="19050" anchor="ctr" anchorCtr="0">
                    <a:spAutoFit/>
                  </a:bodyPr>
                  <a:lstStyle/>
                  <a:p>
                    <a:pPr algn="l">
                      <a:defRPr b="0">
                        <a:solidFill>
                          <a:srgbClr val="FF0000"/>
                        </a:solidFill>
                      </a:defRPr>
                    </a:pPr>
                    <a:fld id="{C1EC00EF-C9CA-4441-A4C5-6B08FC8346D5}" type="CELLRANGE">
                      <a:rPr lang="en-US"/>
                      <a:pPr algn="l">
                        <a:defRPr b="0">
                          <a:solidFill>
                            <a:srgbClr val="FF0000"/>
                          </a:solidFill>
                        </a:defRPr>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layout>
                    <c:manualLayout>
                      <c:w val="0.30562194603991177"/>
                      <c:h val="5.4540084824499145E-2"/>
                    </c:manualLayout>
                  </c15:layout>
                  <c15:dlblFieldTable/>
                  <c15:showDataLabelsRange val="1"/>
                </c:ext>
                <c:ext xmlns:c16="http://schemas.microsoft.com/office/drawing/2014/chart" uri="{C3380CC4-5D6E-409C-BE32-E72D297353CC}">
                  <c16:uniqueId val="{0000002A-523D-45F2-A185-6CF84E099DBB}"/>
                </c:ext>
              </c:extLst>
            </c:dLbl>
            <c:spPr>
              <a:noFill/>
              <a:ln>
                <a:noFill/>
              </a:ln>
              <a:effectLst/>
            </c:spPr>
            <c:txPr>
              <a:bodyPr wrap="square" lIns="38100" tIns="19050" rIns="38100" bIns="19050" anchor="ctr">
                <a:spAutoFit/>
              </a:bodyPr>
              <a:lstStyle/>
              <a:p>
                <a:pPr>
                  <a:defRPr>
                    <a:solidFill>
                      <a:srgbClr val="FF0000"/>
                    </a:solidFill>
                  </a:defRPr>
                </a:pPr>
                <a:endParaRPr lang="nl-NL"/>
              </a:p>
            </c:txPr>
            <c:showLegendKey val="0"/>
            <c:showVal val="1"/>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Lit>
              <c:formatCode>General</c:formatCode>
              <c:ptCount val="1"/>
              <c:pt idx="0">
                <c:v>0</c:v>
              </c:pt>
            </c:numLit>
          </c:xVal>
          <c:yVal>
            <c:numRef>
              <c:f>'HULP-velden'!$D$24</c:f>
              <c:numCache>
                <c:formatCode>_("$"* #.##000_);_("$"* \(#.##000\);_("$"* "-"??_);_(@_)</c:formatCode>
                <c:ptCount val="1"/>
                <c:pt idx="0">
                  <c:v>-100000</c:v>
                </c:pt>
              </c:numCache>
            </c:numRef>
          </c:yVal>
          <c:smooth val="0"/>
          <c:extLst>
            <c:ext xmlns:c15="http://schemas.microsoft.com/office/drawing/2012/chart" uri="{02D57815-91ED-43cb-92C2-25804820EDAC}">
              <c15:datalabelsRange>
                <c15:f>'HULP-velden'!$G$16</c15:f>
                <c15:dlblRangeCache>
                  <c:ptCount val="1"/>
                  <c:pt idx="0">
                    <c:v>Plafondprijs; -€ 100</c:v>
                  </c:pt>
                </c15:dlblRangeCache>
              </c15:datalabelsRange>
            </c:ext>
            <c:ext xmlns:c16="http://schemas.microsoft.com/office/drawing/2014/chart" uri="{C3380CC4-5D6E-409C-BE32-E72D297353CC}">
              <c16:uniqueId val="{0000002B-523D-45F2-A185-6CF84E099DBB}"/>
            </c:ext>
          </c:extLst>
        </c:ser>
        <c:ser>
          <c:idx val="12"/>
          <c:order val="17"/>
          <c:tx>
            <c:strRef>
              <c:f>'Info BD'!$D$19</c:f>
              <c:strCache>
                <c:ptCount val="1"/>
                <c:pt idx="0">
                  <c:v>1</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'HULP-velden'!$G$41</c:f>
              <c:numCache>
                <c:formatCode>General</c:formatCode>
                <c:ptCount val="1"/>
                <c:pt idx="0">
                  <c:v>67.600000000000009</c:v>
                </c:pt>
              </c:numCache>
            </c:numRef>
          </c:xVal>
          <c:yVal>
            <c:numRef>
              <c:f>'Info BD'!$I$19</c:f>
              <c:numCache>
                <c:formatCode>_("$"* #.##000_);_("$"* \(#.##000\);_("$"* "-"??_);_(@_)</c:formatCode>
                <c:ptCount val="1"/>
                <c:pt idx="0">
                  <c:v>385000</c:v>
                </c:pt>
              </c:numCache>
            </c:numRef>
          </c:yVal>
          <c:smooth val="0"/>
          <c:extLst>
            <c:ext xmlns:c16="http://schemas.microsoft.com/office/drawing/2014/chart" uri="{C3380CC4-5D6E-409C-BE32-E72D297353CC}">
              <c16:uniqueId val="{0000002D-523D-45F2-A185-6CF84E099DBB}"/>
            </c:ext>
          </c:extLst>
        </c:ser>
        <c:ser>
          <c:idx val="15"/>
          <c:order val="18"/>
          <c:tx>
            <c:strRef>
              <c:f>'Info BD'!$D$20</c:f>
              <c:strCache>
                <c:ptCount val="1"/>
                <c:pt idx="0">
                  <c:v>2</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'HULP-velden'!$G$42</c:f>
              <c:numCache>
                <c:formatCode>General</c:formatCode>
                <c:ptCount val="1"/>
                <c:pt idx="0">
                  <c:v>72.599999999999994</c:v>
                </c:pt>
              </c:numCache>
            </c:numRef>
          </c:xVal>
          <c:yVal>
            <c:numRef>
              <c:f>'Info BD'!$I$20</c:f>
              <c:numCache>
                <c:formatCode>_("$"* #.##000_);_("$"* \(#.##000\);_("$"* "-"??_);_(@_)</c:formatCode>
                <c:ptCount val="1"/>
                <c:pt idx="0">
                  <c:v>360000</c:v>
                </c:pt>
              </c:numCache>
            </c:numRef>
          </c:yVal>
          <c:smooth val="0"/>
          <c:extLst>
            <c:ext xmlns:c16="http://schemas.microsoft.com/office/drawing/2014/chart" uri="{C3380CC4-5D6E-409C-BE32-E72D297353CC}">
              <c16:uniqueId val="{00000010-3525-4012-9B65-176480C5ED59}"/>
            </c:ext>
          </c:extLst>
        </c:ser>
        <c:ser>
          <c:idx val="16"/>
          <c:order val="19"/>
          <c:tx>
            <c:strRef>
              <c:f>'Info BD'!$D$21</c:f>
              <c:strCache>
                <c:ptCount val="1"/>
                <c:pt idx="0">
                  <c:v>3</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'HULP-velden'!$G$43</c:f>
              <c:numCache>
                <c:formatCode>General</c:formatCode>
                <c:ptCount val="1"/>
                <c:pt idx="0">
                  <c:v>90</c:v>
                </c:pt>
              </c:numCache>
            </c:numRef>
          </c:xVal>
          <c:yVal>
            <c:numRef>
              <c:f>'Info BD'!$I$21</c:f>
              <c:numCache>
                <c:formatCode>_("$"* #.##000_);_("$"* \(#.##000\);_("$"* "-"??_);_(@_)</c:formatCode>
                <c:ptCount val="1"/>
                <c:pt idx="0">
                  <c:v>405000</c:v>
                </c:pt>
              </c:numCache>
            </c:numRef>
          </c:yVal>
          <c:smooth val="0"/>
          <c:extLst>
            <c:ext xmlns:c16="http://schemas.microsoft.com/office/drawing/2014/chart" uri="{C3380CC4-5D6E-409C-BE32-E72D297353CC}">
              <c16:uniqueId val="{00000012-3525-4012-9B65-176480C5ED59}"/>
            </c:ext>
          </c:extLst>
        </c:ser>
        <c:ser>
          <c:idx val="17"/>
          <c:order val="20"/>
          <c:tx>
            <c:strRef>
              <c:f>'Info BD'!$D$22</c:f>
              <c:strCache>
                <c:ptCount val="1"/>
                <c:pt idx="0">
                  <c:v>4</c:v>
                </c:pt>
              </c:strCache>
            </c:strRef>
          </c:tx>
          <c:marker>
            <c:symbol val="circle"/>
            <c:size val="12"/>
            <c:spPr>
              <a:solidFill>
                <a:srgbClr val="00C8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'HULP-velden'!$G$44</c:f>
              <c:numCache>
                <c:formatCode>General</c:formatCode>
                <c:ptCount val="1"/>
                <c:pt idx="0">
                  <c:v>85</c:v>
                </c:pt>
              </c:numCache>
            </c:numRef>
          </c:xVal>
          <c:yVal>
            <c:numRef>
              <c:f>'Info BD'!$I$22</c:f>
              <c:numCache>
                <c:formatCode>_("$"* #.##000_);_("$"* \(#.##000\);_("$"* "-"??_);_(@_)</c:formatCode>
                <c:ptCount val="1"/>
                <c:pt idx="0">
                  <c:v>379000</c:v>
                </c:pt>
              </c:numCache>
            </c:numRef>
          </c:yVal>
          <c:smooth val="0"/>
          <c:extLst>
            <c:ext xmlns:c16="http://schemas.microsoft.com/office/drawing/2014/chart" uri="{C3380CC4-5D6E-409C-BE32-E72D297353CC}">
              <c16:uniqueId val="{00000013-3525-4012-9B65-176480C5ED59}"/>
            </c:ext>
          </c:extLst>
        </c:ser>
        <c:ser>
          <c:idx val="21"/>
          <c:order val="21"/>
          <c:tx>
            <c:strRef>
              <c:f>'Info BD'!$D$23</c:f>
              <c:strCache>
                <c:ptCount val="1"/>
                <c:pt idx="0">
                  <c:v>5</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'HULP-velden'!$G$45</c:f>
              <c:numCache>
                <c:formatCode>General</c:formatCode>
                <c:ptCount val="1"/>
                <c:pt idx="0">
                  <c:v>77.600000000000009</c:v>
                </c:pt>
              </c:numCache>
            </c:numRef>
          </c:xVal>
          <c:yVal>
            <c:numRef>
              <c:f>'Info BD'!$I$23</c:f>
              <c:numCache>
                <c:formatCode>_("$"* #.##000_);_("$"* \(#.##000\);_("$"* "-"??_);_(@_)</c:formatCode>
                <c:ptCount val="1"/>
                <c:pt idx="0">
                  <c:v>400000</c:v>
                </c:pt>
              </c:numCache>
            </c:numRef>
          </c:yVal>
          <c:smooth val="0"/>
          <c:extLst>
            <c:ext xmlns:c16="http://schemas.microsoft.com/office/drawing/2014/chart" uri="{C3380CC4-5D6E-409C-BE32-E72D297353CC}">
              <c16:uniqueId val="{00000014-3525-4012-9B65-176480C5ED59}"/>
            </c:ext>
          </c:extLst>
        </c:ser>
        <c:ser>
          <c:idx val="4"/>
          <c:order val="22"/>
          <c:tx>
            <c:v>Bovengrens</c:v>
          </c:tx>
          <c:marker>
            <c:symbol val="none"/>
          </c:marker>
          <c:dPt>
            <c:idx val="1"/>
            <c:bubble3D val="0"/>
            <c:spPr>
              <a:ln w="38100">
                <a:solidFill>
                  <a:schemeClr val="tx1"/>
                </a:solidFill>
                <a:prstDash val="dash"/>
              </a:ln>
            </c:spPr>
            <c:extLst>
              <c:ext xmlns:c16="http://schemas.microsoft.com/office/drawing/2014/chart" uri="{C3380CC4-5D6E-409C-BE32-E72D297353CC}">
                <c16:uniqueId val="{0000000F-0783-4457-944A-BB1CA05AAF4A}"/>
              </c:ext>
            </c:extLst>
          </c:dPt>
          <c:dLbls>
            <c:dLbl>
              <c:idx val="0"/>
              <c:layout>
                <c:manualLayout>
                  <c:x val="9.0201269573004523E-3"/>
                  <c:y val="-2.3877454136956959E-2"/>
                </c:manualLayout>
              </c:layout>
              <c:tx>
                <c:rich>
                  <a:bodyPr wrap="square" lIns="38100" tIns="19050" rIns="38100" bIns="19050" anchor="ctr" anchorCtr="0">
                    <a:spAutoFit/>
                  </a:bodyPr>
                  <a:lstStyle/>
                  <a:p>
                    <a:pPr algn="l">
                      <a:defRPr/>
                    </a:pPr>
                    <a:fld id="{7B9EB564-C5AC-46B2-8E2D-5852AA94863F}" type="SERIESNAME">
                      <a:rPr lang="en-US" b="0"/>
                      <a:pPr algn="l">
                        <a:defRPr/>
                      </a:pPr>
                      <a:t>[REEKSNAAM]</a:t>
                    </a:fld>
                    <a:r>
                      <a:rPr lang="en-US" b="1" baseline="0"/>
                      <a:t>; </a:t>
                    </a:r>
                    <a:fld id="{1B753527-AC25-42D7-96F8-D5A5A895AD80}" type="YVALUE">
                      <a:rPr lang="en-US" b="0" baseline="0"/>
                      <a:pPr algn="l">
                        <a:defRPr/>
                      </a:pPr>
                      <a:t>[Y-WAARDE]</a:t>
                    </a:fld>
                    <a:endParaRPr lang="en-US" b="1" baseline="0"/>
                  </a:p>
                </c:rich>
              </c:tx>
              <c:numFmt formatCode="&quot;€&quot;\ #,##0" sourceLinked="0"/>
              <c:spPr>
                <a:noFill/>
                <a:ln>
                  <a:noFill/>
                </a:ln>
                <a:effectLst/>
              </c:spPr>
              <c:showLegendKey val="0"/>
              <c:showVal val="1"/>
              <c:showCatName val="0"/>
              <c:showSerName val="1"/>
              <c:showPercent val="0"/>
              <c:showBubbleSize val="0"/>
              <c:extLst>
                <c:ext xmlns:c15="http://schemas.microsoft.com/office/drawing/2012/chart" uri="{CE6537A1-D6FC-4f65-9D91-7224C49458BB}">
                  <c15:layout>
                    <c:manualLayout>
                      <c:w val="0.40583547761927363"/>
                      <c:h val="5.4540084824499145E-2"/>
                    </c:manualLayout>
                  </c15:layout>
                  <c15:dlblFieldTable/>
                  <c15:showDataLabelsRange val="0"/>
                </c:ext>
                <c:ext xmlns:c16="http://schemas.microsoft.com/office/drawing/2014/chart" uri="{C3380CC4-5D6E-409C-BE32-E72D297353CC}">
                  <c16:uniqueId val="{00000010-0783-4457-944A-BB1CA05AAF4A}"/>
                </c:ext>
              </c:extLst>
            </c:dLbl>
            <c:dLbl>
              <c:idx val="1"/>
              <c:delete val="1"/>
              <c:extLst>
                <c:ext xmlns:c15="http://schemas.microsoft.com/office/drawing/2012/chart" uri="{CE6537A1-D6FC-4f65-9D91-7224C49458BB}"/>
                <c:ext xmlns:c16="http://schemas.microsoft.com/office/drawing/2014/chart" uri="{C3380CC4-5D6E-409C-BE32-E72D297353CC}">
                  <c16:uniqueId val="{0000000F-0783-4457-944A-BB1CA05AAF4A}"/>
                </c:ext>
              </c:extLst>
            </c:dLbl>
            <c:spPr>
              <a:noFill/>
              <a:ln>
                <a:noFill/>
              </a:ln>
              <a:effectLst/>
            </c:spPr>
            <c:txPr>
              <a:bodyPr wrap="square" lIns="38100" tIns="19050" rIns="38100" bIns="19050" anchor="ctr" anchorCtr="0">
                <a:spAutoFit/>
              </a:bodyPr>
              <a:lstStyle/>
              <a:p>
                <a:pPr algn="l">
                  <a:defRPr/>
                </a:pPr>
                <a:endParaRPr lang="nl-NL"/>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xVal>
            <c:numRef>
              <c:f>'HULP-velden'!$C$35:$D$35</c:f>
              <c:numCache>
                <c:formatCode>General</c:formatCode>
                <c:ptCount val="2"/>
                <c:pt idx="0">
                  <c:v>0</c:v>
                </c:pt>
                <c:pt idx="1">
                  <c:v>100</c:v>
                </c:pt>
              </c:numCache>
            </c:numRef>
          </c:xVal>
          <c:yVal>
            <c:numRef>
              <c:f>'HULP-velden'!$C$17:$D$17</c:f>
              <c:numCache>
                <c:formatCode>_("$"* #.##000_);_("$"* \(#.##000\);_("$"* "-"??_);_(@_)</c:formatCode>
                <c:ptCount val="2"/>
                <c:pt idx="0">
                  <c:v>500000</c:v>
                </c:pt>
                <c:pt idx="1">
                  <c:v>500000</c:v>
                </c:pt>
              </c:numCache>
            </c:numRef>
          </c:yVal>
          <c:smooth val="0"/>
          <c:extLst>
            <c:ext xmlns:c16="http://schemas.microsoft.com/office/drawing/2014/chart" uri="{C3380CC4-5D6E-409C-BE32-E72D297353CC}">
              <c16:uniqueId val="{0000000E-0783-4457-944A-BB1CA05AAF4A}"/>
            </c:ext>
          </c:extLst>
        </c:ser>
        <c:ser>
          <c:idx val="22"/>
          <c:order val="23"/>
          <c:tx>
            <c:v>Ondergrens</c:v>
          </c:tx>
          <c:marker>
            <c:symbol val="none"/>
          </c:marker>
          <c:dPt>
            <c:idx val="1"/>
            <c:bubble3D val="0"/>
            <c:spPr>
              <a:ln w="25400">
                <a:solidFill>
                  <a:schemeClr val="tx1"/>
                </a:solidFill>
                <a:prstDash val="sysDash"/>
              </a:ln>
            </c:spPr>
            <c:extLst>
              <c:ext xmlns:c16="http://schemas.microsoft.com/office/drawing/2014/chart" uri="{C3380CC4-5D6E-409C-BE32-E72D297353CC}">
                <c16:uniqueId val="{00000012-0783-4457-944A-BB1CA05AAF4A}"/>
              </c:ext>
            </c:extLst>
          </c:dPt>
          <c:dLbls>
            <c:dLbl>
              <c:idx val="0"/>
              <c:layout>
                <c:manualLayout>
                  <c:x val="5.0111027266983603E-3"/>
                  <c:y val="2.5867320319807475E-2"/>
                </c:manualLayout>
              </c:layout>
              <c:tx>
                <c:rich>
                  <a:bodyPr wrap="square" lIns="38100" tIns="19050" rIns="38100" bIns="19050" anchor="ctr" anchorCtr="0">
                    <a:noAutofit/>
                  </a:bodyPr>
                  <a:lstStyle/>
                  <a:p>
                    <a:pPr algn="l">
                      <a:defRPr b="1"/>
                    </a:pPr>
                    <a:fld id="{6EBB692F-CE11-4B80-8049-6332A53B8E9C}" type="SERIESNAME">
                      <a:rPr lang="en-US" b="0"/>
                      <a:pPr algn="l">
                        <a:defRPr b="1"/>
                      </a:pPr>
                      <a:t>[REEKSNAAM]</a:t>
                    </a:fld>
                    <a:r>
                      <a:rPr lang="en-US" b="0" baseline="0"/>
                      <a:t>; </a:t>
                    </a:r>
                    <a:fld id="{9E192DA8-A13D-46C4-8861-7681DA3A4C7F}" type="YVALUE">
                      <a:rPr lang="en-US" b="0" baseline="0"/>
                      <a:pPr algn="l">
                        <a:defRPr b="1"/>
                      </a:pPr>
                      <a:t>[Y-WAARDE]</a:t>
                    </a:fld>
                    <a:endParaRPr lang="en-US" b="0" baseline="0"/>
                  </a:p>
                </c:rich>
              </c:tx>
              <c:numFmt formatCode="&quot;€&quot;\ #,##0" sourceLinked="0"/>
              <c:spPr>
                <a:noFill/>
                <a:ln>
                  <a:noFill/>
                </a:ln>
                <a:effectLst/>
              </c:spPr>
              <c:showLegendKey val="0"/>
              <c:showVal val="1"/>
              <c:showCatName val="0"/>
              <c:showSerName val="1"/>
              <c:showPercent val="0"/>
              <c:showBubbleSize val="0"/>
              <c:extLst>
                <c:ext xmlns:c15="http://schemas.microsoft.com/office/drawing/2012/chart" uri="{CE6537A1-D6FC-4f65-9D91-7224C49458BB}">
                  <c15:layout>
                    <c:manualLayout>
                      <c:w val="0.28892468880561994"/>
                      <c:h val="3.4234378206966135E-2"/>
                    </c:manualLayout>
                  </c15:layout>
                  <c15:dlblFieldTable/>
                  <c15:showDataLabelsRange val="0"/>
                </c:ext>
                <c:ext xmlns:c16="http://schemas.microsoft.com/office/drawing/2014/chart" uri="{C3380CC4-5D6E-409C-BE32-E72D297353CC}">
                  <c16:uniqueId val="{00000013-0783-4457-944A-BB1CA05AAF4A}"/>
                </c:ext>
              </c:extLst>
            </c:dLbl>
            <c:dLbl>
              <c:idx val="1"/>
              <c:delete val="1"/>
              <c:extLst>
                <c:ext xmlns:c15="http://schemas.microsoft.com/office/drawing/2012/chart" uri="{CE6537A1-D6FC-4f65-9D91-7224C49458BB}"/>
                <c:ext xmlns:c16="http://schemas.microsoft.com/office/drawing/2014/chart" uri="{C3380CC4-5D6E-409C-BE32-E72D297353CC}">
                  <c16:uniqueId val="{00000012-0783-4457-944A-BB1CA05AAF4A}"/>
                </c:ext>
              </c:extLst>
            </c:dLbl>
            <c:numFmt formatCode="&quot;€&quot;\ #,##0" sourceLinked="0"/>
            <c:spPr>
              <a:noFill/>
              <a:ln>
                <a:noFill/>
              </a:ln>
              <a:effectLst/>
            </c:spPr>
            <c:txPr>
              <a:bodyPr wrap="square" lIns="38100" tIns="19050" rIns="38100" bIns="19050" anchor="ctr">
                <a:spAutoFit/>
              </a:bodyPr>
              <a:lstStyle/>
              <a:p>
                <a:pPr>
                  <a:defRPr b="1"/>
                </a:pPr>
                <a:endParaRPr lang="nl-NL"/>
              </a:p>
            </c:txPr>
            <c:showLegendKey val="0"/>
            <c:showVal val="1"/>
            <c:showCatName val="0"/>
            <c:showSerName val="1"/>
            <c:showPercent val="0"/>
            <c:showBubbleSize val="0"/>
            <c:showLeaderLines val="0"/>
            <c:extLst>
              <c:ext xmlns:c15="http://schemas.microsoft.com/office/drawing/2012/chart" uri="{CE6537A1-D6FC-4f65-9D91-7224C49458BB}">
                <c15:showLeaderLines val="1"/>
              </c:ext>
            </c:extLst>
          </c:dLbls>
          <c:xVal>
            <c:numRef>
              <c:f>'HULP-velden'!$C$35:$D$35</c:f>
              <c:numCache>
                <c:formatCode>General</c:formatCode>
                <c:ptCount val="2"/>
                <c:pt idx="0">
                  <c:v>0</c:v>
                </c:pt>
                <c:pt idx="1">
                  <c:v>100</c:v>
                </c:pt>
              </c:numCache>
            </c:numRef>
          </c:xVal>
          <c:yVal>
            <c:numRef>
              <c:f>'HULP-velden'!$C$25:$D$25</c:f>
              <c:numCache>
                <c:formatCode>_("$"* #.##000_);_("$"* \(#.##000\);_("$"* "-"??_);_(@_)</c:formatCode>
                <c:ptCount val="2"/>
                <c:pt idx="0">
                  <c:v>300000</c:v>
                </c:pt>
                <c:pt idx="1">
                  <c:v>300000</c:v>
                </c:pt>
              </c:numCache>
            </c:numRef>
          </c:yVal>
          <c:smooth val="0"/>
          <c:extLst>
            <c:ext xmlns:c16="http://schemas.microsoft.com/office/drawing/2014/chart" uri="{C3380CC4-5D6E-409C-BE32-E72D297353CC}">
              <c16:uniqueId val="{00000011-0783-4457-944A-BB1CA05AAF4A}"/>
            </c:ext>
          </c:extLst>
        </c:ser>
        <c:dLbls>
          <c:showLegendKey val="0"/>
          <c:showVal val="0"/>
          <c:showCatName val="0"/>
          <c:showSerName val="0"/>
          <c:showPercent val="0"/>
          <c:showBubbleSize val="0"/>
        </c:dLbls>
        <c:axId val="622482064"/>
        <c:axId val="622487944"/>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10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1000"/>
            </a:pPr>
            <a:endParaRPr lang="nl-NL"/>
          </a:p>
        </c:txPr>
        <c:crossAx val="622482064"/>
        <c:crosses val="autoZero"/>
        <c:crossBetween val="midCat"/>
        <c:majorUnit val="20000"/>
        <c:dispUnits>
          <c:builtInUnit val="thousands"/>
        </c:dispUnits>
      </c:valAx>
      <c:spPr>
        <a:noFill/>
        <a:ln>
          <a:noFill/>
        </a:ln>
      </c:spPr>
    </c:plotArea>
    <c:plotVisOnly val="1"/>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440094488188976"/>
          <c:y val="3.0387106970889474E-2"/>
          <c:w val="0.85131901900198603"/>
          <c:h val="0.88672364955682947"/>
        </c:manualLayout>
      </c:layout>
      <c:scatterChart>
        <c:scatterStyle val="lineMarker"/>
        <c:varyColors val="0"/>
        <c:ser>
          <c:idx val="14"/>
          <c:order val="0"/>
          <c:tx>
            <c:v>Qmax</c:v>
          </c:tx>
          <c:spPr>
            <a:ln w="38100">
              <a:solidFill>
                <a:schemeClr val="tx2"/>
              </a:solidFill>
            </a:ln>
          </c:spPr>
          <c:marker>
            <c:symbol val="none"/>
          </c:marker>
          <c:xVal>
            <c:numRef>
              <c:f>'BPK-Grafiek'!$N$40:$O$40</c:f>
              <c:numCache>
                <c:formatCode>#,##0</c:formatCode>
                <c:ptCount val="2"/>
                <c:pt idx="0">
                  <c:v>100</c:v>
                </c:pt>
                <c:pt idx="1">
                  <c:v>100</c:v>
                </c:pt>
              </c:numCache>
              <c:extLst xmlns:c15="http://schemas.microsoft.com/office/drawing/2012/chart"/>
            </c:numRef>
          </c:xVal>
          <c:yVal>
            <c:numRef>
              <c:f>'BPK-Grafiek'!$N$41:$O$41</c:f>
              <c:numCache>
                <c:formatCode>_("$"* #.##000_);_("$"* \(#.##000\);_("$"* "-"??_);_(@_)</c:formatCode>
                <c:ptCount val="2"/>
                <c:pt idx="0" formatCode="&quot;$&quot;\ #.##000">
                  <c:v>0</c:v>
                </c:pt>
                <c:pt idx="1">
                  <c:v>520000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2-E22E-4848-A27C-E86A07C2CECC}"/>
            </c:ext>
          </c:extLst>
        </c:ser>
        <c:ser>
          <c:idx val="20"/>
          <c:order val="1"/>
          <c:tx>
            <c:v>Voorbeeld Pvbi | Qvbi</c:v>
          </c:tx>
          <c:marker>
            <c:symbol val="circle"/>
            <c:size val="12"/>
            <c:spPr>
              <a:solidFill>
                <a:srgbClr val="F79646"/>
              </a:solidFill>
              <a:ln>
                <a:noFill/>
              </a:ln>
            </c:spPr>
          </c:marker>
          <c:dLbls>
            <c:dLbl>
              <c:idx val="0"/>
              <c:layout>
                <c:manualLayout>
                  <c:x val="-0.18199992125984252"/>
                  <c:y val="-3.8605898123324434E-2"/>
                </c:manualLayout>
              </c:layout>
              <c:showLegendKey val="0"/>
              <c:showVal val="0"/>
              <c:showCatName val="0"/>
              <c:showSerName val="1"/>
              <c:showPercent val="0"/>
              <c:showBubbleSize val="0"/>
              <c:extLst xmlns:c15="http://schemas.microsoft.com/office/drawing/2012/chart">
                <c:ext xmlns:c15="http://schemas.microsoft.com/office/drawing/2012/chart" uri="{CE6537A1-D6FC-4f65-9D91-7224C49458BB}">
                  <c15:layout>
                    <c:manualLayout>
                      <c:w val="0.13107007874015747"/>
                      <c:h val="5.8788203753351205E-2"/>
                    </c:manualLayout>
                  </c15:layout>
                </c:ext>
                <c:ext xmlns:c16="http://schemas.microsoft.com/office/drawing/2014/chart" uri="{C3380CC4-5D6E-409C-BE32-E72D297353CC}">
                  <c16:uniqueId val="{00000003-E22E-4848-A27C-E86A07C2CECC}"/>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xmlns:c15="http://schemas.microsoft.com/office/drawing/2012/chart">
              <c:ext xmlns:c15="http://schemas.microsoft.com/office/drawing/2012/chart" uri="{CE6537A1-D6FC-4f65-9D91-7224C49458BB}">
                <c15:showLeaderLines val="1"/>
              </c:ext>
            </c:extLst>
          </c:dLbls>
          <c:xVal>
            <c:numRef>
              <c:f>'BPK-Grafiek'!$N$15</c:f>
              <c:numCache>
                <c:formatCode>#,##0</c:formatCode>
                <c:ptCount val="1"/>
                <c:pt idx="0">
                  <c:v>50</c:v>
                </c:pt>
              </c:numCache>
            </c:numRef>
          </c:xVal>
          <c:yVal>
            <c:numRef>
              <c:f>'BPK-Grafiek'!$O$42</c:f>
              <c:numCache>
                <c:formatCode>_("$"* #.##000_);_("$"* \(#.##000\);_("$"* "-"??_);_(@_)</c:formatCode>
                <c:ptCount val="1"/>
                <c:pt idx="0">
                  <c:v>400000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4-E22E-4848-A27C-E86A07C2CECC}"/>
            </c:ext>
          </c:extLst>
        </c:ser>
        <c:ser>
          <c:idx val="39"/>
          <c:order val="2"/>
          <c:tx>
            <c:v>Prijsplafond</c:v>
          </c:tx>
          <c:spPr>
            <a:ln w="38100">
              <a:solidFill>
                <a:srgbClr val="FF0000"/>
              </a:solidFill>
              <a:prstDash val="sysDash"/>
            </a:ln>
          </c:spPr>
          <c:marker>
            <c:symbol val="none"/>
          </c:marker>
          <c:xVal>
            <c:numRef>
              <c:f>'BPK-Grafiek'!$N$43:$O$43</c:f>
              <c:numCache>
                <c:formatCode>#,##0</c:formatCode>
                <c:ptCount val="2"/>
                <c:pt idx="0" formatCode="General">
                  <c:v>0</c:v>
                </c:pt>
                <c:pt idx="1">
                  <c:v>100</c:v>
                </c:pt>
              </c:numCache>
            </c:numRef>
          </c:xVal>
          <c:yVal>
            <c:numRef>
              <c:f>'BPK-Grafiek'!$N$44:$O$44</c:f>
              <c:numCache>
                <c:formatCode>_("$"* #.##000_);_("$"* \(#.##000\);_("$"* "-"??_);_(@_)</c:formatCode>
                <c:ptCount val="2"/>
                <c:pt idx="0">
                  <c:v>-100000</c:v>
                </c:pt>
                <c:pt idx="1">
                  <c:v>-100000</c:v>
                </c:pt>
              </c:numCache>
            </c:numRef>
          </c:yVal>
          <c:smooth val="0"/>
          <c:extLst>
            <c:ext xmlns:c16="http://schemas.microsoft.com/office/drawing/2014/chart" uri="{C3380CC4-5D6E-409C-BE32-E72D297353CC}">
              <c16:uniqueId val="{00000005-E22E-4848-A27C-E86A07C2CECC}"/>
            </c:ext>
          </c:extLst>
        </c:ser>
        <c:ser>
          <c:idx val="6"/>
          <c:order val="3"/>
          <c:tx>
            <c:v>Vergelijkingswaarde x 1.000</c:v>
          </c:tx>
          <c:marker>
            <c:symbol val="none"/>
          </c:marker>
          <c:dLbls>
            <c:dLbl>
              <c:idx val="0"/>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24983386946934105"/>
                      <c:h val="5.5009744635709595E-2"/>
                    </c:manualLayout>
                  </c15:layout>
                </c:ext>
                <c:ext xmlns:c16="http://schemas.microsoft.com/office/drawing/2014/chart" uri="{C3380CC4-5D6E-409C-BE32-E72D297353CC}">
                  <c16:uniqueId val="{00000006-FB56-406F-B807-CA2691DE855A}"/>
                </c:ext>
              </c:extLst>
            </c:dLbl>
            <c:spPr>
              <a:noFill/>
              <a:ln>
                <a:noFill/>
              </a:ln>
              <a:effectLst/>
            </c:sp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'BPK-Grafiek'!$N$45</c:f>
              <c:numCache>
                <c:formatCode>General</c:formatCode>
                <c:ptCount val="1"/>
                <c:pt idx="0">
                  <c:v>0</c:v>
                </c:pt>
              </c:numCache>
            </c:numRef>
          </c:xVal>
          <c:yVal>
            <c:numRef>
              <c:f>'BPK-Grafiek'!$O$45</c:f>
              <c:numCache>
                <c:formatCode>_("$"* #.##000_);_("$"* \(#.##000\);_("$"* "-"??_);_(@_)</c:formatCode>
                <c:ptCount val="1"/>
                <c:pt idx="0">
                  <c:v>520000</c:v>
                </c:pt>
              </c:numCache>
            </c:numRef>
          </c:yVal>
          <c:smooth val="0"/>
          <c:extLst>
            <c:ext xmlns:c16="http://schemas.microsoft.com/office/drawing/2014/chart" uri="{C3380CC4-5D6E-409C-BE32-E72D297353CC}">
              <c16:uniqueId val="{00000007-E22E-4848-A27C-E86A07C2CECC}"/>
            </c:ext>
          </c:extLst>
        </c:ser>
        <c:ser>
          <c:idx val="7"/>
          <c:order val="4"/>
          <c:tx>
            <c:strRef>
              <c:f>'HULP-velden'!$AJ$16</c:f>
              <c:strCache>
                <c:ptCount val="1"/>
                <c:pt idx="0">
                  <c:v>BPK-Lijn -3</c:v>
                </c:pt>
              </c:strCache>
            </c:strRef>
          </c:tx>
          <c:spPr>
            <a:ln w="38100">
              <a:solidFill>
                <a:schemeClr val="accent2">
                  <a:lumMod val="60000"/>
                  <a:lumOff val="40000"/>
                </a:schemeClr>
              </a:solidFill>
            </a:ln>
          </c:spPr>
          <c:marker>
            <c:symbol val="none"/>
          </c:marker>
          <c:xVal>
            <c:numRef>
              <c:f>'HULP-velden'!$AJ$22:$AJ$223</c:f>
              <c:numCache>
                <c:formatCode>_(* #,##0.00_);_(* \(#,##0.00\);_(* "-"??_);_(@_)</c:formatCode>
                <c:ptCount val="202"/>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5">
                  <c:v>-2</c:v>
                </c:pt>
                <c:pt idx="146">
                  <c:v>-2.5</c:v>
                </c:pt>
                <c:pt idx="147">
                  <c:v>-3</c:v>
                </c:pt>
                <c:pt idx="148">
                  <c:v>-3.5000000000000004</c:v>
                </c:pt>
                <c:pt idx="149">
                  <c:v>-4</c:v>
                </c:pt>
                <c:pt idx="150">
                  <c:v>-4.5</c:v>
                </c:pt>
                <c:pt idx="151">
                  <c:v>-5</c:v>
                </c:pt>
                <c:pt idx="152">
                  <c:v>-5.5</c:v>
                </c:pt>
                <c:pt idx="153">
                  <c:v>-6</c:v>
                </c:pt>
                <c:pt idx="154">
                  <c:v>-6.5</c:v>
                </c:pt>
                <c:pt idx="155">
                  <c:v>-7.0000000000000009</c:v>
                </c:pt>
                <c:pt idx="156">
                  <c:v>-7.5</c:v>
                </c:pt>
                <c:pt idx="157">
                  <c:v>-8</c:v>
                </c:pt>
                <c:pt idx="158">
                  <c:v>-8.5</c:v>
                </c:pt>
                <c:pt idx="159">
                  <c:v>-9</c:v>
                </c:pt>
                <c:pt idx="160">
                  <c:v>-9.5</c:v>
                </c:pt>
                <c:pt idx="161">
                  <c:v>-10</c:v>
                </c:pt>
                <c:pt idx="162">
                  <c:v>-10.5</c:v>
                </c:pt>
                <c:pt idx="163">
                  <c:v>-11</c:v>
                </c:pt>
                <c:pt idx="164">
                  <c:v>-11.5</c:v>
                </c:pt>
                <c:pt idx="165">
                  <c:v>-12</c:v>
                </c:pt>
                <c:pt idx="166">
                  <c:v>-12.5</c:v>
                </c:pt>
                <c:pt idx="167">
                  <c:v>-13</c:v>
                </c:pt>
                <c:pt idx="168">
                  <c:v>-13.5</c:v>
                </c:pt>
                <c:pt idx="169">
                  <c:v>-14.000000000000002</c:v>
                </c:pt>
                <c:pt idx="170">
                  <c:v>-14.499999999999998</c:v>
                </c:pt>
                <c:pt idx="171">
                  <c:v>-15</c:v>
                </c:pt>
                <c:pt idx="172">
                  <c:v>-15.5</c:v>
                </c:pt>
                <c:pt idx="173">
                  <c:v>-16</c:v>
                </c:pt>
                <c:pt idx="174">
                  <c:v>-16.5</c:v>
                </c:pt>
                <c:pt idx="175">
                  <c:v>-17</c:v>
                </c:pt>
                <c:pt idx="176">
                  <c:v>-17.5</c:v>
                </c:pt>
                <c:pt idx="177">
                  <c:v>-18</c:v>
                </c:pt>
                <c:pt idx="178">
                  <c:v>-18.5</c:v>
                </c:pt>
                <c:pt idx="179">
                  <c:v>-19</c:v>
                </c:pt>
                <c:pt idx="180">
                  <c:v>-19.5</c:v>
                </c:pt>
                <c:pt idx="181">
                  <c:v>-20</c:v>
                </c:pt>
                <c:pt idx="182">
                  <c:v>-20.5</c:v>
                </c:pt>
                <c:pt idx="183">
                  <c:v>-21</c:v>
                </c:pt>
                <c:pt idx="184">
                  <c:v>-21.5</c:v>
                </c:pt>
                <c:pt idx="185">
                  <c:v>-22</c:v>
                </c:pt>
                <c:pt idx="186">
                  <c:v>-22.5</c:v>
                </c:pt>
                <c:pt idx="187">
                  <c:v>-23</c:v>
                </c:pt>
                <c:pt idx="188">
                  <c:v>-23.5</c:v>
                </c:pt>
                <c:pt idx="189">
                  <c:v>-24</c:v>
                </c:pt>
                <c:pt idx="190">
                  <c:v>-24.5</c:v>
                </c:pt>
                <c:pt idx="191">
                  <c:v>-25</c:v>
                </c:pt>
                <c:pt idx="192">
                  <c:v>-25.5</c:v>
                </c:pt>
                <c:pt idx="193">
                  <c:v>-26</c:v>
                </c:pt>
                <c:pt idx="194">
                  <c:v>-26.5</c:v>
                </c:pt>
                <c:pt idx="195">
                  <c:v>-27</c:v>
                </c:pt>
                <c:pt idx="196">
                  <c:v>-27.500000000000004</c:v>
                </c:pt>
                <c:pt idx="197">
                  <c:v>-28.000000000000004</c:v>
                </c:pt>
                <c:pt idx="198">
                  <c:v>-28.499999999999996</c:v>
                </c:pt>
                <c:pt idx="199">
                  <c:v>-28.999999999999996</c:v>
                </c:pt>
                <c:pt idx="200">
                  <c:v>-29.5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95-E22E-4848-A27C-E86A07C2CECC}"/>
            </c:ext>
          </c:extLst>
        </c:ser>
        <c:ser>
          <c:idx val="8"/>
          <c:order val="5"/>
          <c:tx>
            <c:strRef>
              <c:f>'HULP-velden'!$AK$16</c:f>
              <c:strCache>
                <c:ptCount val="1"/>
                <c:pt idx="0">
                  <c:v>BPK-Lijn -2</c:v>
                </c:pt>
              </c:strCache>
            </c:strRef>
          </c:tx>
          <c:spPr>
            <a:ln w="38100">
              <a:solidFill>
                <a:schemeClr val="accent2">
                  <a:lumMod val="60000"/>
                  <a:lumOff val="40000"/>
                </a:schemeClr>
              </a:solidFill>
            </a:ln>
          </c:spPr>
          <c:marker>
            <c:symbol val="none"/>
          </c:marker>
          <c:xVal>
            <c:numRef>
              <c:f>'HULP-velden'!$AK$22:$AK$223</c:f>
              <c:numCache>
                <c:formatCode>_(* #,##0.00_);_(* \(#,##0.00\);_(* "-"??_);_(@_)</c:formatCode>
                <c:ptCount val="202"/>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5">
                  <c:v>8</c:v>
                </c:pt>
                <c:pt idx="146">
                  <c:v>7.5</c:v>
                </c:pt>
                <c:pt idx="147">
                  <c:v>7.0000000000000009</c:v>
                </c:pt>
                <c:pt idx="148">
                  <c:v>6.5</c:v>
                </c:pt>
                <c:pt idx="149">
                  <c:v>6</c:v>
                </c:pt>
                <c:pt idx="150">
                  <c:v>5.5</c:v>
                </c:pt>
                <c:pt idx="151">
                  <c:v>5</c:v>
                </c:pt>
                <c:pt idx="152">
                  <c:v>4.5</c:v>
                </c:pt>
                <c:pt idx="153">
                  <c:v>4</c:v>
                </c:pt>
                <c:pt idx="154">
                  <c:v>3.5000000000000004</c:v>
                </c:pt>
                <c:pt idx="155">
                  <c:v>3</c:v>
                </c:pt>
                <c:pt idx="156">
                  <c:v>2.5</c:v>
                </c:pt>
                <c:pt idx="157">
                  <c:v>2</c:v>
                </c:pt>
                <c:pt idx="158">
                  <c:v>1.5</c:v>
                </c:pt>
                <c:pt idx="159">
                  <c:v>1</c:v>
                </c:pt>
                <c:pt idx="160">
                  <c:v>0.5</c:v>
                </c:pt>
                <c:pt idx="161">
                  <c:v>0</c:v>
                </c:pt>
                <c:pt idx="162">
                  <c:v>-0.5</c:v>
                </c:pt>
                <c:pt idx="163">
                  <c:v>-1</c:v>
                </c:pt>
                <c:pt idx="164">
                  <c:v>-1.5</c:v>
                </c:pt>
                <c:pt idx="165">
                  <c:v>-2</c:v>
                </c:pt>
                <c:pt idx="166">
                  <c:v>-2.5</c:v>
                </c:pt>
                <c:pt idx="167">
                  <c:v>-3</c:v>
                </c:pt>
                <c:pt idx="168">
                  <c:v>-3.5000000000000004</c:v>
                </c:pt>
                <c:pt idx="169">
                  <c:v>-4</c:v>
                </c:pt>
                <c:pt idx="170">
                  <c:v>-4.5</c:v>
                </c:pt>
                <c:pt idx="171">
                  <c:v>-5</c:v>
                </c:pt>
                <c:pt idx="172">
                  <c:v>-5.5</c:v>
                </c:pt>
                <c:pt idx="173">
                  <c:v>-6</c:v>
                </c:pt>
                <c:pt idx="174">
                  <c:v>-6.5</c:v>
                </c:pt>
                <c:pt idx="175">
                  <c:v>-7.0000000000000009</c:v>
                </c:pt>
                <c:pt idx="176">
                  <c:v>-7.5</c:v>
                </c:pt>
                <c:pt idx="177">
                  <c:v>-8</c:v>
                </c:pt>
                <c:pt idx="178">
                  <c:v>-8.5</c:v>
                </c:pt>
                <c:pt idx="179">
                  <c:v>-9</c:v>
                </c:pt>
                <c:pt idx="180">
                  <c:v>-9.5</c:v>
                </c:pt>
                <c:pt idx="181">
                  <c:v>-10</c:v>
                </c:pt>
                <c:pt idx="182">
                  <c:v>-10.5</c:v>
                </c:pt>
                <c:pt idx="183">
                  <c:v>-11</c:v>
                </c:pt>
                <c:pt idx="184">
                  <c:v>-11.5</c:v>
                </c:pt>
                <c:pt idx="185">
                  <c:v>-12</c:v>
                </c:pt>
                <c:pt idx="186">
                  <c:v>-12.5</c:v>
                </c:pt>
                <c:pt idx="187">
                  <c:v>-13</c:v>
                </c:pt>
                <c:pt idx="188">
                  <c:v>-13.5</c:v>
                </c:pt>
                <c:pt idx="189">
                  <c:v>-14.000000000000002</c:v>
                </c:pt>
                <c:pt idx="190">
                  <c:v>-14.499999999999998</c:v>
                </c:pt>
                <c:pt idx="191">
                  <c:v>-15</c:v>
                </c:pt>
                <c:pt idx="192">
                  <c:v>-15.5</c:v>
                </c:pt>
                <c:pt idx="193">
                  <c:v>-16</c:v>
                </c:pt>
                <c:pt idx="194">
                  <c:v>-16.5</c:v>
                </c:pt>
                <c:pt idx="195">
                  <c:v>-17</c:v>
                </c:pt>
                <c:pt idx="196">
                  <c:v>-17.5</c:v>
                </c:pt>
                <c:pt idx="197">
                  <c:v>-18</c:v>
                </c:pt>
                <c:pt idx="198">
                  <c:v>-18.5</c:v>
                </c:pt>
                <c:pt idx="199">
                  <c:v>-19</c:v>
                </c:pt>
                <c:pt idx="200">
                  <c:v>-19.5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8-E22E-4848-A27C-E86A07C2CECC}"/>
            </c:ext>
          </c:extLst>
        </c:ser>
        <c:ser>
          <c:idx val="0"/>
          <c:order val="6"/>
          <c:tx>
            <c:strRef>
              <c:f>'HULP-velden'!$AL$16</c:f>
              <c:strCache>
                <c:ptCount val="1"/>
                <c:pt idx="0">
                  <c:v>BPK-Lijn -1</c:v>
                </c:pt>
              </c:strCache>
            </c:strRef>
          </c:tx>
          <c:spPr>
            <a:ln w="38100">
              <a:solidFill>
                <a:schemeClr val="accent2">
                  <a:lumMod val="60000"/>
                  <a:lumOff val="40000"/>
                </a:schemeClr>
              </a:solidFill>
            </a:ln>
          </c:spPr>
          <c:marker>
            <c:symbol val="none"/>
          </c:marker>
          <c:xVal>
            <c:numRef>
              <c:f>'HULP-velden'!$AL$22:$AL$223</c:f>
              <c:numCache>
                <c:formatCode>_(* #,##0.00_);_(* \(#,##0.00\);_(* "-"??_);_(@_)</c:formatCode>
                <c:ptCount val="202"/>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5">
                  <c:v>18</c:v>
                </c:pt>
                <c:pt idx="146">
                  <c:v>17.5</c:v>
                </c:pt>
                <c:pt idx="147">
                  <c:v>17</c:v>
                </c:pt>
                <c:pt idx="148">
                  <c:v>16.5</c:v>
                </c:pt>
                <c:pt idx="149">
                  <c:v>16</c:v>
                </c:pt>
                <c:pt idx="150">
                  <c:v>15.5</c:v>
                </c:pt>
                <c:pt idx="151">
                  <c:v>15</c:v>
                </c:pt>
                <c:pt idx="152">
                  <c:v>14.499999999999998</c:v>
                </c:pt>
                <c:pt idx="153">
                  <c:v>14.000000000000002</c:v>
                </c:pt>
                <c:pt idx="154">
                  <c:v>13.5</c:v>
                </c:pt>
                <c:pt idx="155">
                  <c:v>13</c:v>
                </c:pt>
                <c:pt idx="156">
                  <c:v>12.5</c:v>
                </c:pt>
                <c:pt idx="157">
                  <c:v>12</c:v>
                </c:pt>
                <c:pt idx="158">
                  <c:v>11.5</c:v>
                </c:pt>
                <c:pt idx="159">
                  <c:v>11</c:v>
                </c:pt>
                <c:pt idx="160">
                  <c:v>10.5</c:v>
                </c:pt>
                <c:pt idx="161">
                  <c:v>10</c:v>
                </c:pt>
                <c:pt idx="162">
                  <c:v>9.5</c:v>
                </c:pt>
                <c:pt idx="163">
                  <c:v>9</c:v>
                </c:pt>
                <c:pt idx="164">
                  <c:v>8.5</c:v>
                </c:pt>
                <c:pt idx="165">
                  <c:v>8</c:v>
                </c:pt>
                <c:pt idx="166">
                  <c:v>7.5</c:v>
                </c:pt>
                <c:pt idx="167">
                  <c:v>7.0000000000000009</c:v>
                </c:pt>
                <c:pt idx="168">
                  <c:v>6.5</c:v>
                </c:pt>
                <c:pt idx="169">
                  <c:v>6</c:v>
                </c:pt>
                <c:pt idx="170">
                  <c:v>5.5</c:v>
                </c:pt>
                <c:pt idx="171">
                  <c:v>5</c:v>
                </c:pt>
                <c:pt idx="172">
                  <c:v>4.5</c:v>
                </c:pt>
                <c:pt idx="173">
                  <c:v>4</c:v>
                </c:pt>
                <c:pt idx="174">
                  <c:v>3.5000000000000004</c:v>
                </c:pt>
                <c:pt idx="175">
                  <c:v>3</c:v>
                </c:pt>
                <c:pt idx="176">
                  <c:v>2.5</c:v>
                </c:pt>
                <c:pt idx="177">
                  <c:v>2</c:v>
                </c:pt>
                <c:pt idx="178">
                  <c:v>1.5</c:v>
                </c:pt>
                <c:pt idx="179">
                  <c:v>1</c:v>
                </c:pt>
                <c:pt idx="180">
                  <c:v>0.5</c:v>
                </c:pt>
                <c:pt idx="181">
                  <c:v>0</c:v>
                </c:pt>
                <c:pt idx="182">
                  <c:v>-0.5</c:v>
                </c:pt>
                <c:pt idx="183">
                  <c:v>-1</c:v>
                </c:pt>
                <c:pt idx="184">
                  <c:v>-1.5</c:v>
                </c:pt>
                <c:pt idx="185">
                  <c:v>-2</c:v>
                </c:pt>
                <c:pt idx="186">
                  <c:v>-2.5</c:v>
                </c:pt>
                <c:pt idx="187">
                  <c:v>-3</c:v>
                </c:pt>
                <c:pt idx="188">
                  <c:v>-3.5000000000000004</c:v>
                </c:pt>
                <c:pt idx="189">
                  <c:v>-4</c:v>
                </c:pt>
                <c:pt idx="190">
                  <c:v>-4.5</c:v>
                </c:pt>
                <c:pt idx="191">
                  <c:v>-5</c:v>
                </c:pt>
                <c:pt idx="192">
                  <c:v>-5.5</c:v>
                </c:pt>
                <c:pt idx="193">
                  <c:v>-6</c:v>
                </c:pt>
                <c:pt idx="194">
                  <c:v>-6.5</c:v>
                </c:pt>
                <c:pt idx="195">
                  <c:v>-7.0000000000000009</c:v>
                </c:pt>
                <c:pt idx="196">
                  <c:v>-7.5</c:v>
                </c:pt>
                <c:pt idx="197">
                  <c:v>-8</c:v>
                </c:pt>
                <c:pt idx="198">
                  <c:v>-8.5</c:v>
                </c:pt>
                <c:pt idx="199">
                  <c:v>-9</c:v>
                </c:pt>
                <c:pt idx="200">
                  <c:v>-9.5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9-E22E-4848-A27C-E86A07C2CECC}"/>
            </c:ext>
          </c:extLst>
        </c:ser>
        <c:ser>
          <c:idx val="9"/>
          <c:order val="7"/>
          <c:tx>
            <c:strRef>
              <c:f>'HULP-velden'!$AM$16</c:f>
              <c:strCache>
                <c:ptCount val="1"/>
                <c:pt idx="0">
                  <c:v>BPK-lijn Ref</c:v>
                </c:pt>
              </c:strCache>
            </c:strRef>
          </c:tx>
          <c:spPr>
            <a:ln w="38100">
              <a:solidFill>
                <a:schemeClr val="accent2"/>
              </a:solidFill>
            </a:ln>
          </c:spPr>
          <c:marker>
            <c:symbol val="none"/>
          </c:marker>
          <c:xVal>
            <c:numRef>
              <c:f>'HULP-velden'!$AM$22:$AM$223</c:f>
              <c:numCache>
                <c:formatCode>_(* #,##0.00_);_(* \(#,##0.00\);_(* "-"??_);_(@_)</c:formatCode>
                <c:ptCount val="202"/>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5">
                  <c:v>28.000000000000004</c:v>
                </c:pt>
                <c:pt idx="146">
                  <c:v>27.500000000000004</c:v>
                </c:pt>
                <c:pt idx="147">
                  <c:v>27</c:v>
                </c:pt>
                <c:pt idx="148">
                  <c:v>26.5</c:v>
                </c:pt>
                <c:pt idx="149">
                  <c:v>26</c:v>
                </c:pt>
                <c:pt idx="150">
                  <c:v>25.5</c:v>
                </c:pt>
                <c:pt idx="151">
                  <c:v>25</c:v>
                </c:pt>
                <c:pt idx="152">
                  <c:v>24.5</c:v>
                </c:pt>
                <c:pt idx="153">
                  <c:v>24</c:v>
                </c:pt>
                <c:pt idx="154">
                  <c:v>23.5</c:v>
                </c:pt>
                <c:pt idx="155">
                  <c:v>23</c:v>
                </c:pt>
                <c:pt idx="156">
                  <c:v>22.5</c:v>
                </c:pt>
                <c:pt idx="157">
                  <c:v>22</c:v>
                </c:pt>
                <c:pt idx="158">
                  <c:v>21.5</c:v>
                </c:pt>
                <c:pt idx="159">
                  <c:v>21</c:v>
                </c:pt>
                <c:pt idx="160">
                  <c:v>20.5</c:v>
                </c:pt>
                <c:pt idx="161">
                  <c:v>20</c:v>
                </c:pt>
                <c:pt idx="162">
                  <c:v>19.5</c:v>
                </c:pt>
                <c:pt idx="163">
                  <c:v>19</c:v>
                </c:pt>
                <c:pt idx="164">
                  <c:v>18.5</c:v>
                </c:pt>
                <c:pt idx="165">
                  <c:v>18</c:v>
                </c:pt>
                <c:pt idx="166">
                  <c:v>17.5</c:v>
                </c:pt>
                <c:pt idx="167">
                  <c:v>17</c:v>
                </c:pt>
                <c:pt idx="168">
                  <c:v>16.5</c:v>
                </c:pt>
                <c:pt idx="169">
                  <c:v>16</c:v>
                </c:pt>
                <c:pt idx="170">
                  <c:v>15.5</c:v>
                </c:pt>
                <c:pt idx="171">
                  <c:v>15</c:v>
                </c:pt>
                <c:pt idx="172">
                  <c:v>14.499999999999998</c:v>
                </c:pt>
                <c:pt idx="173">
                  <c:v>14.000000000000002</c:v>
                </c:pt>
                <c:pt idx="174">
                  <c:v>13.5</c:v>
                </c:pt>
                <c:pt idx="175">
                  <c:v>13</c:v>
                </c:pt>
                <c:pt idx="176">
                  <c:v>12.5</c:v>
                </c:pt>
                <c:pt idx="177">
                  <c:v>12</c:v>
                </c:pt>
                <c:pt idx="178">
                  <c:v>11.5</c:v>
                </c:pt>
                <c:pt idx="179">
                  <c:v>11</c:v>
                </c:pt>
                <c:pt idx="180">
                  <c:v>10.5</c:v>
                </c:pt>
                <c:pt idx="181">
                  <c:v>10</c:v>
                </c:pt>
                <c:pt idx="182">
                  <c:v>9.5</c:v>
                </c:pt>
                <c:pt idx="183">
                  <c:v>9</c:v>
                </c:pt>
                <c:pt idx="184">
                  <c:v>8.5</c:v>
                </c:pt>
                <c:pt idx="185">
                  <c:v>8</c:v>
                </c:pt>
                <c:pt idx="186">
                  <c:v>7.5</c:v>
                </c:pt>
                <c:pt idx="187">
                  <c:v>7.0000000000000009</c:v>
                </c:pt>
                <c:pt idx="188">
                  <c:v>6.5</c:v>
                </c:pt>
                <c:pt idx="189">
                  <c:v>6</c:v>
                </c:pt>
                <c:pt idx="190">
                  <c:v>5.5</c:v>
                </c:pt>
                <c:pt idx="191">
                  <c:v>5</c:v>
                </c:pt>
                <c:pt idx="192">
                  <c:v>4.5</c:v>
                </c:pt>
                <c:pt idx="193">
                  <c:v>4</c:v>
                </c:pt>
                <c:pt idx="194">
                  <c:v>3.5000000000000004</c:v>
                </c:pt>
                <c:pt idx="195">
                  <c:v>3</c:v>
                </c:pt>
                <c:pt idx="196">
                  <c:v>2.5</c:v>
                </c:pt>
                <c:pt idx="197">
                  <c:v>2</c:v>
                </c:pt>
                <c:pt idx="198">
                  <c:v>1.5</c:v>
                </c:pt>
                <c:pt idx="199">
                  <c:v>1</c:v>
                </c:pt>
                <c:pt idx="200">
                  <c:v>0.5</c:v>
                </c:pt>
                <c:pt idx="201">
                  <c:v>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A-E22E-4848-A27C-E86A07C2CECC}"/>
            </c:ext>
          </c:extLst>
        </c:ser>
        <c:ser>
          <c:idx val="10"/>
          <c:order val="8"/>
          <c:tx>
            <c:strRef>
              <c:f>'HULP-velden'!$AN$16</c:f>
              <c:strCache>
                <c:ptCount val="1"/>
                <c:pt idx="0">
                  <c:v>BPK-Lijn +1</c:v>
                </c:pt>
              </c:strCache>
            </c:strRef>
          </c:tx>
          <c:spPr>
            <a:ln w="38100">
              <a:solidFill>
                <a:schemeClr val="accent2">
                  <a:lumMod val="60000"/>
                  <a:lumOff val="40000"/>
                </a:schemeClr>
              </a:solidFill>
            </a:ln>
          </c:spPr>
          <c:marker>
            <c:symbol val="none"/>
          </c:marker>
          <c:xVal>
            <c:numRef>
              <c:f>'HULP-velden'!$AN$22:$AN$223</c:f>
              <c:numCache>
                <c:formatCode>_(* #,##0.00_);_(* \(#,##0.00\);_(* "-"??_);_(@_)</c:formatCode>
                <c:ptCount val="202"/>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5">
                  <c:v>38</c:v>
                </c:pt>
                <c:pt idx="146">
                  <c:v>37.5</c:v>
                </c:pt>
                <c:pt idx="147">
                  <c:v>37</c:v>
                </c:pt>
                <c:pt idx="148">
                  <c:v>36.5</c:v>
                </c:pt>
                <c:pt idx="149">
                  <c:v>36</c:v>
                </c:pt>
                <c:pt idx="150">
                  <c:v>35.5</c:v>
                </c:pt>
                <c:pt idx="151">
                  <c:v>35</c:v>
                </c:pt>
                <c:pt idx="152">
                  <c:v>34.5</c:v>
                </c:pt>
                <c:pt idx="153">
                  <c:v>34</c:v>
                </c:pt>
                <c:pt idx="154">
                  <c:v>33.5</c:v>
                </c:pt>
                <c:pt idx="155">
                  <c:v>33</c:v>
                </c:pt>
                <c:pt idx="156">
                  <c:v>32.5</c:v>
                </c:pt>
                <c:pt idx="157">
                  <c:v>32</c:v>
                </c:pt>
                <c:pt idx="158">
                  <c:v>31.5</c:v>
                </c:pt>
                <c:pt idx="159">
                  <c:v>31</c:v>
                </c:pt>
                <c:pt idx="160">
                  <c:v>30.5</c:v>
                </c:pt>
                <c:pt idx="161">
                  <c:v>30</c:v>
                </c:pt>
                <c:pt idx="162">
                  <c:v>29.5</c:v>
                </c:pt>
                <c:pt idx="163">
                  <c:v>28.999999999999996</c:v>
                </c:pt>
                <c:pt idx="164">
                  <c:v>28.499999999999996</c:v>
                </c:pt>
                <c:pt idx="165">
                  <c:v>28.000000000000004</c:v>
                </c:pt>
                <c:pt idx="166">
                  <c:v>27.500000000000004</c:v>
                </c:pt>
                <c:pt idx="167">
                  <c:v>27</c:v>
                </c:pt>
                <c:pt idx="168">
                  <c:v>26.5</c:v>
                </c:pt>
                <c:pt idx="169">
                  <c:v>26</c:v>
                </c:pt>
                <c:pt idx="170">
                  <c:v>25.5</c:v>
                </c:pt>
                <c:pt idx="171">
                  <c:v>25</c:v>
                </c:pt>
                <c:pt idx="172">
                  <c:v>24.5</c:v>
                </c:pt>
                <c:pt idx="173">
                  <c:v>24</c:v>
                </c:pt>
                <c:pt idx="174">
                  <c:v>23.5</c:v>
                </c:pt>
                <c:pt idx="175">
                  <c:v>23</c:v>
                </c:pt>
                <c:pt idx="176">
                  <c:v>22.5</c:v>
                </c:pt>
                <c:pt idx="177">
                  <c:v>22</c:v>
                </c:pt>
                <c:pt idx="178">
                  <c:v>21.5</c:v>
                </c:pt>
                <c:pt idx="179">
                  <c:v>21</c:v>
                </c:pt>
                <c:pt idx="180">
                  <c:v>20.5</c:v>
                </c:pt>
                <c:pt idx="181">
                  <c:v>20</c:v>
                </c:pt>
                <c:pt idx="182">
                  <c:v>19.5</c:v>
                </c:pt>
                <c:pt idx="183">
                  <c:v>19</c:v>
                </c:pt>
                <c:pt idx="184">
                  <c:v>18.5</c:v>
                </c:pt>
                <c:pt idx="185">
                  <c:v>18</c:v>
                </c:pt>
                <c:pt idx="186">
                  <c:v>17.5</c:v>
                </c:pt>
                <c:pt idx="187">
                  <c:v>17</c:v>
                </c:pt>
                <c:pt idx="188">
                  <c:v>16.5</c:v>
                </c:pt>
                <c:pt idx="189">
                  <c:v>16</c:v>
                </c:pt>
                <c:pt idx="190">
                  <c:v>15.5</c:v>
                </c:pt>
                <c:pt idx="191">
                  <c:v>15</c:v>
                </c:pt>
                <c:pt idx="192">
                  <c:v>14.499999999999998</c:v>
                </c:pt>
                <c:pt idx="193">
                  <c:v>14.000000000000002</c:v>
                </c:pt>
                <c:pt idx="194">
                  <c:v>13.5</c:v>
                </c:pt>
                <c:pt idx="195">
                  <c:v>13</c:v>
                </c:pt>
                <c:pt idx="196">
                  <c:v>12.5</c:v>
                </c:pt>
                <c:pt idx="197">
                  <c:v>12</c:v>
                </c:pt>
                <c:pt idx="198">
                  <c:v>11.5</c:v>
                </c:pt>
                <c:pt idx="199">
                  <c:v>11</c:v>
                </c:pt>
                <c:pt idx="200">
                  <c:v>10.5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B-E22E-4848-A27C-E86A07C2CECC}"/>
            </c:ext>
          </c:extLst>
        </c:ser>
        <c:ser>
          <c:idx val="11"/>
          <c:order val="9"/>
          <c:tx>
            <c:strRef>
              <c:f>'HULP-velden'!$AO$16</c:f>
              <c:strCache>
                <c:ptCount val="1"/>
                <c:pt idx="0">
                  <c:v>BPK-Lijn +2</c:v>
                </c:pt>
              </c:strCache>
            </c:strRef>
          </c:tx>
          <c:spPr>
            <a:ln w="38100">
              <a:solidFill>
                <a:schemeClr val="accent2">
                  <a:lumMod val="60000"/>
                  <a:lumOff val="40000"/>
                </a:schemeClr>
              </a:solidFill>
            </a:ln>
          </c:spPr>
          <c:marker>
            <c:symbol val="none"/>
          </c:marker>
          <c:xVal>
            <c:numRef>
              <c:f>'HULP-velden'!$AO$22:$AO$223</c:f>
              <c:numCache>
                <c:formatCode>_(* #,##0.00_);_(* \(#,##0.00\);_(* "-"??_);_(@_)</c:formatCode>
                <c:ptCount val="202"/>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5">
                  <c:v>48</c:v>
                </c:pt>
                <c:pt idx="146">
                  <c:v>47.5</c:v>
                </c:pt>
                <c:pt idx="147">
                  <c:v>47</c:v>
                </c:pt>
                <c:pt idx="148">
                  <c:v>46.5</c:v>
                </c:pt>
                <c:pt idx="149">
                  <c:v>46</c:v>
                </c:pt>
                <c:pt idx="150">
                  <c:v>45.5</c:v>
                </c:pt>
                <c:pt idx="151">
                  <c:v>45</c:v>
                </c:pt>
                <c:pt idx="152">
                  <c:v>44.5</c:v>
                </c:pt>
                <c:pt idx="153">
                  <c:v>44</c:v>
                </c:pt>
                <c:pt idx="154">
                  <c:v>43.5</c:v>
                </c:pt>
                <c:pt idx="155">
                  <c:v>43</c:v>
                </c:pt>
                <c:pt idx="156">
                  <c:v>42.5</c:v>
                </c:pt>
                <c:pt idx="157">
                  <c:v>42</c:v>
                </c:pt>
                <c:pt idx="158">
                  <c:v>41.5</c:v>
                </c:pt>
                <c:pt idx="159">
                  <c:v>41</c:v>
                </c:pt>
                <c:pt idx="160">
                  <c:v>40.5</c:v>
                </c:pt>
                <c:pt idx="161">
                  <c:v>40</c:v>
                </c:pt>
                <c:pt idx="162">
                  <c:v>39.5</c:v>
                </c:pt>
                <c:pt idx="163">
                  <c:v>39</c:v>
                </c:pt>
                <c:pt idx="164">
                  <c:v>38.5</c:v>
                </c:pt>
                <c:pt idx="165">
                  <c:v>38</c:v>
                </c:pt>
                <c:pt idx="166">
                  <c:v>37.5</c:v>
                </c:pt>
                <c:pt idx="167">
                  <c:v>37</c:v>
                </c:pt>
                <c:pt idx="168">
                  <c:v>36.5</c:v>
                </c:pt>
                <c:pt idx="169">
                  <c:v>36</c:v>
                </c:pt>
                <c:pt idx="170">
                  <c:v>35.5</c:v>
                </c:pt>
                <c:pt idx="171">
                  <c:v>35</c:v>
                </c:pt>
                <c:pt idx="172">
                  <c:v>34.5</c:v>
                </c:pt>
                <c:pt idx="173">
                  <c:v>34</c:v>
                </c:pt>
                <c:pt idx="174">
                  <c:v>33.5</c:v>
                </c:pt>
                <c:pt idx="175">
                  <c:v>33</c:v>
                </c:pt>
                <c:pt idx="176">
                  <c:v>32.5</c:v>
                </c:pt>
                <c:pt idx="177">
                  <c:v>32</c:v>
                </c:pt>
                <c:pt idx="178">
                  <c:v>31.5</c:v>
                </c:pt>
                <c:pt idx="179">
                  <c:v>31</c:v>
                </c:pt>
                <c:pt idx="180">
                  <c:v>30.5</c:v>
                </c:pt>
                <c:pt idx="181">
                  <c:v>30</c:v>
                </c:pt>
                <c:pt idx="182">
                  <c:v>29.5</c:v>
                </c:pt>
                <c:pt idx="183">
                  <c:v>28.999999999999996</c:v>
                </c:pt>
                <c:pt idx="184">
                  <c:v>28.499999999999996</c:v>
                </c:pt>
                <c:pt idx="185">
                  <c:v>28.000000000000004</c:v>
                </c:pt>
                <c:pt idx="186">
                  <c:v>27.500000000000004</c:v>
                </c:pt>
                <c:pt idx="187">
                  <c:v>27</c:v>
                </c:pt>
                <c:pt idx="188">
                  <c:v>26.5</c:v>
                </c:pt>
                <c:pt idx="189">
                  <c:v>26</c:v>
                </c:pt>
                <c:pt idx="190">
                  <c:v>25.5</c:v>
                </c:pt>
                <c:pt idx="191">
                  <c:v>25</c:v>
                </c:pt>
                <c:pt idx="192">
                  <c:v>24.5</c:v>
                </c:pt>
                <c:pt idx="193">
                  <c:v>24</c:v>
                </c:pt>
                <c:pt idx="194">
                  <c:v>23.5</c:v>
                </c:pt>
                <c:pt idx="195">
                  <c:v>23</c:v>
                </c:pt>
                <c:pt idx="196">
                  <c:v>22.5</c:v>
                </c:pt>
                <c:pt idx="197">
                  <c:v>22</c:v>
                </c:pt>
                <c:pt idx="198">
                  <c:v>21.5</c:v>
                </c:pt>
                <c:pt idx="199">
                  <c:v>21</c:v>
                </c:pt>
                <c:pt idx="200">
                  <c:v>20.5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C-E22E-4848-A27C-E86A07C2CECC}"/>
            </c:ext>
          </c:extLst>
        </c:ser>
        <c:ser>
          <c:idx val="5"/>
          <c:order val="10"/>
          <c:tx>
            <c:strRef>
              <c:f>'HULP-velden'!$AP$16</c:f>
              <c:strCache>
                <c:ptCount val="1"/>
                <c:pt idx="0">
                  <c:v>BPK-Lijn +3</c:v>
                </c:pt>
              </c:strCache>
            </c:strRef>
          </c:tx>
          <c:spPr>
            <a:ln w="38100">
              <a:solidFill>
                <a:schemeClr val="accent2">
                  <a:lumMod val="60000"/>
                  <a:lumOff val="40000"/>
                </a:schemeClr>
              </a:solidFill>
            </a:ln>
          </c:spPr>
          <c:marker>
            <c:symbol val="none"/>
          </c:marker>
          <c:xVal>
            <c:numRef>
              <c:f>'HULP-velden'!$AP$22:$AP$223</c:f>
              <c:numCache>
                <c:formatCode>_(* #,##0.00_);_(* \(#,##0.00\);_(* "-"??_);_(@_)</c:formatCode>
                <c:ptCount val="202"/>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5">
                  <c:v>57.999999999999993</c:v>
                </c:pt>
                <c:pt idx="146">
                  <c:v>57.499999999999993</c:v>
                </c:pt>
                <c:pt idx="147">
                  <c:v>56.999999999999993</c:v>
                </c:pt>
                <c:pt idx="148">
                  <c:v>56.499999999999993</c:v>
                </c:pt>
                <c:pt idx="149">
                  <c:v>56.000000000000007</c:v>
                </c:pt>
                <c:pt idx="150">
                  <c:v>55.500000000000007</c:v>
                </c:pt>
                <c:pt idx="151">
                  <c:v>55.000000000000007</c:v>
                </c:pt>
                <c:pt idx="152">
                  <c:v>54.500000000000007</c:v>
                </c:pt>
                <c:pt idx="153">
                  <c:v>54</c:v>
                </c:pt>
                <c:pt idx="154">
                  <c:v>53.5</c:v>
                </c:pt>
                <c:pt idx="155">
                  <c:v>53</c:v>
                </c:pt>
                <c:pt idx="156">
                  <c:v>52.5</c:v>
                </c:pt>
                <c:pt idx="157">
                  <c:v>52</c:v>
                </c:pt>
                <c:pt idx="158">
                  <c:v>51.5</c:v>
                </c:pt>
                <c:pt idx="159">
                  <c:v>51</c:v>
                </c:pt>
                <c:pt idx="160">
                  <c:v>50.5</c:v>
                </c:pt>
                <c:pt idx="161">
                  <c:v>50</c:v>
                </c:pt>
                <c:pt idx="162">
                  <c:v>49.5</c:v>
                </c:pt>
                <c:pt idx="163">
                  <c:v>49</c:v>
                </c:pt>
                <c:pt idx="164">
                  <c:v>48.5</c:v>
                </c:pt>
                <c:pt idx="165">
                  <c:v>48</c:v>
                </c:pt>
                <c:pt idx="166">
                  <c:v>47.5</c:v>
                </c:pt>
                <c:pt idx="167">
                  <c:v>47</c:v>
                </c:pt>
                <c:pt idx="168">
                  <c:v>46.5</c:v>
                </c:pt>
                <c:pt idx="169">
                  <c:v>46</c:v>
                </c:pt>
                <c:pt idx="170">
                  <c:v>45.5</c:v>
                </c:pt>
                <c:pt idx="171">
                  <c:v>45</c:v>
                </c:pt>
                <c:pt idx="172">
                  <c:v>44.5</c:v>
                </c:pt>
                <c:pt idx="173">
                  <c:v>44</c:v>
                </c:pt>
                <c:pt idx="174">
                  <c:v>43.5</c:v>
                </c:pt>
                <c:pt idx="175">
                  <c:v>43</c:v>
                </c:pt>
                <c:pt idx="176">
                  <c:v>42.5</c:v>
                </c:pt>
                <c:pt idx="177">
                  <c:v>42</c:v>
                </c:pt>
                <c:pt idx="178">
                  <c:v>41.5</c:v>
                </c:pt>
                <c:pt idx="179">
                  <c:v>41</c:v>
                </c:pt>
                <c:pt idx="180">
                  <c:v>40.5</c:v>
                </c:pt>
                <c:pt idx="181">
                  <c:v>40</c:v>
                </c:pt>
                <c:pt idx="182">
                  <c:v>39.5</c:v>
                </c:pt>
                <c:pt idx="183">
                  <c:v>39</c:v>
                </c:pt>
                <c:pt idx="184">
                  <c:v>38.5</c:v>
                </c:pt>
                <c:pt idx="185">
                  <c:v>38</c:v>
                </c:pt>
                <c:pt idx="186">
                  <c:v>37.5</c:v>
                </c:pt>
                <c:pt idx="187">
                  <c:v>37</c:v>
                </c:pt>
                <c:pt idx="188">
                  <c:v>36.5</c:v>
                </c:pt>
                <c:pt idx="189">
                  <c:v>36</c:v>
                </c:pt>
                <c:pt idx="190">
                  <c:v>35.5</c:v>
                </c:pt>
                <c:pt idx="191">
                  <c:v>35</c:v>
                </c:pt>
                <c:pt idx="192">
                  <c:v>34.5</c:v>
                </c:pt>
                <c:pt idx="193">
                  <c:v>34</c:v>
                </c:pt>
                <c:pt idx="194">
                  <c:v>33.5</c:v>
                </c:pt>
                <c:pt idx="195">
                  <c:v>33</c:v>
                </c:pt>
                <c:pt idx="196">
                  <c:v>32.5</c:v>
                </c:pt>
                <c:pt idx="197">
                  <c:v>32</c:v>
                </c:pt>
                <c:pt idx="198">
                  <c:v>31.5</c:v>
                </c:pt>
                <c:pt idx="199">
                  <c:v>31</c:v>
                </c:pt>
                <c:pt idx="200">
                  <c:v>30.5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D-E22E-4848-A27C-E86A07C2CECC}"/>
            </c:ext>
          </c:extLst>
        </c:ser>
        <c:ser>
          <c:idx val="13"/>
          <c:order val="11"/>
          <c:tx>
            <c:v>Qknockout</c:v>
          </c:tx>
          <c:marker>
            <c:symbol val="none"/>
          </c:marker>
          <c:dPt>
            <c:idx val="1"/>
            <c:bubble3D val="0"/>
            <c:spPr>
              <a:ln w="38100">
                <a:solidFill>
                  <a:srgbClr val="FF0000"/>
                </a:solidFill>
                <a:prstDash val="sysDash"/>
              </a:ln>
            </c:spPr>
            <c:extLst>
              <c:ext xmlns:c16="http://schemas.microsoft.com/office/drawing/2014/chart" uri="{C3380CC4-5D6E-409C-BE32-E72D297353CC}">
                <c16:uniqueId val="{0000000F-E22E-4848-A27C-E86A07C2CECC}"/>
              </c:ext>
            </c:extLst>
          </c:dPt>
          <c:xVal>
            <c:numRef>
              <c:f>'BPK-Grafiek'!$N$46:$O$46</c:f>
              <c:numCache>
                <c:formatCode>General</c:formatCode>
                <c:ptCount val="2"/>
                <c:pt idx="0">
                  <c:v>-1000</c:v>
                </c:pt>
                <c:pt idx="1">
                  <c:v>-1000</c:v>
                </c:pt>
              </c:numCache>
            </c:numRef>
          </c:xVal>
          <c:yVal>
            <c:numRef>
              <c:f>'BPK-Grafiek'!$N$45:$O$45</c:f>
              <c:numCache>
                <c:formatCode>_("$"* #.##000_);_("$"* \(#.##000\);_("$"* "-"??_);_(@_)</c:formatCode>
                <c:ptCount val="2"/>
                <c:pt idx="0" formatCode="General">
                  <c:v>0</c:v>
                </c:pt>
                <c:pt idx="1">
                  <c:v>520000</c:v>
                </c:pt>
              </c:numCache>
            </c:numRef>
          </c:yVal>
          <c:smooth val="0"/>
          <c:extLst>
            <c:ext xmlns:c16="http://schemas.microsoft.com/office/drawing/2014/chart" uri="{C3380CC4-5D6E-409C-BE32-E72D297353CC}">
              <c16:uniqueId val="{00000010-E22E-4848-A27C-E86A07C2CECC}"/>
            </c:ext>
          </c:extLst>
        </c:ser>
        <c:ser>
          <c:idx val="1"/>
          <c:order val="12"/>
          <c:tx>
            <c:v>Qmin</c:v>
          </c:tx>
          <c:marker>
            <c:symbol val="none"/>
          </c:marker>
          <c:dPt>
            <c:idx val="1"/>
            <c:bubble3D val="0"/>
            <c:spPr>
              <a:ln w="44450">
                <a:solidFill>
                  <a:schemeClr val="accent1"/>
                </a:solidFill>
              </a:ln>
            </c:spPr>
            <c:extLst xmlns:c15="http://schemas.microsoft.com/office/drawing/2012/chart">
              <c:ext xmlns:c16="http://schemas.microsoft.com/office/drawing/2014/chart" uri="{C3380CC4-5D6E-409C-BE32-E72D297353CC}">
                <c16:uniqueId val="{00000012-E22E-4848-A27C-E86A07C2CECC}"/>
              </c:ext>
            </c:extLst>
          </c:dPt>
          <c:xVal>
            <c:numRef>
              <c:f>'BPK-Grafiek'!$N$47:$O$47</c:f>
              <c:numCache>
                <c:formatCode>General</c:formatCode>
                <c:ptCount val="2"/>
                <c:pt idx="0">
                  <c:v>0</c:v>
                </c:pt>
                <c:pt idx="1">
                  <c:v>0</c:v>
                </c:pt>
              </c:numCache>
              <c:extLst xmlns:c15="http://schemas.microsoft.com/office/drawing/2012/chart"/>
            </c:numRef>
          </c:xVal>
          <c:yVal>
            <c:numRef>
              <c:f>'BPK-Grafiek'!$N$41:$O$41</c:f>
              <c:numCache>
                <c:formatCode>_("$"* #.##000_);_("$"* \(#.##000\);_("$"* "-"??_);_(@_)</c:formatCode>
                <c:ptCount val="2"/>
                <c:pt idx="0" formatCode="&quot;$&quot;\ #.##000">
                  <c:v>0</c:v>
                </c:pt>
                <c:pt idx="1">
                  <c:v>520000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13-E22E-4848-A27C-E86A07C2CECC}"/>
            </c:ext>
          </c:extLst>
        </c:ser>
        <c:ser>
          <c:idx val="2"/>
          <c:order val="13"/>
          <c:tx>
            <c:v>Punten bij Qmin</c:v>
          </c:tx>
          <c:marker>
            <c:symbol val="none"/>
          </c:marker>
          <c:dLbls>
            <c:dLbl>
              <c:idx val="0"/>
              <c:layout>
                <c:manualLayout>
                  <c:x val="-0.02"/>
                  <c:y val="5.7877090933662778E-2"/>
                </c:manualLayout>
              </c:layout>
              <c:showLegendKey val="0"/>
              <c:showVal val="0"/>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4-E22E-4848-A27C-E86A07C2CECC}"/>
                </c:ext>
              </c:extLst>
            </c:dLbl>
            <c:spPr>
              <a:noFill/>
              <a:ln>
                <a:noFill/>
              </a:ln>
              <a:effectLst/>
            </c:spPr>
            <c:txPr>
              <a:bodyPr wrap="square" lIns="38100" tIns="19050" rIns="38100" bIns="19050" anchor="ctr">
                <a:spAutoFit/>
              </a:bodyPr>
              <a:lstStyle/>
              <a:p>
                <a:pPr>
                  <a:defRPr b="1"/>
                </a:pPr>
                <a:endParaRPr lang="nl-NL"/>
              </a:p>
            </c:txPr>
            <c:showLegendKey val="0"/>
            <c:showVal val="0"/>
            <c:showCatName val="1"/>
            <c:showSerName val="0"/>
            <c:showPercent val="0"/>
            <c:showBubbleSize val="0"/>
            <c:showLeaderLines val="0"/>
            <c:extLst>
              <c:ext xmlns:c15="http://schemas.microsoft.com/office/drawing/2012/chart" uri="{CE6537A1-D6FC-4f65-9D91-7224C49458BB}">
                <c15:showLeaderLines val="0"/>
              </c:ext>
            </c:extLst>
          </c:dLbls>
          <c:xVal>
            <c:numLit>
              <c:formatCode>General</c:formatCode>
              <c:ptCount val="1"/>
              <c:pt idx="0">
                <c:v>0</c:v>
              </c:pt>
            </c:numLit>
          </c:xVal>
          <c:yVal>
            <c:numRef>
              <c:f>'HULP-velden'!$D$104</c:f>
              <c:numCache>
                <c:formatCode>_("$"* #.##000_);_("$"* \(#.##000\);_("$"* "-"??_);_(@_)</c:formatCode>
                <c:ptCount val="1"/>
                <c:pt idx="0">
                  <c:v>280000</c:v>
                </c:pt>
              </c:numCache>
            </c:numRef>
          </c:yVal>
          <c:smooth val="0"/>
          <c:extLst>
            <c:ext xmlns:c16="http://schemas.microsoft.com/office/drawing/2014/chart" uri="{C3380CC4-5D6E-409C-BE32-E72D297353CC}">
              <c16:uniqueId val="{00000015-E22E-4848-A27C-E86A07C2CECC}"/>
            </c:ext>
          </c:extLst>
        </c:ser>
        <c:ser>
          <c:idx val="3"/>
          <c:order val="14"/>
          <c:tx>
            <c:v>Punten bij Qmax</c:v>
          </c:tx>
          <c:marker>
            <c:symbol val="none"/>
          </c:marker>
          <c:dLbls>
            <c:dLbl>
              <c:idx val="0"/>
              <c:layout>
                <c:manualLayout>
                  <c:x val="-1.6000000000000146E-2"/>
                  <c:y val="5.3885567420996511E-2"/>
                </c:manualLayout>
              </c:layout>
              <c:tx>
                <c:rich>
                  <a:bodyPr/>
                  <a:lstStyle/>
                  <a:p>
                    <a:fld id="{D1928CE2-0099-4678-BB31-1514AAF85FF0}"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E22E-4848-A27C-E86A07C2CECC}"/>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'HULP-velden'!$C$20</c:f>
              <c:numCache>
                <c:formatCode>#,##0</c:formatCode>
                <c:ptCount val="1"/>
                <c:pt idx="0">
                  <c:v>100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'BPK-Grafiek'!$N$51</c15:f>
                <c15:dlblRangeCache>
                  <c:ptCount val="1"/>
                  <c:pt idx="0">
                    <c:v>500</c:v>
                  </c:pt>
                </c15:dlblRangeCache>
              </c15:datalabelsRange>
            </c:ext>
            <c:ext xmlns:c16="http://schemas.microsoft.com/office/drawing/2014/chart" uri="{C3380CC4-5D6E-409C-BE32-E72D297353CC}">
              <c16:uniqueId val="{00000017-E22E-4848-A27C-E86A07C2CECC}"/>
            </c:ext>
          </c:extLst>
        </c:ser>
        <c:ser>
          <c:idx val="15"/>
          <c:order val="15"/>
          <c:tx>
            <c:v>PQmin</c:v>
          </c:tx>
          <c:spPr>
            <a:ln>
              <a:solidFill>
                <a:schemeClr val="tx1"/>
              </a:solidFill>
              <a:prstDash val="sysDash"/>
            </a:ln>
          </c:spPr>
          <c:marker>
            <c:symbol val="none"/>
          </c:marker>
          <c:xVal>
            <c:numRef>
              <c:f>'HULP-velden'!$C$28</c:f>
              <c:numCache>
                <c:formatCode>General</c:formatCode>
                <c:ptCount val="1"/>
                <c:pt idx="0">
                  <c:v>0</c:v>
                </c:pt>
              </c:numCache>
              <c:extLst xmlns:c15="http://schemas.microsoft.com/office/drawing/2012/chart"/>
            </c:numRef>
          </c:xVal>
          <c:yVal>
            <c:numRef>
              <c:f>'HULP-velden'!$C$25</c:f>
              <c:numCache>
                <c:formatCode>_("$"* #.##000_);_("$"* \(#.##000\);_("$"* "-"??_);_(@_)</c:formatCode>
                <c:ptCount val="1"/>
                <c:pt idx="0">
                  <c:v>300000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18-E22E-4848-A27C-E86A07C2CECC}"/>
            </c:ext>
          </c:extLst>
        </c:ser>
        <c:ser>
          <c:idx val="16"/>
          <c:order val="16"/>
          <c:tx>
            <c:v>PQmax</c:v>
          </c:tx>
          <c:spPr>
            <a:ln w="38100">
              <a:solidFill>
                <a:schemeClr val="accent2">
                  <a:lumMod val="60000"/>
                  <a:lumOff val="40000"/>
                </a:schemeClr>
              </a:solidFill>
            </a:ln>
          </c:spPr>
          <c:marker>
            <c:symbol val="none"/>
          </c:marker>
          <c:dLbls>
            <c:dLbl>
              <c:idx val="0"/>
              <c:tx>
                <c:rich>
                  <a:bodyPr/>
                  <a:lstStyle/>
                  <a:p>
                    <a:fld id="{60CC8720-E97E-4EEF-A7E7-DB1373BE035A}" type="CELLRANGE">
                      <a:rPr lang="nl-NL"/>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134-D7AC-461D-9E6F-410B76DA76AE}"/>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'HULP-velden'!$C$20</c:f>
              <c:numCache>
                <c:formatCode>#,##0</c:formatCode>
                <c:ptCount val="1"/>
                <c:pt idx="0">
                  <c:v>100</c:v>
                </c:pt>
              </c:numCache>
              <c:extLst xmlns:c15="http://schemas.microsoft.com/office/drawing/2012/chart"/>
            </c:numRef>
          </c:xVal>
          <c:yVal>
            <c:numRef>
              <c:f>'HULP-velden'!$H$30</c:f>
              <c:numCache>
                <c:formatCode>_("$"* #.##000_);_("$"* \(#.##000\);_("$"* "-"??_);_(@_)</c:formatCode>
                <c:ptCount val="1"/>
                <c:pt idx="0">
                  <c:v>-10000</c:v>
                </c:pt>
              </c:numCache>
              <c:extLst xmlns:c15="http://schemas.microsoft.com/office/drawing/2012/chart"/>
            </c:numRef>
          </c:yVal>
          <c:smooth val="0"/>
          <c:extLst xmlns:c15="http://schemas.microsoft.com/office/drawing/2012/chart">
            <c:ext xmlns:c15="http://schemas.microsoft.com/office/drawing/2012/chart" uri="{02D57815-91ED-43cb-92C2-25804820EDAC}">
              <c15:datalabelsRange>
                <c15:f>'BPK-Grafiek'!$N$53</c15:f>
                <c15:dlblRangeCache>
                  <c:ptCount val="1"/>
                  <c:pt idx="0">
                    <c:v>LAQ = </c:v>
                  </c:pt>
                </c15:dlblRangeCache>
              </c15:datalabelsRange>
            </c:ext>
            <c:ext xmlns:c16="http://schemas.microsoft.com/office/drawing/2014/chart" uri="{C3380CC4-5D6E-409C-BE32-E72D297353CC}">
              <c16:uniqueId val="{00000019-E22E-4848-A27C-E86A07C2CECC}"/>
            </c:ext>
          </c:extLst>
        </c:ser>
        <c:ser>
          <c:idx val="18"/>
          <c:order val="17"/>
          <c:tx>
            <c:v>LAQ</c:v>
          </c:tx>
          <c:marker>
            <c:symbol val="none"/>
          </c:marker>
          <c:dLbls>
            <c:dLbl>
              <c:idx val="0"/>
              <c:layout>
                <c:manualLayout>
                  <c:x val="-5.8000000000000003E-2"/>
                  <c:y val="5.1889805664663308E-2"/>
                </c:manualLayout>
              </c:layout>
              <c:tx>
                <c:rich>
                  <a:bodyPr/>
                  <a:lstStyle/>
                  <a:p>
                    <a:fld id="{211F2ED2-4366-4171-84DB-0C8B935F4643}" type="CELLRANGE">
                      <a:rPr lang="en-US" b="1">
                        <a:solidFill>
                          <a:schemeClr val="tx1"/>
                        </a:solidFill>
                      </a:rPr>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E22E-4848-A27C-E86A07C2CECC}"/>
                </c:ext>
              </c:extLst>
            </c:dLbl>
            <c:spPr>
              <a:noFill/>
              <a:ln>
                <a:noFill/>
              </a:ln>
              <a:effectLst/>
            </c:spPr>
            <c:txPr>
              <a:bodyPr wrap="square" lIns="38100" tIns="19050" rIns="38100" bIns="19050" anchor="ctr">
                <a:spAutoFit/>
              </a:bodyPr>
              <a:lstStyle/>
              <a:p>
                <a:pPr>
                  <a:defRPr b="1">
                    <a:solidFill>
                      <a:schemeClr val="tx1"/>
                    </a:solidFill>
                  </a:defRPr>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'BPK-Grafiek'!$N$52</c:f>
              <c:numCache>
                <c:formatCode>General</c:formatCode>
                <c:ptCount val="1"/>
                <c:pt idx="0">
                  <c:v>-1000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'BPK-Grafiek'!$N$53</c15:f>
                <c15:dlblRangeCache>
                  <c:ptCount val="1"/>
                  <c:pt idx="0">
                    <c:v>LAQ = </c:v>
                  </c:pt>
                </c15:dlblRangeCache>
              </c15:datalabelsRange>
            </c:ext>
            <c:ext xmlns:c16="http://schemas.microsoft.com/office/drawing/2014/chart" uri="{C3380CC4-5D6E-409C-BE32-E72D297353CC}">
              <c16:uniqueId val="{0000001B-E22E-4848-A27C-E86A07C2CECC}"/>
            </c:ext>
          </c:extLst>
        </c:ser>
        <c:ser>
          <c:idx val="19"/>
          <c:order val="18"/>
          <c:tx>
            <c:v>Plafondprijs</c:v>
          </c:tx>
          <c:marker>
            <c:symbol val="none"/>
          </c:marker>
          <c:dPt>
            <c:idx val="0"/>
            <c:bubble3D val="0"/>
            <c:extLst>
              <c:ext xmlns:c16="http://schemas.microsoft.com/office/drawing/2014/chart" uri="{C3380CC4-5D6E-409C-BE32-E72D297353CC}">
                <c16:uniqueId val="{0000001C-E22E-4848-A27C-E86A07C2CECC}"/>
              </c:ext>
            </c:extLst>
          </c:dPt>
          <c:dLbls>
            <c:dLbl>
              <c:idx val="0"/>
              <c:layout>
                <c:manualLayout>
                  <c:x val="8.9999999999999993E-3"/>
                  <c:y val="-2.9824106991972129E-2"/>
                </c:manualLayout>
              </c:layout>
              <c:tx>
                <c:rich>
                  <a:bodyPr wrap="square" lIns="38100" tIns="19050" rIns="38100" bIns="19050" anchor="ctr" anchorCtr="0">
                    <a:spAutoFit/>
                  </a:bodyPr>
                  <a:lstStyle/>
                  <a:p>
                    <a:pPr algn="l">
                      <a:defRPr b="0">
                        <a:solidFill>
                          <a:srgbClr val="FF0000"/>
                        </a:solidFill>
                      </a:defRPr>
                    </a:pPr>
                    <a:fld id="{ED2DB294-67D3-41D3-BD34-6257A0D74CD4}" type="CELLRANGE">
                      <a:rPr lang="en-US"/>
                      <a:pPr algn="l">
                        <a:defRPr b="0">
                          <a:solidFill>
                            <a:srgbClr val="FF0000"/>
                          </a:solidFill>
                        </a:defRPr>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layout>
                    <c:manualLayout>
                      <c:w val="0.21894"/>
                      <c:h val="5.4978528639273244E-2"/>
                    </c:manualLayout>
                  </c15:layout>
                  <c15:dlblFieldTable/>
                  <c15:showDataLabelsRange val="1"/>
                </c:ext>
                <c:ext xmlns:c16="http://schemas.microsoft.com/office/drawing/2014/chart" uri="{C3380CC4-5D6E-409C-BE32-E72D297353CC}">
                  <c16:uniqueId val="{0000001C-E22E-4848-A27C-E86A07C2CECC}"/>
                </c:ext>
              </c:extLst>
            </c:dLbl>
            <c:spPr>
              <a:noFill/>
              <a:ln>
                <a:noFill/>
              </a:ln>
              <a:effectLst/>
            </c:spPr>
            <c:txPr>
              <a:bodyPr wrap="square" lIns="38100" tIns="19050" rIns="38100" bIns="19050" anchor="ctr">
                <a:spAutoFit/>
              </a:bodyPr>
              <a:lstStyle/>
              <a:p>
                <a:pPr>
                  <a:defRPr b="1">
                    <a:solidFill>
                      <a:srgbClr val="FF0000"/>
                    </a:solidFill>
                  </a:defRPr>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Lit>
              <c:formatCode>General</c:formatCode>
              <c:ptCount val="1"/>
              <c:pt idx="0">
                <c:v>0</c:v>
              </c:pt>
            </c:numLit>
          </c:xVal>
          <c:yVal>
            <c:numRef>
              <c:f>'BPK-Grafiek'!$N$54</c:f>
              <c:numCache>
                <c:formatCode>_("$"* #.##000_);_("$"* \(#.##000\);_("$"* "-"??_);_(@_)</c:formatCode>
                <c:ptCount val="1"/>
                <c:pt idx="0">
                  <c:v>-100000</c:v>
                </c:pt>
              </c:numCache>
            </c:numRef>
          </c:yVal>
          <c:smooth val="0"/>
          <c:extLst>
            <c:ext xmlns:c15="http://schemas.microsoft.com/office/drawing/2012/chart" uri="{02D57815-91ED-43cb-92C2-25804820EDAC}">
              <c15:datalabelsRange>
                <c15:f>'HULP-velden'!$G$16</c15:f>
                <c15:dlblRangeCache>
                  <c:ptCount val="1"/>
                  <c:pt idx="0">
                    <c:v>Plafondprijs; -€ 100</c:v>
                  </c:pt>
                </c15:dlblRangeCache>
              </c15:datalabelsRange>
            </c:ext>
            <c:ext xmlns:c16="http://schemas.microsoft.com/office/drawing/2014/chart" uri="{C3380CC4-5D6E-409C-BE32-E72D297353CC}">
              <c16:uniqueId val="{0000001D-E22E-4848-A27C-E86A07C2CECC}"/>
            </c:ext>
          </c:extLst>
        </c:ser>
        <c:ser>
          <c:idx val="22"/>
          <c:order val="20"/>
          <c:tx>
            <c:v>Bovengrens</c:v>
          </c:tx>
          <c:spPr>
            <a:ln>
              <a:solidFill>
                <a:schemeClr val="tx1"/>
              </a:solidFill>
              <a:prstDash val="sysDash"/>
            </a:ln>
          </c:spPr>
          <c:marker>
            <c:symbol val="none"/>
          </c:marker>
          <c:dLbls>
            <c:dLbl>
              <c:idx val="0"/>
              <c:layout>
                <c:manualLayout>
                  <c:x val="7.0000000000000001E-3"/>
                  <c:y val="-2.8080970483393849E-2"/>
                </c:manualLayout>
              </c:layout>
              <c:spPr>
                <a:noFill/>
                <a:ln>
                  <a:noFill/>
                </a:ln>
                <a:effectLst/>
              </c:spPr>
              <c:txPr>
                <a:bodyPr wrap="square" lIns="38100" tIns="19050" rIns="38100" bIns="19050" anchor="ctr" anchorCtr="0">
                  <a:spAutoFit/>
                </a:bodyPr>
                <a:lstStyle/>
                <a:p>
                  <a:pPr algn="l">
                    <a:defRPr b="0"/>
                  </a:pPr>
                  <a:endParaRPr lang="nl-NL"/>
                </a:p>
              </c:txPr>
              <c:showLegendKey val="0"/>
              <c:showVal val="1"/>
              <c:showCatName val="0"/>
              <c:showSerName val="1"/>
              <c:showPercent val="0"/>
              <c:showBubbleSize val="0"/>
              <c:extLst>
                <c:ext xmlns:c15="http://schemas.microsoft.com/office/drawing/2012/chart" uri="{CE6537A1-D6FC-4f65-9D91-7224C49458BB}">
                  <c15:layout>
                    <c:manualLayout>
                      <c:w val="0.3349299212598425"/>
                      <c:h val="5.4978528639273244E-2"/>
                    </c:manualLayout>
                  </c15:layout>
                </c:ext>
                <c:ext xmlns:c16="http://schemas.microsoft.com/office/drawing/2014/chart" uri="{C3380CC4-5D6E-409C-BE32-E72D297353CC}">
                  <c16:uniqueId val="{00000007-4D49-49A3-B770-699466932690}"/>
                </c:ext>
              </c:extLst>
            </c:dLbl>
            <c:dLbl>
              <c:idx val="1"/>
              <c:delete val="1"/>
              <c:extLst>
                <c:ext xmlns:c15="http://schemas.microsoft.com/office/drawing/2012/chart" uri="{CE6537A1-D6FC-4f65-9D91-7224C49458BB}"/>
                <c:ext xmlns:c16="http://schemas.microsoft.com/office/drawing/2014/chart" uri="{C3380CC4-5D6E-409C-BE32-E72D297353CC}">
                  <c16:uniqueId val="{00000006-4D49-49A3-B770-699466932690}"/>
                </c:ext>
              </c:extLst>
            </c:dLbl>
            <c:spPr>
              <a:noFill/>
              <a:ln>
                <a:noFill/>
              </a:ln>
              <a:effectLst/>
            </c:spPr>
            <c:txPr>
              <a:bodyPr wrap="square" lIns="38100" tIns="19050" rIns="38100" bIns="19050" anchor="ctr">
                <a:spAutoFit/>
              </a:bodyPr>
              <a:lstStyle/>
              <a:p>
                <a:pPr>
                  <a:defRPr b="1"/>
                </a:pPr>
                <a:endParaRPr lang="nl-NL"/>
              </a:p>
            </c:txPr>
            <c:showLegendKey val="0"/>
            <c:showVal val="1"/>
            <c:showCatName val="0"/>
            <c:showSerName val="1"/>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'BPK-Grafiek'!$N$21:$O$21</c:f>
              <c:numCache>
                <c:formatCode>_("$"* #.##000_);_("$"* \(#.##000\);_("$"* "-"??_);_(@_)</c:formatCode>
                <c:ptCount val="2"/>
                <c:pt idx="0">
                  <c:v>500000</c:v>
                </c:pt>
                <c:pt idx="1">
                  <c:v>500000</c:v>
                </c:pt>
              </c:numCache>
            </c:numRef>
          </c:yVal>
          <c:smooth val="0"/>
          <c:extLst>
            <c:ext xmlns:c16="http://schemas.microsoft.com/office/drawing/2014/chart" uri="{C3380CC4-5D6E-409C-BE32-E72D297353CC}">
              <c16:uniqueId val="{00000020-E22E-4848-A27C-E86A07C2CECC}"/>
            </c:ext>
          </c:extLst>
        </c:ser>
        <c:ser>
          <c:idx val="12"/>
          <c:order val="21"/>
          <c:tx>
            <c:v>Ondergrens</c:v>
          </c:tx>
          <c:spPr>
            <a:ln>
              <a:solidFill>
                <a:schemeClr val="tx1"/>
              </a:solidFill>
              <a:prstDash val="sysDash"/>
            </a:ln>
          </c:spPr>
          <c:marker>
            <c:symbol val="none"/>
          </c:marker>
          <c:dLbls>
            <c:dLbl>
              <c:idx val="0"/>
              <c:layout>
                <c:manualLayout>
                  <c:x val="2.9999212598425195E-3"/>
                  <c:y val="3.0071188653865818E-2"/>
                </c:manualLayout>
              </c:layout>
              <c:numFmt formatCode="&quot;€&quot;\ #,##0" sourceLinked="0"/>
              <c:spPr>
                <a:noFill/>
                <a:ln>
                  <a:noFill/>
                </a:ln>
                <a:effectLst/>
              </c:spPr>
              <c:txPr>
                <a:bodyPr wrap="square" lIns="38100" tIns="19050" rIns="38100" bIns="19050" anchor="ctr" anchorCtr="0">
                  <a:spAutoFit/>
                </a:bodyPr>
                <a:lstStyle/>
                <a:p>
                  <a:pPr algn="l">
                    <a:defRPr b="0"/>
                  </a:pPr>
                  <a:endParaRPr lang="nl-NL"/>
                </a:p>
              </c:txPr>
              <c:showLegendKey val="0"/>
              <c:showVal val="1"/>
              <c:showCatName val="0"/>
              <c:showSerName val="1"/>
              <c:showPercent val="0"/>
              <c:showBubbleSize val="0"/>
              <c:extLst>
                <c:ext xmlns:c15="http://schemas.microsoft.com/office/drawing/2012/chart" uri="{CE6537A1-D6FC-4f65-9D91-7224C49458BB}">
                  <c15:layout>
                    <c:manualLayout>
                      <c:w val="0.17919007874015744"/>
                      <c:h val="5.497856474234427E-2"/>
                    </c:manualLayout>
                  </c15:layout>
                </c:ext>
                <c:ext xmlns:c16="http://schemas.microsoft.com/office/drawing/2014/chart" uri="{C3380CC4-5D6E-409C-BE32-E72D297353CC}">
                  <c16:uniqueId val="{00000009-4D49-49A3-B770-699466932690}"/>
                </c:ext>
              </c:extLst>
            </c:dLbl>
            <c:dLbl>
              <c:idx val="1"/>
              <c:delete val="1"/>
              <c:extLst>
                <c:ext xmlns:c15="http://schemas.microsoft.com/office/drawing/2012/chart" uri="{CE6537A1-D6FC-4f65-9D91-7224C49458BB}"/>
                <c:ext xmlns:c16="http://schemas.microsoft.com/office/drawing/2014/chart" uri="{C3380CC4-5D6E-409C-BE32-E72D297353CC}">
                  <c16:uniqueId val="{00000008-4D49-49A3-B770-699466932690}"/>
                </c:ext>
              </c:extLst>
            </c:dLbl>
            <c:spPr>
              <a:noFill/>
              <a:ln>
                <a:noFill/>
              </a:ln>
              <a:effectLst/>
            </c:spPr>
            <c:txPr>
              <a:bodyPr wrap="square" lIns="38100" tIns="19050" rIns="38100" bIns="19050" anchor="ctr">
                <a:spAutoFit/>
              </a:bodyPr>
              <a:lstStyle/>
              <a:p>
                <a:pPr>
                  <a:defRPr b="0"/>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'BPK-Grafiek'!$N$20:$O$20</c:f>
              <c:numCache>
                <c:formatCode>_("$"* #.##000_);_("$"* \(#.##000\);_("$"* "-"??_);_(@_)</c:formatCode>
                <c:ptCount val="2"/>
                <c:pt idx="0">
                  <c:v>300000</c:v>
                </c:pt>
                <c:pt idx="1">
                  <c:v>300000</c:v>
                </c:pt>
              </c:numCache>
            </c:numRef>
          </c:yVal>
          <c:smooth val="0"/>
          <c:extLst>
            <c:ext xmlns:c16="http://schemas.microsoft.com/office/drawing/2014/chart" uri="{C3380CC4-5D6E-409C-BE32-E72D297353CC}">
              <c16:uniqueId val="{00000021-E22E-4848-A27C-E86A07C2CECC}"/>
            </c:ext>
          </c:extLst>
        </c:ser>
        <c:ser>
          <c:idx val="17"/>
          <c:order val="22"/>
          <c:tx>
            <c:strRef>
              <c:f>Scenarioanalyse!$C$8</c:f>
              <c:strCache>
                <c:ptCount val="1"/>
                <c:pt idx="0">
                  <c:v>1</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70AD47">
                      <a:shade val="82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C49424AE-919C-4D08-A4DF-5F2A5E7295C9}"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8128-42B7-8200-D4D67EB1FC8B}"/>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'HULP-velden'!$BS$3</c:f>
              <c:numCache>
                <c:formatCode>_ * #.##0_ ;_ * \-#.##0_ ;_ * "-"??_ ;_ @_ </c:formatCode>
                <c:ptCount val="1"/>
                <c:pt idx="0">
                  <c:v>95</c:v>
                </c:pt>
              </c:numCache>
            </c:numRef>
          </c:xVal>
          <c:yVal>
            <c:numRef>
              <c:f>'HULP-velden'!$BS$2</c:f>
              <c:numCache>
                <c:formatCode>_("$"* #.##000_);_("$"* \(#.##000\);_("$"* "-"??_);_(@_)</c:formatCode>
                <c:ptCount val="1"/>
                <c:pt idx="0">
                  <c:v>500000</c:v>
                </c:pt>
              </c:numCache>
            </c:numRef>
          </c:yVal>
          <c:smooth val="0"/>
          <c:extLst>
            <c:ext xmlns:c15="http://schemas.microsoft.com/office/drawing/2012/chart" uri="{02D57815-91ED-43cb-92C2-25804820EDAC}">
              <c15:datalabelsRange>
                <c15:f>'HULP-velden'!$BS$1</c15:f>
                <c15:dlblRangeCache>
                  <c:ptCount val="1"/>
                  <c:pt idx="0">
                    <c:v>1</c:v>
                  </c:pt>
                </c15:dlblRangeCache>
              </c15:datalabelsRange>
            </c:ext>
            <c:ext xmlns:c16="http://schemas.microsoft.com/office/drawing/2014/chart" uri="{C3380CC4-5D6E-409C-BE32-E72D297353CC}">
              <c16:uniqueId val="{00000023-E22E-4848-A27C-E86A07C2CECC}"/>
            </c:ext>
          </c:extLst>
        </c:ser>
        <c:ser>
          <c:idx val="21"/>
          <c:order val="23"/>
          <c:tx>
            <c:strRef>
              <c:f>Scenarioanalyse!$C$9</c:f>
              <c:strCache>
                <c:ptCount val="1"/>
                <c:pt idx="0">
                  <c:v>2</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FFC000"/>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41F8BD08-3407-48CC-93C6-319F28FC47A0}"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0DC2-4A6D-B25B-739C5864AD0E}"/>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'HULP-velden'!$BT$3</c:f>
              <c:numCache>
                <c:formatCode>_ * #.##0_ ;_ * \-#.##0_ ;_ * "-"??_ ;_ @_ </c:formatCode>
                <c:ptCount val="1"/>
                <c:pt idx="0">
                  <c:v>87.272000000000006</c:v>
                </c:pt>
              </c:numCache>
            </c:numRef>
          </c:xVal>
          <c:yVal>
            <c:numRef>
              <c:f>'HULP-velden'!$BT$2</c:f>
              <c:numCache>
                <c:formatCode>_("$"* #.##000_);_("$"* \(#.##000\);_("$"* "-"??_);_(@_)</c:formatCode>
                <c:ptCount val="1"/>
                <c:pt idx="0">
                  <c:v>481818.18181818182</c:v>
                </c:pt>
              </c:numCache>
            </c:numRef>
          </c:yVal>
          <c:smooth val="0"/>
          <c:extLst>
            <c:ext xmlns:c15="http://schemas.microsoft.com/office/drawing/2012/chart" uri="{02D57815-91ED-43cb-92C2-25804820EDAC}">
              <c15:datalabelsRange>
                <c15:f>'HULP-velden'!$BT$1</c15:f>
                <c15:dlblRangeCache>
                  <c:ptCount val="1"/>
                  <c:pt idx="0">
                    <c:v>2</c:v>
                  </c:pt>
                </c15:dlblRangeCache>
              </c15:datalabelsRange>
            </c:ext>
            <c:ext xmlns:c16="http://schemas.microsoft.com/office/drawing/2014/chart" uri="{C3380CC4-5D6E-409C-BE32-E72D297353CC}">
              <c16:uniqueId val="{00000024-E22E-4848-A27C-E86A07C2CECC}"/>
            </c:ext>
          </c:extLst>
        </c:ser>
        <c:ser>
          <c:idx val="23"/>
          <c:order val="24"/>
          <c:tx>
            <c:strRef>
              <c:f>Scenarioanalyse!$C$10</c:f>
              <c:strCache>
                <c:ptCount val="1"/>
                <c:pt idx="0">
                  <c:v>3</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70AD47"/>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7984B113-7CAA-4147-B02F-8B69E9208F63}"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0DC2-4A6D-B25B-739C5864AD0E}"/>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'HULP-velden'!$BU$3</c:f>
              <c:numCache>
                <c:formatCode>_ * #.##0_ ;_ * \-#.##0_ ;_ * "-"??_ ;_ @_ </c:formatCode>
                <c:ptCount val="1"/>
                <c:pt idx="0">
                  <c:v>79.546000000000006</c:v>
                </c:pt>
              </c:numCache>
            </c:numRef>
          </c:xVal>
          <c:yVal>
            <c:numRef>
              <c:f>'HULP-velden'!$BU$2</c:f>
              <c:numCache>
                <c:formatCode>_("$"* #.##000_);_("$"* \(#.##000\);_("$"* "-"??_);_(@_)</c:formatCode>
                <c:ptCount val="1"/>
                <c:pt idx="0">
                  <c:v>463636.36363636365</c:v>
                </c:pt>
              </c:numCache>
            </c:numRef>
          </c:yVal>
          <c:smooth val="0"/>
          <c:extLst>
            <c:ext xmlns:c15="http://schemas.microsoft.com/office/drawing/2012/chart" uri="{02D57815-91ED-43cb-92C2-25804820EDAC}">
              <c15:datalabelsRange>
                <c15:f>'HULP-velden'!$BU$1</c15:f>
                <c15:dlblRangeCache>
                  <c:ptCount val="1"/>
                  <c:pt idx="0">
                    <c:v>3</c:v>
                  </c:pt>
                </c15:dlblRangeCache>
              </c15:datalabelsRange>
            </c:ext>
            <c:ext xmlns:c16="http://schemas.microsoft.com/office/drawing/2014/chart" uri="{C3380CC4-5D6E-409C-BE32-E72D297353CC}">
              <c16:uniqueId val="{00000026-E22E-4848-A27C-E86A07C2CECC}"/>
            </c:ext>
          </c:extLst>
        </c:ser>
        <c:ser>
          <c:idx val="24"/>
          <c:order val="25"/>
          <c:tx>
            <c:strRef>
              <c:f>Scenarioanalyse!$C$11</c:f>
              <c:strCache>
                <c:ptCount val="1"/>
                <c:pt idx="0">
                  <c:v>4</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5B9BD5">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1B5ADDF0-7C85-474B-A6E2-D81889F6950C}"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0DC2-4A6D-B25B-739C5864AD0E}"/>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'HULP-velden'!$BV$3</c:f>
              <c:numCache>
                <c:formatCode>_ * #.##0_ ;_ * \-#.##0_ ;_ * "-"??_ ;_ @_ </c:formatCode>
                <c:ptCount val="1"/>
                <c:pt idx="0">
                  <c:v>71.817999999999998</c:v>
                </c:pt>
              </c:numCache>
            </c:numRef>
          </c:xVal>
          <c:yVal>
            <c:numRef>
              <c:f>'HULP-velden'!$BV$2</c:f>
              <c:numCache>
                <c:formatCode>_("$"* #.##000_);_("$"* \(#.##000\);_("$"* "-"??_);_(@_)</c:formatCode>
                <c:ptCount val="1"/>
                <c:pt idx="0">
                  <c:v>445454.54545454547</c:v>
                </c:pt>
              </c:numCache>
            </c:numRef>
          </c:yVal>
          <c:smooth val="0"/>
          <c:extLst>
            <c:ext xmlns:c15="http://schemas.microsoft.com/office/drawing/2012/chart" uri="{02D57815-91ED-43cb-92C2-25804820EDAC}">
              <c15:datalabelsRange>
                <c15:f>'HULP-velden'!$BV$1</c15:f>
                <c15:dlblRangeCache>
                  <c:ptCount val="1"/>
                  <c:pt idx="0">
                    <c:v>4</c:v>
                  </c:pt>
                </c15:dlblRangeCache>
              </c15:datalabelsRange>
            </c:ext>
            <c:ext xmlns:c16="http://schemas.microsoft.com/office/drawing/2014/chart" uri="{C3380CC4-5D6E-409C-BE32-E72D297353CC}">
              <c16:uniqueId val="{00000027-E22E-4848-A27C-E86A07C2CECC}"/>
            </c:ext>
          </c:extLst>
        </c:ser>
        <c:ser>
          <c:idx val="25"/>
          <c:order val="26"/>
          <c:tx>
            <c:strRef>
              <c:f>Scenarioanalyse!$C$12</c:f>
              <c:strCache>
                <c:ptCount val="1"/>
                <c:pt idx="0">
                  <c:v>5</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ED7D31">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ED7D31">
                        <a:tint val="83000"/>
                      </a:srgbClr>
                    </a:solidFill>
                    <a:prstDash val="solid"/>
                    <a:round/>
                  </a14:hiddenLine>
                </a:ext>
              </a:extLst>
            </c:spPr>
          </c:marker>
          <c:dLbls>
            <c:dLbl>
              <c:idx val="0"/>
              <c:tx>
                <c:rich>
                  <a:bodyPr/>
                  <a:lstStyle/>
                  <a:p>
                    <a:fld id="{87A786F4-0AA8-4F2B-80CC-835C8E47BA67}"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DEE5-45B1-A9F9-B6D208064D25}"/>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'HULP-velden'!$BW$3</c:f>
              <c:numCache>
                <c:formatCode>_ * #.##0_ ;_ * \-#.##0_ ;_ * "-"??_ ;_ @_ </c:formatCode>
                <c:ptCount val="1"/>
                <c:pt idx="0">
                  <c:v>64.09</c:v>
                </c:pt>
              </c:numCache>
            </c:numRef>
          </c:xVal>
          <c:yVal>
            <c:numRef>
              <c:f>'HULP-velden'!$BW$2</c:f>
              <c:numCache>
                <c:formatCode>_("$"* #.##000_);_("$"* \(#.##000\);_("$"* "-"??_);_(@_)</c:formatCode>
                <c:ptCount val="1"/>
                <c:pt idx="0">
                  <c:v>427272.72727272729</c:v>
                </c:pt>
              </c:numCache>
            </c:numRef>
          </c:yVal>
          <c:smooth val="0"/>
          <c:extLst>
            <c:ext xmlns:c15="http://schemas.microsoft.com/office/drawing/2012/chart" uri="{02D57815-91ED-43cb-92C2-25804820EDAC}">
              <c15:datalabelsRange>
                <c15:f>'HULP-velden'!$BW$1</c15:f>
                <c15:dlblRangeCache>
                  <c:ptCount val="1"/>
                  <c:pt idx="0">
                    <c:v>5</c:v>
                  </c:pt>
                </c15:dlblRangeCache>
              </c15:datalabelsRange>
            </c:ext>
            <c:ext xmlns:c16="http://schemas.microsoft.com/office/drawing/2014/chart" uri="{C3380CC4-5D6E-409C-BE32-E72D297353CC}">
              <c16:uniqueId val="{00000028-E22E-4848-A27C-E86A07C2CECC}"/>
            </c:ext>
          </c:extLst>
        </c:ser>
        <c:ser>
          <c:idx val="26"/>
          <c:order val="27"/>
          <c:tx>
            <c:strRef>
              <c:f>Scenarioanalyse!$C$13</c:f>
              <c:strCache>
                <c:ptCount val="1"/>
                <c:pt idx="0">
                  <c:v>6</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A5A5A5">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A5A5A5">
                        <a:tint val="83000"/>
                      </a:srgbClr>
                    </a:solidFill>
                    <a:prstDash val="solid"/>
                    <a:round/>
                  </a14:hiddenLine>
                </a:ext>
              </a:extLst>
            </c:spPr>
          </c:marker>
          <c:dLbls>
            <c:dLbl>
              <c:idx val="0"/>
              <c:tx>
                <c:rich>
                  <a:bodyPr/>
                  <a:lstStyle/>
                  <a:p>
                    <a:fld id="{42BE555D-A82E-45F9-B6C8-B76C9397AC26}"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DEE5-45B1-A9F9-B6D208064D25}"/>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'HULP-velden'!$BX$3</c:f>
              <c:numCache>
                <c:formatCode>_ * #.##0_ ;_ * \-#.##0_ ;_ * "-"??_ ;_ @_ </c:formatCode>
                <c:ptCount val="1"/>
                <c:pt idx="0">
                  <c:v>56.364000000000004</c:v>
                </c:pt>
              </c:numCache>
            </c:numRef>
          </c:xVal>
          <c:yVal>
            <c:numRef>
              <c:f>'HULP-velden'!$BX$2</c:f>
              <c:numCache>
                <c:formatCode>_("$"* #.##000_);_("$"* \(#.##000\);_("$"* "-"??_);_(@_)</c:formatCode>
                <c:ptCount val="1"/>
                <c:pt idx="0">
                  <c:v>409090.90909090912</c:v>
                </c:pt>
              </c:numCache>
            </c:numRef>
          </c:yVal>
          <c:smooth val="0"/>
          <c:extLst>
            <c:ext xmlns:c15="http://schemas.microsoft.com/office/drawing/2012/chart" uri="{02D57815-91ED-43cb-92C2-25804820EDAC}">
              <c15:datalabelsRange>
                <c15:f>'HULP-velden'!$BX$1</c15:f>
                <c15:dlblRangeCache>
                  <c:ptCount val="1"/>
                  <c:pt idx="0">
                    <c:v>6</c:v>
                  </c:pt>
                </c15:dlblRangeCache>
              </c15:datalabelsRange>
            </c:ext>
            <c:ext xmlns:c16="http://schemas.microsoft.com/office/drawing/2014/chart" uri="{C3380CC4-5D6E-409C-BE32-E72D297353CC}">
              <c16:uniqueId val="{00000029-E22E-4848-A27C-E86A07C2CECC}"/>
            </c:ext>
          </c:extLst>
        </c:ser>
        <c:ser>
          <c:idx val="27"/>
          <c:order val="28"/>
          <c:tx>
            <c:strRef>
              <c:f>Scenarioanalyse!$C$14</c:f>
              <c:strCache>
                <c:ptCount val="1"/>
                <c:pt idx="0">
                  <c:v>7</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FFC000">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FFC000">
                        <a:tint val="83000"/>
                      </a:srgbClr>
                    </a:solidFill>
                    <a:prstDash val="solid"/>
                    <a:round/>
                  </a14:hiddenLine>
                </a:ext>
              </a:extLst>
            </c:spPr>
          </c:marker>
          <c:dLbls>
            <c:dLbl>
              <c:idx val="0"/>
              <c:tx>
                <c:rich>
                  <a:bodyPr/>
                  <a:lstStyle/>
                  <a:p>
                    <a:fld id="{4B914FB1-CF8D-4C35-BB5F-C58F13CC932F}"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DEE5-45B1-A9F9-B6D208064D25}"/>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'HULP-velden'!$BY$3</c:f>
              <c:numCache>
                <c:formatCode>_ * #.##0_ ;_ * \-#.##0_ ;_ * "-"??_ ;_ @_ </c:formatCode>
                <c:ptCount val="1"/>
                <c:pt idx="0">
                  <c:v>48.636000000000003</c:v>
                </c:pt>
              </c:numCache>
            </c:numRef>
          </c:xVal>
          <c:yVal>
            <c:numRef>
              <c:f>'HULP-velden'!$BY$2</c:f>
              <c:numCache>
                <c:formatCode>_("$"* #.##000_);_("$"* \(#.##000\);_("$"* "-"??_);_(@_)</c:formatCode>
                <c:ptCount val="1"/>
                <c:pt idx="0">
                  <c:v>390909.09090909094</c:v>
                </c:pt>
              </c:numCache>
            </c:numRef>
          </c:yVal>
          <c:smooth val="0"/>
          <c:extLst>
            <c:ext xmlns:c15="http://schemas.microsoft.com/office/drawing/2012/chart" uri="{02D57815-91ED-43cb-92C2-25804820EDAC}">
              <c15:datalabelsRange>
                <c15:f>'HULP-velden'!$BY$1</c15:f>
                <c15:dlblRangeCache>
                  <c:ptCount val="1"/>
                  <c:pt idx="0">
                    <c:v>7</c:v>
                  </c:pt>
                </c15:dlblRangeCache>
              </c15:datalabelsRange>
            </c:ext>
            <c:ext xmlns:c16="http://schemas.microsoft.com/office/drawing/2014/chart" uri="{C3380CC4-5D6E-409C-BE32-E72D297353CC}">
              <c16:uniqueId val="{0000002A-E22E-4848-A27C-E86A07C2CECC}"/>
            </c:ext>
          </c:extLst>
        </c:ser>
        <c:ser>
          <c:idx val="28"/>
          <c:order val="29"/>
          <c:tx>
            <c:strRef>
              <c:f>Scenarioanalyse!$C$15</c:f>
              <c:strCache>
                <c:ptCount val="1"/>
                <c:pt idx="0">
                  <c:v>8</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4472C4">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4472C4">
                        <a:tint val="83000"/>
                      </a:srgbClr>
                    </a:solidFill>
                    <a:prstDash val="solid"/>
                    <a:round/>
                  </a14:hiddenLine>
                </a:ext>
              </a:extLst>
            </c:spPr>
          </c:marker>
          <c:dLbls>
            <c:dLbl>
              <c:idx val="0"/>
              <c:tx>
                <c:rich>
                  <a:bodyPr/>
                  <a:lstStyle/>
                  <a:p>
                    <a:fld id="{2B818376-CCD0-4F58-813A-9F3CA062637D}"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DEE5-45B1-A9F9-B6D208064D25}"/>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'HULP-velden'!$BZ$3</c:f>
              <c:numCache>
                <c:formatCode>_ * #.##0_ ;_ * \-#.##0_ ;_ * "-"??_ ;_ @_ </c:formatCode>
                <c:ptCount val="1"/>
                <c:pt idx="0">
                  <c:v>40.910000000000004</c:v>
                </c:pt>
              </c:numCache>
            </c:numRef>
          </c:xVal>
          <c:yVal>
            <c:numRef>
              <c:f>'HULP-velden'!$BZ$2</c:f>
              <c:numCache>
                <c:formatCode>_("$"* #.##000_);_("$"* \(#.##000\);_("$"* "-"??_);_(@_)</c:formatCode>
                <c:ptCount val="1"/>
                <c:pt idx="0">
                  <c:v>372727.27272727276</c:v>
                </c:pt>
              </c:numCache>
            </c:numRef>
          </c:yVal>
          <c:smooth val="0"/>
          <c:extLst>
            <c:ext xmlns:c15="http://schemas.microsoft.com/office/drawing/2012/chart" uri="{02D57815-91ED-43cb-92C2-25804820EDAC}">
              <c15:datalabelsRange>
                <c15:f>'HULP-velden'!$BZ$1</c15:f>
                <c15:dlblRangeCache>
                  <c:ptCount val="1"/>
                  <c:pt idx="0">
                    <c:v>8</c:v>
                  </c:pt>
                </c15:dlblRangeCache>
              </c15:datalabelsRange>
            </c:ext>
            <c:ext xmlns:c16="http://schemas.microsoft.com/office/drawing/2014/chart" uri="{C3380CC4-5D6E-409C-BE32-E72D297353CC}">
              <c16:uniqueId val="{0000002B-E22E-4848-A27C-E86A07C2CECC}"/>
            </c:ext>
          </c:extLst>
        </c:ser>
        <c:ser>
          <c:idx val="29"/>
          <c:order val="30"/>
          <c:tx>
            <c:strRef>
              <c:f>Scenarioanalyse!$C$16</c:f>
              <c:strCache>
                <c:ptCount val="1"/>
                <c:pt idx="0">
                  <c:v>9</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70AD47">
                      <a:tint val="83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70AD47">
                        <a:tint val="83000"/>
                      </a:srgbClr>
                    </a:solidFill>
                    <a:prstDash val="solid"/>
                    <a:round/>
                  </a14:hiddenLine>
                </a:ext>
              </a:extLst>
            </c:spPr>
          </c:marker>
          <c:dLbls>
            <c:dLbl>
              <c:idx val="0"/>
              <c:tx>
                <c:rich>
                  <a:bodyPr/>
                  <a:lstStyle/>
                  <a:p>
                    <a:fld id="{1980A7A4-2ECD-41D4-AAF8-1F30F2D53598}"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BF8B-4EA2-BEA4-496B457FA1B7}"/>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'HULP-velden'!$CA$3</c:f>
              <c:numCache>
                <c:formatCode>_ * #.##0_ ;_ * \-#.##0_ ;_ * "-"??_ ;_ @_ </c:formatCode>
                <c:ptCount val="1"/>
                <c:pt idx="0">
                  <c:v>33.182000000000002</c:v>
                </c:pt>
              </c:numCache>
            </c:numRef>
          </c:xVal>
          <c:yVal>
            <c:numRef>
              <c:f>'HULP-velden'!$CA$2</c:f>
              <c:numCache>
                <c:formatCode>_("$"* #.##000_);_("$"* \(#.##000\);_("$"* "-"??_);_(@_)</c:formatCode>
                <c:ptCount val="1"/>
                <c:pt idx="0">
                  <c:v>354545.45454545459</c:v>
                </c:pt>
              </c:numCache>
            </c:numRef>
          </c:yVal>
          <c:smooth val="0"/>
          <c:extLst>
            <c:ext xmlns:c15="http://schemas.microsoft.com/office/drawing/2012/chart" uri="{02D57815-91ED-43cb-92C2-25804820EDAC}">
              <c15:datalabelsRange>
                <c15:f>'HULP-velden'!$CA$1</c15:f>
                <c15:dlblRangeCache>
                  <c:ptCount val="1"/>
                  <c:pt idx="0">
                    <c:v>9</c:v>
                  </c:pt>
                </c15:dlblRangeCache>
              </c15:datalabelsRange>
            </c:ext>
            <c:ext xmlns:c16="http://schemas.microsoft.com/office/drawing/2014/chart" uri="{C3380CC4-5D6E-409C-BE32-E72D297353CC}">
              <c16:uniqueId val="{0000002C-E22E-4848-A27C-E86A07C2CECC}"/>
            </c:ext>
          </c:extLst>
        </c:ser>
        <c:ser>
          <c:idx val="30"/>
          <c:order val="31"/>
          <c:tx>
            <c:strRef>
              <c:f>Scenarioanalyse!$C$17</c:f>
              <c:strCache>
                <c:ptCount val="1"/>
                <c:pt idx="0">
                  <c:v>10</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5B9BD5">
                      <a:tint val="65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solidFill>
                      <a:srgbClr val="5B9BD5">
                        <a:tint val="65000"/>
                      </a:srgbClr>
                    </a:solidFill>
                    <a:prstDash val="solid"/>
                    <a:round/>
                  </a14:hiddenLine>
                </a:ext>
              </a:extLst>
            </c:spPr>
          </c:marker>
          <c:dLbls>
            <c:dLbl>
              <c:idx val="0"/>
              <c:tx>
                <c:rich>
                  <a:bodyPr/>
                  <a:lstStyle/>
                  <a:p>
                    <a:fld id="{D1F7AFAA-F2AD-450A-9778-37A4A1C1EB05}"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B825-4138-8250-C91F6A6E016F}"/>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trendline>
            <c:trendlineType val="linear"/>
            <c:dispRSqr val="0"/>
            <c:dispEq val="0"/>
          </c:trendline>
          <c:xVal>
            <c:numRef>
              <c:f>'HULP-velden'!$CB$3</c:f>
              <c:numCache>
                <c:formatCode>_ * #.##0_ ;_ * \-#.##0_ ;_ * "-"??_ ;_ @_ </c:formatCode>
                <c:ptCount val="1"/>
                <c:pt idx="0">
                  <c:v>25.454000000000001</c:v>
                </c:pt>
              </c:numCache>
            </c:numRef>
          </c:xVal>
          <c:yVal>
            <c:numRef>
              <c:f>'HULP-velden'!$CB$2</c:f>
              <c:numCache>
                <c:formatCode>_("$"* #.##000_);_("$"* \(#.##000\);_("$"* "-"??_);_(@_)</c:formatCode>
                <c:ptCount val="1"/>
                <c:pt idx="0">
                  <c:v>336363.63636363641</c:v>
                </c:pt>
              </c:numCache>
            </c:numRef>
          </c:yVal>
          <c:smooth val="0"/>
          <c:extLst>
            <c:ext xmlns:c15="http://schemas.microsoft.com/office/drawing/2012/chart" uri="{02D57815-91ED-43cb-92C2-25804820EDAC}">
              <c15:datalabelsRange>
                <c15:f>'HULP-velden'!$CB$1</c15:f>
                <c15:dlblRangeCache>
                  <c:ptCount val="1"/>
                  <c:pt idx="0">
                    <c:v>10</c:v>
                  </c:pt>
                </c15:dlblRangeCache>
              </c15:datalabelsRange>
            </c:ext>
            <c:ext xmlns:c16="http://schemas.microsoft.com/office/drawing/2014/chart" uri="{C3380CC4-5D6E-409C-BE32-E72D297353CC}">
              <c16:uniqueId val="{0000002D-E22E-4848-A27C-E86A07C2CECC}"/>
            </c:ext>
          </c:extLst>
        </c:ser>
        <c:ser>
          <c:idx val="31"/>
          <c:order val="32"/>
          <c:tx>
            <c:strRef>
              <c:f>Scenarioanalyse!$C$18</c:f>
              <c:strCache>
                <c:ptCount val="1"/>
                <c:pt idx="0">
                  <c:v>11</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ED7D31">
                      <a:tint val="65000"/>
                    </a:srgbClr>
                  </a:solidFill>
                  <a:prstDash val="solid"/>
                  <a:round/>
                </a14:hiddenLine>
              </a:ext>
            </a:extLst>
          </c:spPr>
          <c:marker>
            <c:symbol val="circle"/>
            <c:size val="14"/>
            <c:spPr>
              <a:solidFill>
                <a:srgbClr val="FFFF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AC26EF8D-A9E8-47F0-B9D2-7348FC9C12CE}" type="CELLRANGE">
                      <a:rPr lang="nl-NL"/>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B825-4138-8250-C91F6A6E016F}"/>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'HULP-velden'!$CC$3</c:f>
              <c:numCache>
                <c:formatCode>_ * #.##0_ ;_ * \-#.##0_ ;_ * "-"??_ ;_ @_ </c:formatCode>
                <c:ptCount val="1"/>
                <c:pt idx="0">
                  <c:v>17.728000000000002</c:v>
                </c:pt>
              </c:numCache>
            </c:numRef>
          </c:xVal>
          <c:yVal>
            <c:numRef>
              <c:f>'HULP-velden'!$CC$2</c:f>
              <c:numCache>
                <c:formatCode>_("$"* #.##000_);_("$"* \(#.##000\);_("$"* "-"??_);_(@_)</c:formatCode>
                <c:ptCount val="1"/>
                <c:pt idx="0">
                  <c:v>318181.81818181823</c:v>
                </c:pt>
              </c:numCache>
            </c:numRef>
          </c:yVal>
          <c:smooth val="0"/>
          <c:extLst>
            <c:ext xmlns:c15="http://schemas.microsoft.com/office/drawing/2012/chart" uri="{02D57815-91ED-43cb-92C2-25804820EDAC}">
              <c15:datalabelsRange>
                <c15:f>'HULP-velden'!$CC$1</c15:f>
                <c15:dlblRangeCache>
                  <c:ptCount val="1"/>
                  <c:pt idx="0">
                    <c:v>11</c:v>
                  </c:pt>
                </c15:dlblRangeCache>
              </c15:datalabelsRange>
            </c:ext>
            <c:ext xmlns:c16="http://schemas.microsoft.com/office/drawing/2014/chart" uri="{C3380CC4-5D6E-409C-BE32-E72D297353CC}">
              <c16:uniqueId val="{0000002E-E22E-4848-A27C-E86A07C2CECC}"/>
            </c:ext>
          </c:extLst>
        </c:ser>
        <c:ser>
          <c:idx val="32"/>
          <c:order val="33"/>
          <c:tx>
            <c:strRef>
              <c:f>Scenarioanalyse!$C$19</c:f>
              <c:strCache>
                <c:ptCount val="1"/>
                <c:pt idx="0">
                  <c:v>12</c:v>
                </c:pt>
              </c:strCache>
            </c:strRef>
          </c:tx>
          <c:spPr>
            <a:ln w="19050" cap="rnd" cmpd="sng" algn="ctr">
              <a:noFill/>
              <a:prstDash val="solid"/>
              <a:round/>
            </a:ln>
            <a:effectLst/>
            <a:extLst>
              <a:ext uri="{91240B29-F687-4F45-9708-019B960494DF}">
                <a14:hiddenLine xmlns:a14="http://schemas.microsoft.com/office/drawing/2010/main" w="19050" cap="rnd" cmpd="sng" algn="ctr">
                  <a:solidFill>
                    <a:srgbClr val="A5A5A5">
                      <a:tint val="65000"/>
                    </a:srgbClr>
                  </a:solidFill>
                  <a:prstDash val="solid"/>
                  <a:round/>
                </a14:hiddenLine>
              </a:ext>
            </a:extLst>
          </c:spPr>
          <c:marker>
            <c:symbol val="circle"/>
            <c:size val="14"/>
            <c:spPr>
              <a:solidFill>
                <a:srgbClr val="00C800"/>
              </a:solidFill>
              <a:ln w="6350" cap="flat" cmpd="sng" algn="ctr">
                <a:noFill/>
                <a:prstDash val="solid"/>
                <a:round/>
              </a:ln>
              <a:effectLst/>
              <a:extLst>
                <a:ext uri="{91240B29-F687-4F45-9708-019B960494DF}">
                  <a14:hiddenLine xmlns:a14="http://schemas.microsoft.com/office/drawing/2010/main" w="6350" cap="flat" cmpd="sng" algn="ctr">
                    <a:noFill/>
                    <a:prstDash val="solid"/>
                    <a:round/>
                  </a14:hiddenLine>
                </a:ext>
              </a:extLst>
            </c:spPr>
          </c:marker>
          <c:dLbls>
            <c:dLbl>
              <c:idx val="0"/>
              <c:tx>
                <c:rich>
                  <a:bodyPr/>
                  <a:lstStyle/>
                  <a:p>
                    <a:fld id="{FB6EA2E7-4A08-48CD-AA20-42A8F2721B35}" type="CELLRANGE">
                      <a:rPr lang="en-US"/>
                      <a:pPr/>
                      <a:t>[CELLRANGE]</a:t>
                    </a:fld>
                    <a:endParaRPr lang="nl-NL"/>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B825-4138-8250-C91F6A6E016F}"/>
                </c:ext>
              </c:extLst>
            </c:dLbl>
            <c:spPr>
              <a:noFill/>
              <a:ln>
                <a:noFill/>
              </a:ln>
              <a:effectLst/>
            </c:spPr>
            <c:txPr>
              <a:bodyPr wrap="square" lIns="38100" tIns="19050" rIns="38100" bIns="19050" anchor="ctr">
                <a:spAutoFit/>
              </a:bodyPr>
              <a:lstStyle/>
              <a:p>
                <a:pPr>
                  <a:defRPr sz="800">
                    <a:solidFill>
                      <a:schemeClr val="tx1"/>
                    </a:solidFill>
                  </a:defRPr>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'HULP-velden'!$CD$3</c:f>
              <c:numCache>
                <c:formatCode>_ * #.##0_ ;_ * \-#.##0_ ;_ * "-"??_ ;_ @_ </c:formatCode>
                <c:ptCount val="1"/>
                <c:pt idx="0">
                  <c:v>10</c:v>
                </c:pt>
              </c:numCache>
            </c:numRef>
          </c:xVal>
          <c:yVal>
            <c:numRef>
              <c:f>'HULP-velden'!$CD$2</c:f>
              <c:numCache>
                <c:formatCode>_("$"* #.##000_);_("$"* \(#.##000\);_("$"* "-"??_);_(@_)</c:formatCode>
                <c:ptCount val="1"/>
                <c:pt idx="0">
                  <c:v>300000.00000000006</c:v>
                </c:pt>
              </c:numCache>
            </c:numRef>
          </c:yVal>
          <c:smooth val="0"/>
          <c:extLst>
            <c:ext xmlns:c15="http://schemas.microsoft.com/office/drawing/2012/chart" uri="{02D57815-91ED-43cb-92C2-25804820EDAC}">
              <c15:datalabelsRange>
                <c15:f>'HULP-velden'!$CD$1</c15:f>
                <c15:dlblRangeCache>
                  <c:ptCount val="1"/>
                  <c:pt idx="0">
                    <c:v>12</c:v>
                  </c:pt>
                </c15:dlblRangeCache>
              </c15:datalabelsRange>
            </c:ext>
            <c:ext xmlns:c16="http://schemas.microsoft.com/office/drawing/2014/chart" uri="{C3380CC4-5D6E-409C-BE32-E72D297353CC}">
              <c16:uniqueId val="{0000002F-E22E-4848-A27C-E86A07C2CECC}"/>
            </c:ext>
          </c:extLst>
        </c:ser>
        <c:dLbls>
          <c:showLegendKey val="0"/>
          <c:showVal val="0"/>
          <c:showCatName val="0"/>
          <c:showSerName val="0"/>
          <c:showPercent val="0"/>
          <c:showBubbleSize val="0"/>
        </c:dLbls>
        <c:axId val="622482064"/>
        <c:axId val="622487944"/>
        <c:extLst>
          <c:ext xmlns:c15="http://schemas.microsoft.com/office/drawing/2012/chart" uri="{02D57815-91ED-43cb-92C2-25804820EDAC}">
            <c15:filteredScatterSeries>
              <c15:ser>
                <c:idx val="4"/>
                <c:order val="19"/>
                <c:tx>
                  <c:v>Uw Inschrijving</c:v>
                </c:tx>
                <c:marker>
                  <c:symbol val="none"/>
                </c:marker>
                <c:dLbls>
                  <c:dLbl>
                    <c:idx val="0"/>
                    <c:layout>
                      <c:manualLayout>
                        <c:x val="-2.4E-2"/>
                        <c:y val="4.1999999999999926E-2"/>
                      </c:manualLayout>
                    </c:layout>
                    <c:showLegendKey val="0"/>
                    <c:showVal val="0"/>
                    <c:showCatName val="0"/>
                    <c:showSerName val="1"/>
                    <c:showPercent val="0"/>
                    <c:showBubbleSize val="0"/>
                    <c:extLst>
                      <c:ext uri="{CE6537A1-D6FC-4f65-9D91-7224C49458BB}"/>
                      <c:ext xmlns:c16="http://schemas.microsoft.com/office/drawing/2014/chart" uri="{C3380CC4-5D6E-409C-BE32-E72D297353CC}">
                        <c16:uniqueId val="{0000001E-E22E-4848-A27C-E86A07C2CECC}"/>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c:ext uri="{CE6537A1-D6FC-4f65-9D91-7224C49458BB}">
                      <c15:showLeaderLines val="1"/>
                    </c:ext>
                  </c:extLst>
                </c:dLbls>
                <c:xVal>
                  <c:numRef>
                    <c:extLst>
                      <c:ext uri="{02D57815-91ED-43cb-92C2-25804820EDAC}">
                        <c15:formulaRef>
                          <c15:sqref>'BPK-Grafiek'!$R$2</c15:sqref>
                        </c15:formulaRef>
                      </c:ext>
                    </c:extLst>
                    <c:numCache>
                      <c:formatCode>#,##0.00</c:formatCode>
                      <c:ptCount val="1"/>
                      <c:pt idx="0">
                        <c:v>1250</c:v>
                      </c:pt>
                    </c:numCache>
                  </c:numRef>
                </c:xVal>
                <c:yVal>
                  <c:numRef>
                    <c:extLst>
                      <c:ext uri="{02D57815-91ED-43cb-92C2-25804820EDAC}">
                        <c15:formulaRef>
                          <c15:sqref>'BPK-Grafiek'!$N$2</c15:sqref>
                        </c15:formulaRef>
                      </c:ext>
                    </c:extLst>
                    <c:numCache>
                      <c:formatCode>_("$"* #.##000_);_("$"* \(#.##000\);_("$"* "-"??_);_(@_)</c:formatCode>
                      <c:ptCount val="1"/>
                      <c:pt idx="0">
                        <c:v>0</c:v>
                      </c:pt>
                    </c:numCache>
                  </c:numRef>
                </c:yVal>
                <c:smooth val="0"/>
                <c:extLst>
                  <c:ext xmlns:c16="http://schemas.microsoft.com/office/drawing/2014/chart" uri="{C3380CC4-5D6E-409C-BE32-E72D297353CC}">
                    <c16:uniqueId val="{0000001F-E22E-4848-A27C-E86A07C2CECC}"/>
                  </c:ext>
                </c:extLst>
              </c15:ser>
            </c15:filteredScatterSeries>
          </c:ext>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10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1000"/>
            </a:pPr>
            <a:endParaRPr lang="nl-NL"/>
          </a:p>
        </c:txPr>
        <c:crossAx val="622482064"/>
        <c:crosses val="autoZero"/>
        <c:crossBetween val="midCat"/>
        <c:majorUnit val="20000"/>
        <c:dispUnits>
          <c:builtInUnit val="thousands"/>
        </c:dispUnits>
      </c:valAx>
      <c:spPr>
        <a:noFill/>
        <a:ln w="25400">
          <a:noFill/>
        </a:ln>
      </c:spPr>
    </c:plotArea>
    <c:plotVisOnly val="1"/>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640094488188976"/>
          <c:y val="3.2384540980231448E-2"/>
          <c:w val="0.85131901900198603"/>
          <c:h val="0.88672364955682947"/>
        </c:manualLayout>
      </c:layout>
      <c:scatterChart>
        <c:scatterStyle val="lineMarker"/>
        <c:varyColors val="0"/>
        <c:ser>
          <c:idx val="14"/>
          <c:order val="0"/>
          <c:tx>
            <c:v>Qmax</c:v>
          </c:tx>
          <c:spPr>
            <a:ln w="38100">
              <a:solidFill>
                <a:schemeClr val="tx2"/>
              </a:solidFill>
            </a:ln>
          </c:spPr>
          <c:marker>
            <c:symbol val="none"/>
          </c:marker>
          <c:dPt>
            <c:idx val="1"/>
            <c:bubble3D val="0"/>
            <c:extLst>
              <c:ext xmlns:c16="http://schemas.microsoft.com/office/drawing/2014/chart" uri="{C3380CC4-5D6E-409C-BE32-E72D297353CC}">
                <c16:uniqueId val="{00000001-3120-4E3E-B7D9-A0E65CA822F2}"/>
              </c:ext>
            </c:extLst>
          </c:dPt>
          <c:xVal>
            <c:numRef>
              <c:f>Offertes!$Q$38:$R$38</c:f>
              <c:numCache>
                <c:formatCode>#,##0</c:formatCode>
                <c:ptCount val="2"/>
                <c:pt idx="0">
                  <c:v>100</c:v>
                </c:pt>
                <c:pt idx="1">
                  <c:v>100</c:v>
                </c:pt>
              </c:numCache>
            </c:numRef>
          </c:xVal>
          <c:yVal>
            <c:numRef>
              <c:f>Offertes!$Q$39:$R$39</c:f>
              <c:numCache>
                <c:formatCode>_("$"* #.##000_);_("$"* \(#.##000\);_("$"* "-"??_);_(@_)</c:formatCode>
                <c:ptCount val="2"/>
                <c:pt idx="0" formatCode="&quot;$&quot;\ #.##000">
                  <c:v>0</c:v>
                </c:pt>
                <c:pt idx="1">
                  <c:v>520000</c:v>
                </c:pt>
              </c:numCache>
            </c:numRef>
          </c:yVal>
          <c:smooth val="0"/>
          <c:extLst xmlns:c15="http://schemas.microsoft.com/office/drawing/2012/chart">
            <c:ext xmlns:c16="http://schemas.microsoft.com/office/drawing/2014/chart" uri="{C3380CC4-5D6E-409C-BE32-E72D297353CC}">
              <c16:uniqueId val="{00000002-3120-4E3E-B7D9-A0E65CA822F2}"/>
            </c:ext>
          </c:extLst>
        </c:ser>
        <c:ser>
          <c:idx val="20"/>
          <c:order val="1"/>
          <c:tx>
            <c:v>Voorbeeld Pvbi | Qvbi</c:v>
          </c:tx>
          <c:marker>
            <c:symbol val="circle"/>
            <c:size val="12"/>
            <c:spPr>
              <a:solidFill>
                <a:srgbClr val="F79646"/>
              </a:solidFill>
              <a:ln>
                <a:noFill/>
              </a:ln>
            </c:spPr>
          </c:marker>
          <c:dLbls>
            <c:dLbl>
              <c:idx val="0"/>
              <c:layout>
                <c:manualLayout>
                  <c:x val="-0.19800000000000001"/>
                  <c:y val="-6.1546792680480848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3-3120-4E3E-B7D9-A0E65CA822F2}"/>
                </c:ext>
              </c:extLst>
            </c:dLbl>
            <c:spPr>
              <a:noFill/>
              <a:ln>
                <a:noFill/>
              </a:ln>
              <a:effectLst/>
            </c:sp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Offertes!$Q$13</c:f>
              <c:numCache>
                <c:formatCode>#,##0</c:formatCode>
                <c:ptCount val="1"/>
                <c:pt idx="0">
                  <c:v>50</c:v>
                </c:pt>
              </c:numCache>
            </c:numRef>
          </c:xVal>
          <c:yVal>
            <c:numRef>
              <c:f>Offertes!$Q$23</c:f>
              <c:numCache>
                <c:formatCode>_("$"* #.##000_);_("$"* \(#.##000\);_("$"* "-"??_);_(@_)</c:formatCode>
                <c:ptCount val="1"/>
                <c:pt idx="0">
                  <c:v>400000</c:v>
                </c:pt>
              </c:numCache>
            </c:numRef>
          </c:yVal>
          <c:smooth val="0"/>
          <c:extLst xmlns:c15="http://schemas.microsoft.com/office/drawing/2012/chart">
            <c:ext xmlns:c16="http://schemas.microsoft.com/office/drawing/2014/chart" uri="{C3380CC4-5D6E-409C-BE32-E72D297353CC}">
              <c16:uniqueId val="{00000004-3120-4E3E-B7D9-A0E65CA822F2}"/>
            </c:ext>
          </c:extLst>
        </c:ser>
        <c:ser>
          <c:idx val="6"/>
          <c:order val="3"/>
          <c:tx>
            <c:v>Vergelijkingswaarde x1.000</c:v>
          </c:tx>
          <c:marker>
            <c:symbol val="none"/>
          </c:marker>
          <c:dLbls>
            <c:dLbl>
              <c:idx val="0"/>
              <c:layout>
                <c:manualLayout>
                  <c:x val="-1.8333121547548789E-17"/>
                  <c:y val="-3.9707608180955386E-3"/>
                </c:manualLayout>
              </c:layout>
              <c:spPr>
                <a:noFill/>
                <a:ln>
                  <a:noFill/>
                </a:ln>
                <a:effectLst/>
              </c:spPr>
              <c:txPr>
                <a:bodyPr wrap="square" lIns="38100" tIns="19050" rIns="38100" bIns="19050" anchor="ctr" anchorCtr="0">
                  <a:spAutoFit/>
                </a:bodyPr>
                <a:lstStyle/>
                <a:p>
                  <a:pPr algn="l">
                    <a:defRPr sz="1100"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2839100787401575"/>
                      <c:h val="5.4419277011999355E-2"/>
                    </c:manualLayout>
                  </c15:layout>
                </c:ext>
                <c:ext xmlns:c16="http://schemas.microsoft.com/office/drawing/2014/chart" uri="{C3380CC4-5D6E-409C-BE32-E72D297353CC}">
                  <c16:uniqueId val="{00000006-5CDC-43E4-9468-CDD0420600A9}"/>
                </c:ext>
              </c:extLst>
            </c:dLbl>
            <c:spPr>
              <a:noFill/>
              <a:ln>
                <a:noFill/>
              </a:ln>
              <a:effectLst/>
            </c:spPr>
            <c:txPr>
              <a:bodyPr wrap="square" lIns="38100" tIns="19050" rIns="38100" bIns="19050" anchor="ctr">
                <a:spAutoFit/>
              </a:bodyPr>
              <a:lstStyle/>
              <a:p>
                <a:pPr>
                  <a:defRPr sz="1100" b="1"/>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Offertes!$Q$43</c:f>
              <c:numCache>
                <c:formatCode>General</c:formatCode>
                <c:ptCount val="1"/>
                <c:pt idx="0">
                  <c:v>0</c:v>
                </c:pt>
              </c:numCache>
            </c:numRef>
          </c:xVal>
          <c:yVal>
            <c:numRef>
              <c:f>Offertes!$R$43</c:f>
              <c:numCache>
                <c:formatCode>_("$"* #.##000_);_("$"* \(#.##000\);_("$"* "-"??_);_(@_)</c:formatCode>
                <c:ptCount val="1"/>
                <c:pt idx="0">
                  <c:v>520000</c:v>
                </c:pt>
              </c:numCache>
            </c:numRef>
          </c:yVal>
          <c:smooth val="0"/>
          <c:extLst xmlns:c15="http://schemas.microsoft.com/office/drawing/2012/chart">
            <c:ext xmlns:c16="http://schemas.microsoft.com/office/drawing/2014/chart" uri="{C3380CC4-5D6E-409C-BE32-E72D297353CC}">
              <c16:uniqueId val="{00000007-3120-4E3E-B7D9-A0E65CA822F2}"/>
            </c:ext>
          </c:extLst>
        </c:ser>
        <c:ser>
          <c:idx val="7"/>
          <c:order val="4"/>
          <c:tx>
            <c:strRef>
              <c:f>Offertes!$X$5</c:f>
              <c:strCache>
                <c:ptCount val="1"/>
                <c:pt idx="0">
                  <c:v>BPK-Lijn -3</c:v>
                </c:pt>
              </c:strCache>
            </c:strRef>
          </c:tx>
          <c:spPr>
            <a:ln w="38100">
              <a:solidFill>
                <a:schemeClr val="accent2">
                  <a:lumMod val="60000"/>
                  <a:lumOff val="40000"/>
                </a:schemeClr>
              </a:solidFill>
            </a:ln>
          </c:spPr>
          <c:marker>
            <c:symbol val="none"/>
          </c:marker>
          <c:xVal>
            <c:numRef>
              <c:f>Offertes!$X$6:$X$206</c:f>
              <c:numCache>
                <c:formatCode>_(* #,##0.00_);_(* \(#,##0.00\);_(* "-"??_);_(@_)</c:formatCode>
                <c:ptCount val="201"/>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4">
                  <c:v>-2</c:v>
                </c:pt>
                <c:pt idx="145">
                  <c:v>-2.5</c:v>
                </c:pt>
                <c:pt idx="146">
                  <c:v>-3</c:v>
                </c:pt>
                <c:pt idx="147">
                  <c:v>-3.5000000000000004</c:v>
                </c:pt>
                <c:pt idx="148">
                  <c:v>-4</c:v>
                </c:pt>
                <c:pt idx="149">
                  <c:v>-4.5</c:v>
                </c:pt>
                <c:pt idx="150">
                  <c:v>-5</c:v>
                </c:pt>
                <c:pt idx="151">
                  <c:v>-5.5</c:v>
                </c:pt>
                <c:pt idx="152">
                  <c:v>-6</c:v>
                </c:pt>
                <c:pt idx="153">
                  <c:v>-6.5</c:v>
                </c:pt>
                <c:pt idx="154">
                  <c:v>-7.0000000000000009</c:v>
                </c:pt>
                <c:pt idx="155">
                  <c:v>-7.5</c:v>
                </c:pt>
                <c:pt idx="156">
                  <c:v>-8</c:v>
                </c:pt>
                <c:pt idx="157">
                  <c:v>-8.5</c:v>
                </c:pt>
                <c:pt idx="158">
                  <c:v>-9</c:v>
                </c:pt>
                <c:pt idx="159">
                  <c:v>-9.5</c:v>
                </c:pt>
                <c:pt idx="160">
                  <c:v>-10</c:v>
                </c:pt>
                <c:pt idx="161">
                  <c:v>-10.5</c:v>
                </c:pt>
                <c:pt idx="162">
                  <c:v>-11</c:v>
                </c:pt>
                <c:pt idx="163">
                  <c:v>-11.5</c:v>
                </c:pt>
                <c:pt idx="164">
                  <c:v>-12</c:v>
                </c:pt>
                <c:pt idx="165">
                  <c:v>-12.5</c:v>
                </c:pt>
                <c:pt idx="166">
                  <c:v>-13</c:v>
                </c:pt>
                <c:pt idx="167">
                  <c:v>-13.5</c:v>
                </c:pt>
                <c:pt idx="168">
                  <c:v>-14.000000000000002</c:v>
                </c:pt>
                <c:pt idx="169">
                  <c:v>-14.499999999999998</c:v>
                </c:pt>
                <c:pt idx="170">
                  <c:v>-15</c:v>
                </c:pt>
                <c:pt idx="171">
                  <c:v>-15.5</c:v>
                </c:pt>
                <c:pt idx="172">
                  <c:v>-16</c:v>
                </c:pt>
                <c:pt idx="173">
                  <c:v>-16.5</c:v>
                </c:pt>
                <c:pt idx="174">
                  <c:v>-17</c:v>
                </c:pt>
                <c:pt idx="175">
                  <c:v>-17.5</c:v>
                </c:pt>
                <c:pt idx="176">
                  <c:v>-18</c:v>
                </c:pt>
                <c:pt idx="177">
                  <c:v>-18.5</c:v>
                </c:pt>
                <c:pt idx="178">
                  <c:v>-19</c:v>
                </c:pt>
                <c:pt idx="179">
                  <c:v>-19.5</c:v>
                </c:pt>
                <c:pt idx="180">
                  <c:v>-20</c:v>
                </c:pt>
                <c:pt idx="181">
                  <c:v>-20.5</c:v>
                </c:pt>
                <c:pt idx="182">
                  <c:v>-21</c:v>
                </c:pt>
                <c:pt idx="183">
                  <c:v>-21.5</c:v>
                </c:pt>
                <c:pt idx="184">
                  <c:v>-22</c:v>
                </c:pt>
                <c:pt idx="185">
                  <c:v>-22.5</c:v>
                </c:pt>
                <c:pt idx="186">
                  <c:v>-23</c:v>
                </c:pt>
                <c:pt idx="187">
                  <c:v>-23.5</c:v>
                </c:pt>
                <c:pt idx="188">
                  <c:v>-24</c:v>
                </c:pt>
                <c:pt idx="189">
                  <c:v>-24.5</c:v>
                </c:pt>
                <c:pt idx="190">
                  <c:v>-25</c:v>
                </c:pt>
                <c:pt idx="191">
                  <c:v>-25.5</c:v>
                </c:pt>
                <c:pt idx="192">
                  <c:v>-26</c:v>
                </c:pt>
                <c:pt idx="193">
                  <c:v>-26.5</c:v>
                </c:pt>
                <c:pt idx="194">
                  <c:v>-27</c:v>
                </c:pt>
                <c:pt idx="195">
                  <c:v>-27.500000000000004</c:v>
                </c:pt>
                <c:pt idx="196">
                  <c:v>-28.000000000000004</c:v>
                </c:pt>
                <c:pt idx="197">
                  <c:v>-28.499999999999996</c:v>
                </c:pt>
                <c:pt idx="198">
                  <c:v>-28.999999999999996</c:v>
                </c:pt>
                <c:pt idx="199">
                  <c:v>-29.5</c:v>
                </c:pt>
                <c:pt idx="200">
                  <c:v>-30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35-3120-4E3E-B7D9-A0E65CA822F2}"/>
            </c:ext>
          </c:extLst>
        </c:ser>
        <c:ser>
          <c:idx val="8"/>
          <c:order val="5"/>
          <c:tx>
            <c:strRef>
              <c:f>Offertes!$Y$5</c:f>
              <c:strCache>
                <c:ptCount val="1"/>
                <c:pt idx="0">
                  <c:v>BPK-Lijn -2</c:v>
                </c:pt>
              </c:strCache>
            </c:strRef>
          </c:tx>
          <c:spPr>
            <a:ln w="38100">
              <a:solidFill>
                <a:schemeClr val="accent2">
                  <a:lumMod val="60000"/>
                  <a:lumOff val="40000"/>
                </a:schemeClr>
              </a:solidFill>
            </a:ln>
          </c:spPr>
          <c:marker>
            <c:symbol val="none"/>
          </c:marker>
          <c:xVal>
            <c:numRef>
              <c:f>Offertes!$Y$6:$Y$206</c:f>
              <c:numCache>
                <c:formatCode>_(* #,##0.00_);_(* \(#,##0.00\);_(* "-"??_);_(@_)</c:formatCode>
                <c:ptCount val="201"/>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4">
                  <c:v>8</c:v>
                </c:pt>
                <c:pt idx="145">
                  <c:v>7.5</c:v>
                </c:pt>
                <c:pt idx="146">
                  <c:v>7.0000000000000009</c:v>
                </c:pt>
                <c:pt idx="147">
                  <c:v>6.5</c:v>
                </c:pt>
                <c:pt idx="148">
                  <c:v>6</c:v>
                </c:pt>
                <c:pt idx="149">
                  <c:v>5.5</c:v>
                </c:pt>
                <c:pt idx="150">
                  <c:v>5</c:v>
                </c:pt>
                <c:pt idx="151">
                  <c:v>4.5</c:v>
                </c:pt>
                <c:pt idx="152">
                  <c:v>4</c:v>
                </c:pt>
                <c:pt idx="153">
                  <c:v>3.5000000000000004</c:v>
                </c:pt>
                <c:pt idx="154">
                  <c:v>3</c:v>
                </c:pt>
                <c:pt idx="155">
                  <c:v>2.5</c:v>
                </c:pt>
                <c:pt idx="156">
                  <c:v>2</c:v>
                </c:pt>
                <c:pt idx="157">
                  <c:v>1.5</c:v>
                </c:pt>
                <c:pt idx="158">
                  <c:v>1</c:v>
                </c:pt>
                <c:pt idx="159">
                  <c:v>0.5</c:v>
                </c:pt>
                <c:pt idx="160">
                  <c:v>0</c:v>
                </c:pt>
                <c:pt idx="161">
                  <c:v>-0.5</c:v>
                </c:pt>
                <c:pt idx="162">
                  <c:v>-1</c:v>
                </c:pt>
                <c:pt idx="163">
                  <c:v>-1.5</c:v>
                </c:pt>
                <c:pt idx="164">
                  <c:v>-2</c:v>
                </c:pt>
                <c:pt idx="165">
                  <c:v>-2.5</c:v>
                </c:pt>
                <c:pt idx="166">
                  <c:v>-3</c:v>
                </c:pt>
                <c:pt idx="167">
                  <c:v>-3.5000000000000004</c:v>
                </c:pt>
                <c:pt idx="168">
                  <c:v>-4</c:v>
                </c:pt>
                <c:pt idx="169">
                  <c:v>-4.5</c:v>
                </c:pt>
                <c:pt idx="170">
                  <c:v>-5</c:v>
                </c:pt>
                <c:pt idx="171">
                  <c:v>-5.5</c:v>
                </c:pt>
                <c:pt idx="172">
                  <c:v>-6</c:v>
                </c:pt>
                <c:pt idx="173">
                  <c:v>-6.5</c:v>
                </c:pt>
                <c:pt idx="174">
                  <c:v>-7.0000000000000009</c:v>
                </c:pt>
                <c:pt idx="175">
                  <c:v>-7.5</c:v>
                </c:pt>
                <c:pt idx="176">
                  <c:v>-8</c:v>
                </c:pt>
                <c:pt idx="177">
                  <c:v>-8.5</c:v>
                </c:pt>
                <c:pt idx="178">
                  <c:v>-9</c:v>
                </c:pt>
                <c:pt idx="179">
                  <c:v>-9.5</c:v>
                </c:pt>
                <c:pt idx="180">
                  <c:v>-10</c:v>
                </c:pt>
                <c:pt idx="181">
                  <c:v>-10.5</c:v>
                </c:pt>
                <c:pt idx="182">
                  <c:v>-11</c:v>
                </c:pt>
                <c:pt idx="183">
                  <c:v>-11.5</c:v>
                </c:pt>
                <c:pt idx="184">
                  <c:v>-12</c:v>
                </c:pt>
                <c:pt idx="185">
                  <c:v>-12.5</c:v>
                </c:pt>
                <c:pt idx="186">
                  <c:v>-13</c:v>
                </c:pt>
                <c:pt idx="187">
                  <c:v>-13.5</c:v>
                </c:pt>
                <c:pt idx="188">
                  <c:v>-14.000000000000002</c:v>
                </c:pt>
                <c:pt idx="189">
                  <c:v>-14.499999999999998</c:v>
                </c:pt>
                <c:pt idx="190">
                  <c:v>-15</c:v>
                </c:pt>
                <c:pt idx="191">
                  <c:v>-15.5</c:v>
                </c:pt>
                <c:pt idx="192">
                  <c:v>-16</c:v>
                </c:pt>
                <c:pt idx="193">
                  <c:v>-16.5</c:v>
                </c:pt>
                <c:pt idx="194">
                  <c:v>-17</c:v>
                </c:pt>
                <c:pt idx="195">
                  <c:v>-17.5</c:v>
                </c:pt>
                <c:pt idx="196">
                  <c:v>-18</c:v>
                </c:pt>
                <c:pt idx="197">
                  <c:v>-18.5</c:v>
                </c:pt>
                <c:pt idx="198">
                  <c:v>-19</c:v>
                </c:pt>
                <c:pt idx="199">
                  <c:v>-19.5</c:v>
                </c:pt>
                <c:pt idx="200">
                  <c:v>-20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B-3120-4E3E-B7D9-A0E65CA822F2}"/>
            </c:ext>
          </c:extLst>
        </c:ser>
        <c:ser>
          <c:idx val="0"/>
          <c:order val="6"/>
          <c:tx>
            <c:strRef>
              <c:f>Offertes!$Z$5</c:f>
              <c:strCache>
                <c:ptCount val="1"/>
                <c:pt idx="0">
                  <c:v>BPK-Lijn -1</c:v>
                </c:pt>
              </c:strCache>
            </c:strRef>
          </c:tx>
          <c:spPr>
            <a:ln w="38100">
              <a:solidFill>
                <a:schemeClr val="accent2">
                  <a:lumMod val="60000"/>
                  <a:lumOff val="40000"/>
                </a:schemeClr>
              </a:solidFill>
            </a:ln>
          </c:spPr>
          <c:marker>
            <c:symbol val="none"/>
          </c:marker>
          <c:xVal>
            <c:numRef>
              <c:f>Offertes!$Z$6:$Z$206</c:f>
              <c:numCache>
                <c:formatCode>_(* #,##0.00_);_(* \(#,##0.00\);_(* "-"??_);_(@_)</c:formatCode>
                <c:ptCount val="201"/>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4">
                  <c:v>18</c:v>
                </c:pt>
                <c:pt idx="145">
                  <c:v>17.5</c:v>
                </c:pt>
                <c:pt idx="146">
                  <c:v>17</c:v>
                </c:pt>
                <c:pt idx="147">
                  <c:v>16.5</c:v>
                </c:pt>
                <c:pt idx="148">
                  <c:v>16</c:v>
                </c:pt>
                <c:pt idx="149">
                  <c:v>15.5</c:v>
                </c:pt>
                <c:pt idx="150">
                  <c:v>15</c:v>
                </c:pt>
                <c:pt idx="151">
                  <c:v>14.499999999999998</c:v>
                </c:pt>
                <c:pt idx="152">
                  <c:v>14.000000000000002</c:v>
                </c:pt>
                <c:pt idx="153">
                  <c:v>13.5</c:v>
                </c:pt>
                <c:pt idx="154">
                  <c:v>13</c:v>
                </c:pt>
                <c:pt idx="155">
                  <c:v>12.5</c:v>
                </c:pt>
                <c:pt idx="156">
                  <c:v>12</c:v>
                </c:pt>
                <c:pt idx="157">
                  <c:v>11.5</c:v>
                </c:pt>
                <c:pt idx="158">
                  <c:v>11</c:v>
                </c:pt>
                <c:pt idx="159">
                  <c:v>10.5</c:v>
                </c:pt>
                <c:pt idx="160">
                  <c:v>10</c:v>
                </c:pt>
                <c:pt idx="161">
                  <c:v>9.5</c:v>
                </c:pt>
                <c:pt idx="162">
                  <c:v>9</c:v>
                </c:pt>
                <c:pt idx="163">
                  <c:v>8.5</c:v>
                </c:pt>
                <c:pt idx="164">
                  <c:v>8</c:v>
                </c:pt>
                <c:pt idx="165">
                  <c:v>7.5</c:v>
                </c:pt>
                <c:pt idx="166">
                  <c:v>7.0000000000000009</c:v>
                </c:pt>
                <c:pt idx="167">
                  <c:v>6.5</c:v>
                </c:pt>
                <c:pt idx="168">
                  <c:v>6</c:v>
                </c:pt>
                <c:pt idx="169">
                  <c:v>5.5</c:v>
                </c:pt>
                <c:pt idx="170">
                  <c:v>5</c:v>
                </c:pt>
                <c:pt idx="171">
                  <c:v>4.5</c:v>
                </c:pt>
                <c:pt idx="172">
                  <c:v>4</c:v>
                </c:pt>
                <c:pt idx="173">
                  <c:v>3.5000000000000004</c:v>
                </c:pt>
                <c:pt idx="174">
                  <c:v>3</c:v>
                </c:pt>
                <c:pt idx="175">
                  <c:v>2.5</c:v>
                </c:pt>
                <c:pt idx="176">
                  <c:v>2</c:v>
                </c:pt>
                <c:pt idx="177">
                  <c:v>1.5</c:v>
                </c:pt>
                <c:pt idx="178">
                  <c:v>1</c:v>
                </c:pt>
                <c:pt idx="179">
                  <c:v>0.5</c:v>
                </c:pt>
                <c:pt idx="180">
                  <c:v>0</c:v>
                </c:pt>
                <c:pt idx="181">
                  <c:v>-0.5</c:v>
                </c:pt>
                <c:pt idx="182">
                  <c:v>-1</c:v>
                </c:pt>
                <c:pt idx="183">
                  <c:v>-1.5</c:v>
                </c:pt>
                <c:pt idx="184">
                  <c:v>-2</c:v>
                </c:pt>
                <c:pt idx="185">
                  <c:v>-2.5</c:v>
                </c:pt>
                <c:pt idx="186">
                  <c:v>-3</c:v>
                </c:pt>
                <c:pt idx="187">
                  <c:v>-3.5000000000000004</c:v>
                </c:pt>
                <c:pt idx="188">
                  <c:v>-4</c:v>
                </c:pt>
                <c:pt idx="189">
                  <c:v>-4.5</c:v>
                </c:pt>
                <c:pt idx="190">
                  <c:v>-5</c:v>
                </c:pt>
                <c:pt idx="191">
                  <c:v>-5.5</c:v>
                </c:pt>
                <c:pt idx="192">
                  <c:v>-6</c:v>
                </c:pt>
                <c:pt idx="193">
                  <c:v>-6.5</c:v>
                </c:pt>
                <c:pt idx="194">
                  <c:v>-7.0000000000000009</c:v>
                </c:pt>
                <c:pt idx="195">
                  <c:v>-7.5</c:v>
                </c:pt>
                <c:pt idx="196">
                  <c:v>-8</c:v>
                </c:pt>
                <c:pt idx="197">
                  <c:v>-8.5</c:v>
                </c:pt>
                <c:pt idx="198">
                  <c:v>-9</c:v>
                </c:pt>
                <c:pt idx="199">
                  <c:v>-9.5</c:v>
                </c:pt>
                <c:pt idx="200">
                  <c:v>-10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C-3120-4E3E-B7D9-A0E65CA822F2}"/>
            </c:ext>
          </c:extLst>
        </c:ser>
        <c:ser>
          <c:idx val="9"/>
          <c:order val="7"/>
          <c:tx>
            <c:strRef>
              <c:f>Offertes!$AA$5</c:f>
              <c:strCache>
                <c:ptCount val="1"/>
                <c:pt idx="0">
                  <c:v>BPK-lijn Ref</c:v>
                </c:pt>
              </c:strCache>
            </c:strRef>
          </c:tx>
          <c:spPr>
            <a:ln w="38100">
              <a:solidFill>
                <a:schemeClr val="accent2"/>
              </a:solidFill>
            </a:ln>
          </c:spPr>
          <c:marker>
            <c:symbol val="none"/>
          </c:marker>
          <c:xVal>
            <c:numRef>
              <c:f>Offertes!$AA$6:$AA$206</c:f>
              <c:numCache>
                <c:formatCode>_(* #,##0.00_);_(* \(#,##0.00\);_(* "-"??_);_(@_)</c:formatCode>
                <c:ptCount val="201"/>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4">
                  <c:v>28.000000000000004</c:v>
                </c:pt>
                <c:pt idx="145">
                  <c:v>27.500000000000004</c:v>
                </c:pt>
                <c:pt idx="146">
                  <c:v>27</c:v>
                </c:pt>
                <c:pt idx="147">
                  <c:v>26.5</c:v>
                </c:pt>
                <c:pt idx="148">
                  <c:v>26</c:v>
                </c:pt>
                <c:pt idx="149">
                  <c:v>25.5</c:v>
                </c:pt>
                <c:pt idx="150">
                  <c:v>25</c:v>
                </c:pt>
                <c:pt idx="151">
                  <c:v>24.5</c:v>
                </c:pt>
                <c:pt idx="152">
                  <c:v>24</c:v>
                </c:pt>
                <c:pt idx="153">
                  <c:v>23.5</c:v>
                </c:pt>
                <c:pt idx="154">
                  <c:v>23</c:v>
                </c:pt>
                <c:pt idx="155">
                  <c:v>22.5</c:v>
                </c:pt>
                <c:pt idx="156">
                  <c:v>22</c:v>
                </c:pt>
                <c:pt idx="157">
                  <c:v>21.5</c:v>
                </c:pt>
                <c:pt idx="158">
                  <c:v>21</c:v>
                </c:pt>
                <c:pt idx="159">
                  <c:v>20.5</c:v>
                </c:pt>
                <c:pt idx="160">
                  <c:v>20</c:v>
                </c:pt>
                <c:pt idx="161">
                  <c:v>19.5</c:v>
                </c:pt>
                <c:pt idx="162">
                  <c:v>19</c:v>
                </c:pt>
                <c:pt idx="163">
                  <c:v>18.5</c:v>
                </c:pt>
                <c:pt idx="164">
                  <c:v>18</c:v>
                </c:pt>
                <c:pt idx="165">
                  <c:v>17.5</c:v>
                </c:pt>
                <c:pt idx="166">
                  <c:v>17</c:v>
                </c:pt>
                <c:pt idx="167">
                  <c:v>16.5</c:v>
                </c:pt>
                <c:pt idx="168">
                  <c:v>16</c:v>
                </c:pt>
                <c:pt idx="169">
                  <c:v>15.5</c:v>
                </c:pt>
                <c:pt idx="170">
                  <c:v>15</c:v>
                </c:pt>
                <c:pt idx="171">
                  <c:v>14.499999999999998</c:v>
                </c:pt>
                <c:pt idx="172">
                  <c:v>14.000000000000002</c:v>
                </c:pt>
                <c:pt idx="173">
                  <c:v>13.5</c:v>
                </c:pt>
                <c:pt idx="174">
                  <c:v>13</c:v>
                </c:pt>
                <c:pt idx="175">
                  <c:v>12.5</c:v>
                </c:pt>
                <c:pt idx="176">
                  <c:v>12</c:v>
                </c:pt>
                <c:pt idx="177">
                  <c:v>11.5</c:v>
                </c:pt>
                <c:pt idx="178">
                  <c:v>11</c:v>
                </c:pt>
                <c:pt idx="179">
                  <c:v>10.5</c:v>
                </c:pt>
                <c:pt idx="180">
                  <c:v>10</c:v>
                </c:pt>
                <c:pt idx="181">
                  <c:v>9.5</c:v>
                </c:pt>
                <c:pt idx="182">
                  <c:v>9</c:v>
                </c:pt>
                <c:pt idx="183">
                  <c:v>8.5</c:v>
                </c:pt>
                <c:pt idx="184">
                  <c:v>8</c:v>
                </c:pt>
                <c:pt idx="185">
                  <c:v>7.5</c:v>
                </c:pt>
                <c:pt idx="186">
                  <c:v>7.0000000000000009</c:v>
                </c:pt>
                <c:pt idx="187">
                  <c:v>6.5</c:v>
                </c:pt>
                <c:pt idx="188">
                  <c:v>6</c:v>
                </c:pt>
                <c:pt idx="189">
                  <c:v>5.5</c:v>
                </c:pt>
                <c:pt idx="190">
                  <c:v>5</c:v>
                </c:pt>
                <c:pt idx="191">
                  <c:v>4.5</c:v>
                </c:pt>
                <c:pt idx="192">
                  <c:v>4</c:v>
                </c:pt>
                <c:pt idx="193">
                  <c:v>3.5000000000000004</c:v>
                </c:pt>
                <c:pt idx="194">
                  <c:v>3</c:v>
                </c:pt>
                <c:pt idx="195">
                  <c:v>2.5</c:v>
                </c:pt>
                <c:pt idx="196">
                  <c:v>2</c:v>
                </c:pt>
                <c:pt idx="197">
                  <c:v>1.5</c:v>
                </c:pt>
                <c:pt idx="198">
                  <c:v>1</c:v>
                </c:pt>
                <c:pt idx="199">
                  <c:v>0.5</c:v>
                </c:pt>
                <c:pt idx="200">
                  <c:v>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D-3120-4E3E-B7D9-A0E65CA822F2}"/>
            </c:ext>
          </c:extLst>
        </c:ser>
        <c:ser>
          <c:idx val="10"/>
          <c:order val="8"/>
          <c:tx>
            <c:strRef>
              <c:f>Offertes!$AB$5</c:f>
              <c:strCache>
                <c:ptCount val="1"/>
                <c:pt idx="0">
                  <c:v>BPK-Lijn +1</c:v>
                </c:pt>
              </c:strCache>
            </c:strRef>
          </c:tx>
          <c:spPr>
            <a:ln w="38100">
              <a:solidFill>
                <a:schemeClr val="accent2">
                  <a:lumMod val="60000"/>
                  <a:lumOff val="40000"/>
                </a:schemeClr>
              </a:solidFill>
            </a:ln>
          </c:spPr>
          <c:marker>
            <c:symbol val="none"/>
          </c:marker>
          <c:xVal>
            <c:numRef>
              <c:f>Offertes!$AB$6:$AB$206</c:f>
              <c:numCache>
                <c:formatCode>_(* #,##0.00_);_(* \(#,##0.00\);_(* "-"??_);_(@_)</c:formatCode>
                <c:ptCount val="201"/>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4">
                  <c:v>38</c:v>
                </c:pt>
                <c:pt idx="145">
                  <c:v>37.5</c:v>
                </c:pt>
                <c:pt idx="146">
                  <c:v>37</c:v>
                </c:pt>
                <c:pt idx="147">
                  <c:v>36.5</c:v>
                </c:pt>
                <c:pt idx="148">
                  <c:v>36</c:v>
                </c:pt>
                <c:pt idx="149">
                  <c:v>35.5</c:v>
                </c:pt>
                <c:pt idx="150">
                  <c:v>35</c:v>
                </c:pt>
                <c:pt idx="151">
                  <c:v>34.5</c:v>
                </c:pt>
                <c:pt idx="152">
                  <c:v>34</c:v>
                </c:pt>
                <c:pt idx="153">
                  <c:v>33.5</c:v>
                </c:pt>
                <c:pt idx="154">
                  <c:v>33</c:v>
                </c:pt>
                <c:pt idx="155">
                  <c:v>32.5</c:v>
                </c:pt>
                <c:pt idx="156">
                  <c:v>32</c:v>
                </c:pt>
                <c:pt idx="157">
                  <c:v>31.5</c:v>
                </c:pt>
                <c:pt idx="158">
                  <c:v>31</c:v>
                </c:pt>
                <c:pt idx="159">
                  <c:v>30.5</c:v>
                </c:pt>
                <c:pt idx="160">
                  <c:v>30</c:v>
                </c:pt>
                <c:pt idx="161">
                  <c:v>29.5</c:v>
                </c:pt>
                <c:pt idx="162">
                  <c:v>28.999999999999996</c:v>
                </c:pt>
                <c:pt idx="163">
                  <c:v>28.499999999999996</c:v>
                </c:pt>
                <c:pt idx="164">
                  <c:v>28.000000000000004</c:v>
                </c:pt>
                <c:pt idx="165">
                  <c:v>27.500000000000004</c:v>
                </c:pt>
                <c:pt idx="166">
                  <c:v>27</c:v>
                </c:pt>
                <c:pt idx="167">
                  <c:v>26.5</c:v>
                </c:pt>
                <c:pt idx="168">
                  <c:v>26</c:v>
                </c:pt>
                <c:pt idx="169">
                  <c:v>25.5</c:v>
                </c:pt>
                <c:pt idx="170">
                  <c:v>25</c:v>
                </c:pt>
                <c:pt idx="171">
                  <c:v>24.5</c:v>
                </c:pt>
                <c:pt idx="172">
                  <c:v>24</c:v>
                </c:pt>
                <c:pt idx="173">
                  <c:v>23.5</c:v>
                </c:pt>
                <c:pt idx="174">
                  <c:v>23</c:v>
                </c:pt>
                <c:pt idx="175">
                  <c:v>22.5</c:v>
                </c:pt>
                <c:pt idx="176">
                  <c:v>22</c:v>
                </c:pt>
                <c:pt idx="177">
                  <c:v>21.5</c:v>
                </c:pt>
                <c:pt idx="178">
                  <c:v>21</c:v>
                </c:pt>
                <c:pt idx="179">
                  <c:v>20.5</c:v>
                </c:pt>
                <c:pt idx="180">
                  <c:v>20</c:v>
                </c:pt>
                <c:pt idx="181">
                  <c:v>19.5</c:v>
                </c:pt>
                <c:pt idx="182">
                  <c:v>19</c:v>
                </c:pt>
                <c:pt idx="183">
                  <c:v>18.5</c:v>
                </c:pt>
                <c:pt idx="184">
                  <c:v>18</c:v>
                </c:pt>
                <c:pt idx="185">
                  <c:v>17.5</c:v>
                </c:pt>
                <c:pt idx="186">
                  <c:v>17</c:v>
                </c:pt>
                <c:pt idx="187">
                  <c:v>16.5</c:v>
                </c:pt>
                <c:pt idx="188">
                  <c:v>16</c:v>
                </c:pt>
                <c:pt idx="189">
                  <c:v>15.5</c:v>
                </c:pt>
                <c:pt idx="190">
                  <c:v>15</c:v>
                </c:pt>
                <c:pt idx="191">
                  <c:v>14.499999999999998</c:v>
                </c:pt>
                <c:pt idx="192">
                  <c:v>14.000000000000002</c:v>
                </c:pt>
                <c:pt idx="193">
                  <c:v>13.5</c:v>
                </c:pt>
                <c:pt idx="194">
                  <c:v>13</c:v>
                </c:pt>
                <c:pt idx="195">
                  <c:v>12.5</c:v>
                </c:pt>
                <c:pt idx="196">
                  <c:v>12</c:v>
                </c:pt>
                <c:pt idx="197">
                  <c:v>11.5</c:v>
                </c:pt>
                <c:pt idx="198">
                  <c:v>11</c:v>
                </c:pt>
                <c:pt idx="199">
                  <c:v>10.5</c:v>
                </c:pt>
                <c:pt idx="200">
                  <c:v>10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E-3120-4E3E-B7D9-A0E65CA822F2}"/>
            </c:ext>
          </c:extLst>
        </c:ser>
        <c:ser>
          <c:idx val="11"/>
          <c:order val="9"/>
          <c:tx>
            <c:strRef>
              <c:f>Offertes!$AC$5</c:f>
              <c:strCache>
                <c:ptCount val="1"/>
                <c:pt idx="0">
                  <c:v>BPK-Lijn +2</c:v>
                </c:pt>
              </c:strCache>
            </c:strRef>
          </c:tx>
          <c:spPr>
            <a:ln w="38100">
              <a:solidFill>
                <a:schemeClr val="accent2">
                  <a:lumMod val="60000"/>
                  <a:lumOff val="40000"/>
                </a:schemeClr>
              </a:solidFill>
            </a:ln>
          </c:spPr>
          <c:marker>
            <c:symbol val="none"/>
          </c:marker>
          <c:xVal>
            <c:numRef>
              <c:f>Offertes!$AC$6:$AC$206</c:f>
              <c:numCache>
                <c:formatCode>_(* #,##0.00_);_(* \(#,##0.00\);_(* "-"??_);_(@_)</c:formatCode>
                <c:ptCount val="201"/>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4">
                  <c:v>48</c:v>
                </c:pt>
                <c:pt idx="145">
                  <c:v>47.5</c:v>
                </c:pt>
                <c:pt idx="146">
                  <c:v>47</c:v>
                </c:pt>
                <c:pt idx="147">
                  <c:v>46.5</c:v>
                </c:pt>
                <c:pt idx="148">
                  <c:v>46</c:v>
                </c:pt>
                <c:pt idx="149">
                  <c:v>45.5</c:v>
                </c:pt>
                <c:pt idx="150">
                  <c:v>45</c:v>
                </c:pt>
                <c:pt idx="151">
                  <c:v>44.5</c:v>
                </c:pt>
                <c:pt idx="152">
                  <c:v>44</c:v>
                </c:pt>
                <c:pt idx="153">
                  <c:v>43.5</c:v>
                </c:pt>
                <c:pt idx="154">
                  <c:v>43</c:v>
                </c:pt>
                <c:pt idx="155">
                  <c:v>42.5</c:v>
                </c:pt>
                <c:pt idx="156">
                  <c:v>42</c:v>
                </c:pt>
                <c:pt idx="157">
                  <c:v>41.5</c:v>
                </c:pt>
                <c:pt idx="158">
                  <c:v>41</c:v>
                </c:pt>
                <c:pt idx="159">
                  <c:v>40.5</c:v>
                </c:pt>
                <c:pt idx="160">
                  <c:v>40</c:v>
                </c:pt>
                <c:pt idx="161">
                  <c:v>39.5</c:v>
                </c:pt>
                <c:pt idx="162">
                  <c:v>39</c:v>
                </c:pt>
                <c:pt idx="163">
                  <c:v>38.5</c:v>
                </c:pt>
                <c:pt idx="164">
                  <c:v>38</c:v>
                </c:pt>
                <c:pt idx="165">
                  <c:v>37.5</c:v>
                </c:pt>
                <c:pt idx="166">
                  <c:v>37</c:v>
                </c:pt>
                <c:pt idx="167">
                  <c:v>36.5</c:v>
                </c:pt>
                <c:pt idx="168">
                  <c:v>36</c:v>
                </c:pt>
                <c:pt idx="169">
                  <c:v>35.5</c:v>
                </c:pt>
                <c:pt idx="170">
                  <c:v>35</c:v>
                </c:pt>
                <c:pt idx="171">
                  <c:v>34.5</c:v>
                </c:pt>
                <c:pt idx="172">
                  <c:v>34</c:v>
                </c:pt>
                <c:pt idx="173">
                  <c:v>33.5</c:v>
                </c:pt>
                <c:pt idx="174">
                  <c:v>33</c:v>
                </c:pt>
                <c:pt idx="175">
                  <c:v>32.5</c:v>
                </c:pt>
                <c:pt idx="176">
                  <c:v>32</c:v>
                </c:pt>
                <c:pt idx="177">
                  <c:v>31.5</c:v>
                </c:pt>
                <c:pt idx="178">
                  <c:v>31</c:v>
                </c:pt>
                <c:pt idx="179">
                  <c:v>30.5</c:v>
                </c:pt>
                <c:pt idx="180">
                  <c:v>30</c:v>
                </c:pt>
                <c:pt idx="181">
                  <c:v>29.5</c:v>
                </c:pt>
                <c:pt idx="182">
                  <c:v>28.999999999999996</c:v>
                </c:pt>
                <c:pt idx="183">
                  <c:v>28.499999999999996</c:v>
                </c:pt>
                <c:pt idx="184">
                  <c:v>28.000000000000004</c:v>
                </c:pt>
                <c:pt idx="185">
                  <c:v>27.500000000000004</c:v>
                </c:pt>
                <c:pt idx="186">
                  <c:v>27</c:v>
                </c:pt>
                <c:pt idx="187">
                  <c:v>26.5</c:v>
                </c:pt>
                <c:pt idx="188">
                  <c:v>26</c:v>
                </c:pt>
                <c:pt idx="189">
                  <c:v>25.5</c:v>
                </c:pt>
                <c:pt idx="190">
                  <c:v>25</c:v>
                </c:pt>
                <c:pt idx="191">
                  <c:v>24.5</c:v>
                </c:pt>
                <c:pt idx="192">
                  <c:v>24</c:v>
                </c:pt>
                <c:pt idx="193">
                  <c:v>23.5</c:v>
                </c:pt>
                <c:pt idx="194">
                  <c:v>23</c:v>
                </c:pt>
                <c:pt idx="195">
                  <c:v>22.5</c:v>
                </c:pt>
                <c:pt idx="196">
                  <c:v>22</c:v>
                </c:pt>
                <c:pt idx="197">
                  <c:v>21.5</c:v>
                </c:pt>
                <c:pt idx="198">
                  <c:v>21</c:v>
                </c:pt>
                <c:pt idx="199">
                  <c:v>20.5</c:v>
                </c:pt>
                <c:pt idx="200">
                  <c:v>20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F-3120-4E3E-B7D9-A0E65CA822F2}"/>
            </c:ext>
          </c:extLst>
        </c:ser>
        <c:ser>
          <c:idx val="5"/>
          <c:order val="10"/>
          <c:tx>
            <c:strRef>
              <c:f>Offertes!$AD$5</c:f>
              <c:strCache>
                <c:ptCount val="1"/>
                <c:pt idx="0">
                  <c:v>BPK-Lijn +3</c:v>
                </c:pt>
              </c:strCache>
            </c:strRef>
          </c:tx>
          <c:spPr>
            <a:ln w="38100">
              <a:solidFill>
                <a:schemeClr val="accent2">
                  <a:lumMod val="60000"/>
                  <a:lumOff val="40000"/>
                </a:schemeClr>
              </a:solidFill>
            </a:ln>
          </c:spPr>
          <c:marker>
            <c:symbol val="none"/>
          </c:marker>
          <c:xVal>
            <c:numRef>
              <c:f>Offertes!$AD$6:$AD$206</c:f>
              <c:numCache>
                <c:formatCode>_(* #,##0.00_);_(* \(#,##0.00\);_(* "-"??_);_(@_)</c:formatCode>
                <c:ptCount val="201"/>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4">
                  <c:v>57.999999999999993</c:v>
                </c:pt>
                <c:pt idx="145">
                  <c:v>57.499999999999993</c:v>
                </c:pt>
                <c:pt idx="146">
                  <c:v>56.999999999999993</c:v>
                </c:pt>
                <c:pt idx="147">
                  <c:v>56.499999999999993</c:v>
                </c:pt>
                <c:pt idx="148">
                  <c:v>56.000000000000007</c:v>
                </c:pt>
                <c:pt idx="149">
                  <c:v>55.500000000000007</c:v>
                </c:pt>
                <c:pt idx="150">
                  <c:v>55.000000000000007</c:v>
                </c:pt>
                <c:pt idx="151">
                  <c:v>54.500000000000007</c:v>
                </c:pt>
                <c:pt idx="152">
                  <c:v>54</c:v>
                </c:pt>
                <c:pt idx="153">
                  <c:v>53.5</c:v>
                </c:pt>
                <c:pt idx="154">
                  <c:v>53</c:v>
                </c:pt>
                <c:pt idx="155">
                  <c:v>52.5</c:v>
                </c:pt>
                <c:pt idx="156">
                  <c:v>52</c:v>
                </c:pt>
                <c:pt idx="157">
                  <c:v>51.5</c:v>
                </c:pt>
                <c:pt idx="158">
                  <c:v>51</c:v>
                </c:pt>
                <c:pt idx="159">
                  <c:v>50.5</c:v>
                </c:pt>
                <c:pt idx="160">
                  <c:v>50</c:v>
                </c:pt>
                <c:pt idx="161">
                  <c:v>49.5</c:v>
                </c:pt>
                <c:pt idx="162">
                  <c:v>49</c:v>
                </c:pt>
                <c:pt idx="163">
                  <c:v>48.5</c:v>
                </c:pt>
                <c:pt idx="164">
                  <c:v>48</c:v>
                </c:pt>
                <c:pt idx="165">
                  <c:v>47.5</c:v>
                </c:pt>
                <c:pt idx="166">
                  <c:v>47</c:v>
                </c:pt>
                <c:pt idx="167">
                  <c:v>46.5</c:v>
                </c:pt>
                <c:pt idx="168">
                  <c:v>46</c:v>
                </c:pt>
                <c:pt idx="169">
                  <c:v>45.5</c:v>
                </c:pt>
                <c:pt idx="170">
                  <c:v>45</c:v>
                </c:pt>
                <c:pt idx="171">
                  <c:v>44.5</c:v>
                </c:pt>
                <c:pt idx="172">
                  <c:v>44</c:v>
                </c:pt>
                <c:pt idx="173">
                  <c:v>43.5</c:v>
                </c:pt>
                <c:pt idx="174">
                  <c:v>43</c:v>
                </c:pt>
                <c:pt idx="175">
                  <c:v>42.5</c:v>
                </c:pt>
                <c:pt idx="176">
                  <c:v>42</c:v>
                </c:pt>
                <c:pt idx="177">
                  <c:v>41.5</c:v>
                </c:pt>
                <c:pt idx="178">
                  <c:v>41</c:v>
                </c:pt>
                <c:pt idx="179">
                  <c:v>40.5</c:v>
                </c:pt>
                <c:pt idx="180">
                  <c:v>40</c:v>
                </c:pt>
                <c:pt idx="181">
                  <c:v>39.5</c:v>
                </c:pt>
                <c:pt idx="182">
                  <c:v>39</c:v>
                </c:pt>
                <c:pt idx="183">
                  <c:v>38.5</c:v>
                </c:pt>
                <c:pt idx="184">
                  <c:v>38</c:v>
                </c:pt>
                <c:pt idx="185">
                  <c:v>37.5</c:v>
                </c:pt>
                <c:pt idx="186">
                  <c:v>37</c:v>
                </c:pt>
                <c:pt idx="187">
                  <c:v>36.5</c:v>
                </c:pt>
                <c:pt idx="188">
                  <c:v>36</c:v>
                </c:pt>
                <c:pt idx="189">
                  <c:v>35.5</c:v>
                </c:pt>
                <c:pt idx="190">
                  <c:v>35</c:v>
                </c:pt>
                <c:pt idx="191">
                  <c:v>34.5</c:v>
                </c:pt>
                <c:pt idx="192">
                  <c:v>34</c:v>
                </c:pt>
                <c:pt idx="193">
                  <c:v>33.5</c:v>
                </c:pt>
                <c:pt idx="194">
                  <c:v>33</c:v>
                </c:pt>
                <c:pt idx="195">
                  <c:v>32.5</c:v>
                </c:pt>
                <c:pt idx="196">
                  <c:v>32</c:v>
                </c:pt>
                <c:pt idx="197">
                  <c:v>31.5</c:v>
                </c:pt>
                <c:pt idx="198">
                  <c:v>31</c:v>
                </c:pt>
                <c:pt idx="199">
                  <c:v>30.5</c:v>
                </c:pt>
                <c:pt idx="200">
                  <c:v>30</c:v>
                </c:pt>
              </c:numCache>
            </c:numRef>
          </c:xVal>
          <c:yVal>
            <c:numRef>
              <c:f>Offertes!$V$6:$V$206</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10-3120-4E3E-B7D9-A0E65CA822F2}"/>
            </c:ext>
          </c:extLst>
        </c:ser>
        <c:ser>
          <c:idx val="13"/>
          <c:order val="11"/>
          <c:tx>
            <c:v>Qknockout</c:v>
          </c:tx>
          <c:marker>
            <c:symbol val="none"/>
          </c:marker>
          <c:dPt>
            <c:idx val="1"/>
            <c:bubble3D val="0"/>
            <c:spPr>
              <a:ln w="38100">
                <a:solidFill>
                  <a:srgbClr val="FF0000"/>
                </a:solidFill>
                <a:prstDash val="sysDash"/>
              </a:ln>
            </c:spPr>
            <c:extLst>
              <c:ext xmlns:c16="http://schemas.microsoft.com/office/drawing/2014/chart" uri="{C3380CC4-5D6E-409C-BE32-E72D297353CC}">
                <c16:uniqueId val="{00000012-3120-4E3E-B7D9-A0E65CA822F2}"/>
              </c:ext>
            </c:extLst>
          </c:dPt>
          <c:xVal>
            <c:numRef>
              <c:f>Offertes!$Q$44:$R$44</c:f>
              <c:numCache>
                <c:formatCode>General</c:formatCode>
                <c:ptCount val="2"/>
                <c:pt idx="0">
                  <c:v>-1000</c:v>
                </c:pt>
                <c:pt idx="1">
                  <c:v>-1000</c:v>
                </c:pt>
              </c:numCache>
            </c:numRef>
          </c:xVal>
          <c:yVal>
            <c:numRef>
              <c:f>Offertes!$Q$43:$R$43</c:f>
              <c:numCache>
                <c:formatCode>_("$"* #.##000_);_("$"* \(#.##000\);_("$"* "-"??_);_(@_)</c:formatCode>
                <c:ptCount val="2"/>
                <c:pt idx="0" formatCode="General">
                  <c:v>0</c:v>
                </c:pt>
                <c:pt idx="1">
                  <c:v>520000</c:v>
                </c:pt>
              </c:numCache>
            </c:numRef>
          </c:yVal>
          <c:smooth val="0"/>
          <c:extLst>
            <c:ext xmlns:c16="http://schemas.microsoft.com/office/drawing/2014/chart" uri="{C3380CC4-5D6E-409C-BE32-E72D297353CC}">
              <c16:uniqueId val="{00000013-3120-4E3E-B7D9-A0E65CA822F2}"/>
            </c:ext>
          </c:extLst>
        </c:ser>
        <c:ser>
          <c:idx val="1"/>
          <c:order val="12"/>
          <c:tx>
            <c:v>Qmin</c:v>
          </c:tx>
          <c:marker>
            <c:symbol val="none"/>
          </c:marker>
          <c:dPt>
            <c:idx val="1"/>
            <c:bubble3D val="0"/>
            <c:spPr>
              <a:ln w="38100">
                <a:solidFill>
                  <a:schemeClr val="accent1"/>
                </a:solidFill>
              </a:ln>
            </c:spPr>
            <c:extLst xmlns:c15="http://schemas.microsoft.com/office/drawing/2012/chart">
              <c:ext xmlns:c16="http://schemas.microsoft.com/office/drawing/2014/chart" uri="{C3380CC4-5D6E-409C-BE32-E72D297353CC}">
                <c16:uniqueId val="{00000015-3120-4E3E-B7D9-A0E65CA822F2}"/>
              </c:ext>
            </c:extLst>
          </c:dPt>
          <c:xVal>
            <c:numRef>
              <c:f>Offertes!$Q$45:$R$45</c:f>
              <c:numCache>
                <c:formatCode>General</c:formatCode>
                <c:ptCount val="2"/>
                <c:pt idx="0">
                  <c:v>0</c:v>
                </c:pt>
                <c:pt idx="1">
                  <c:v>0</c:v>
                </c:pt>
              </c:numCache>
            </c:numRef>
          </c:xVal>
          <c:yVal>
            <c:numRef>
              <c:f>Offertes!$Q$43:$R$43</c:f>
              <c:numCache>
                <c:formatCode>_("$"* #.##000_);_("$"* \(#.##000\);_("$"* "-"??_);_(@_)</c:formatCode>
                <c:ptCount val="2"/>
                <c:pt idx="0" formatCode="General">
                  <c:v>0</c:v>
                </c:pt>
                <c:pt idx="1">
                  <c:v>520000</c:v>
                </c:pt>
              </c:numCache>
            </c:numRef>
          </c:yVal>
          <c:smooth val="0"/>
          <c:extLst xmlns:c15="http://schemas.microsoft.com/office/drawing/2012/chart">
            <c:ext xmlns:c16="http://schemas.microsoft.com/office/drawing/2014/chart" uri="{C3380CC4-5D6E-409C-BE32-E72D297353CC}">
              <c16:uniqueId val="{00000016-3120-4E3E-B7D9-A0E65CA822F2}"/>
            </c:ext>
          </c:extLst>
        </c:ser>
        <c:ser>
          <c:idx val="2"/>
          <c:order val="13"/>
          <c:tx>
            <c:v>Punten bij Qmin</c:v>
          </c:tx>
          <c:marker>
            <c:symbol val="none"/>
          </c:marker>
          <c:dLbls>
            <c:dLbl>
              <c:idx val="0"/>
              <c:layout>
                <c:manualLayout>
                  <c:x val="-2.1999999999999999E-2"/>
                  <c:y val="5.5999999999999855E-2"/>
                </c:manualLayout>
              </c:layout>
              <c:showLegendKey val="0"/>
              <c:showVal val="0"/>
              <c:showCatName val="1"/>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5CDC-43E4-9468-CDD0420600A9}"/>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c:ext xmlns:c15="http://schemas.microsoft.com/office/drawing/2012/chart" uri="{CE6537A1-D6FC-4f65-9D91-7224C49458BB}">
                <c15:showDataLabelsRange val="1"/>
                <c15:showLeaderLines val="0"/>
              </c:ext>
            </c:extLst>
          </c:dLbls>
          <c:xVal>
            <c:numRef>
              <c:f>Offertes!$Q$46</c:f>
              <c:numCache>
                <c:formatCode>General</c:formatCode>
                <c:ptCount val="1"/>
                <c:pt idx="0">
                  <c:v>0</c:v>
                </c:pt>
              </c:numCache>
            </c:numRef>
          </c:xVal>
          <c:yVal>
            <c:numRef>
              <c:f>Offertes!$R$37</c:f>
              <c:numCache>
                <c:formatCode>_("$"* #.##000_);_("$"* \(#.##000\);_("$"* "-"??_);_(@_)</c:formatCode>
                <c:ptCount val="1"/>
                <c:pt idx="0">
                  <c:v>280000</c:v>
                </c:pt>
              </c:numCache>
            </c:numRef>
          </c:yVal>
          <c:smooth val="0"/>
          <c:extLst>
            <c:ext xmlns:c16="http://schemas.microsoft.com/office/drawing/2014/chart" uri="{C3380CC4-5D6E-409C-BE32-E72D297353CC}">
              <c16:uniqueId val="{00000018-3120-4E3E-B7D9-A0E65CA822F2}"/>
            </c:ext>
          </c:extLst>
        </c:ser>
        <c:ser>
          <c:idx val="3"/>
          <c:order val="14"/>
          <c:tx>
            <c:v>Punten bij Qmax</c:v>
          </c:tx>
          <c:marker>
            <c:symbol val="none"/>
          </c:marker>
          <c:dLbls>
            <c:dLbl>
              <c:idx val="0"/>
              <c:layout>
                <c:manualLayout>
                  <c:x val="-8.0000000000001459E-3"/>
                  <c:y val="5.5590651453337539E-2"/>
                </c:manualLayout>
              </c:layout>
              <c:tx>
                <c:rich>
                  <a:bodyPr/>
                  <a:lstStyle/>
                  <a:p>
                    <a:fld id="{16ACCDEE-BB17-41DF-9122-4DE47EA064B8}"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3120-4E3E-B7D9-A0E65CA822F2}"/>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Offertes!$R$38</c:f>
              <c:numCache>
                <c:formatCode>#,##0</c:formatCode>
                <c:ptCount val="1"/>
                <c:pt idx="0">
                  <c:v>100</c:v>
                </c:pt>
              </c:numCache>
            </c:numRef>
          </c:xVal>
          <c:yVal>
            <c:numRef>
              <c:f>Offertes!$R$37</c:f>
              <c:numCache>
                <c:formatCode>_("$"* #.##000_);_("$"* \(#.##000\);_("$"* "-"??_);_(@_)</c:formatCode>
                <c:ptCount val="1"/>
                <c:pt idx="0">
                  <c:v>280000</c:v>
                </c:pt>
              </c:numCache>
            </c:numRef>
          </c:yVal>
          <c:smooth val="0"/>
          <c:extLst>
            <c:ext xmlns:c15="http://schemas.microsoft.com/office/drawing/2012/chart" uri="{02D57815-91ED-43cb-92C2-25804820EDAC}">
              <c15:datalabelsRange>
                <c15:f>'BPK-Grafiek'!$N$12</c15:f>
                <c15:dlblRangeCache>
                  <c:ptCount val="1"/>
                  <c:pt idx="0">
                    <c:v>500</c:v>
                  </c:pt>
                </c15:dlblRangeCache>
              </c15:datalabelsRange>
            </c:ext>
            <c:ext xmlns:c16="http://schemas.microsoft.com/office/drawing/2014/chart" uri="{C3380CC4-5D6E-409C-BE32-E72D297353CC}">
              <c16:uniqueId val="{0000001A-3120-4E3E-B7D9-A0E65CA822F2}"/>
            </c:ext>
          </c:extLst>
        </c:ser>
        <c:ser>
          <c:idx val="18"/>
          <c:order val="17"/>
          <c:tx>
            <c:v>LAQ</c:v>
          </c:tx>
          <c:marker>
            <c:symbol val="none"/>
          </c:marker>
          <c:dLbls>
            <c:dLbl>
              <c:idx val="0"/>
              <c:layout>
                <c:manualLayout>
                  <c:x val="-3.2000000000000001E-2"/>
                  <c:y val="5.3999999999999999E-2"/>
                </c:manualLayout>
              </c:layout>
              <c:tx>
                <c:rich>
                  <a:bodyPr/>
                  <a:lstStyle/>
                  <a:p>
                    <a:fld id="{936109F2-9F10-41EF-A2D3-411229B7C390}"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3120-4E3E-B7D9-A0E65CA822F2}"/>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Offertes!$Q$20</c:f>
              <c:numCache>
                <c:formatCode>#,##0</c:formatCode>
                <c:ptCount val="1"/>
                <c:pt idx="0">
                  <c:v>-1000</c:v>
                </c:pt>
              </c:numCache>
            </c:numRef>
          </c:xVal>
          <c:yVal>
            <c:numRef>
              <c:f>Offertes!$R$37</c:f>
              <c:numCache>
                <c:formatCode>_("$"* #.##000_);_("$"* \(#.##000\);_("$"* "-"??_);_(@_)</c:formatCode>
                <c:ptCount val="1"/>
                <c:pt idx="0">
                  <c:v>280000</c:v>
                </c:pt>
              </c:numCache>
            </c:numRef>
          </c:yVal>
          <c:smooth val="0"/>
          <c:extLst xmlns:c15="http://schemas.microsoft.com/office/drawing/2012/chart">
            <c:ext xmlns:c15="http://schemas.microsoft.com/office/drawing/2012/chart" uri="{02D57815-91ED-43cb-92C2-25804820EDAC}">
              <c15:datalabelsRange>
                <c15:f>Offertes!$Q$51</c15:f>
                <c15:dlblRangeCache>
                  <c:ptCount val="1"/>
                  <c:pt idx="0">
                    <c:v>LAQ = </c:v>
                  </c:pt>
                </c15:dlblRangeCache>
              </c15:datalabelsRange>
            </c:ext>
            <c:ext xmlns:c16="http://schemas.microsoft.com/office/drawing/2014/chart" uri="{C3380CC4-5D6E-409C-BE32-E72D297353CC}">
              <c16:uniqueId val="{0000001E-3120-4E3E-B7D9-A0E65CA822F2}"/>
            </c:ext>
          </c:extLst>
        </c:ser>
        <c:ser>
          <c:idx val="22"/>
          <c:order val="19"/>
          <c:tx>
            <c:v>Bovengrens</c:v>
          </c:tx>
          <c:spPr>
            <a:ln>
              <a:solidFill>
                <a:schemeClr val="tx1"/>
              </a:solidFill>
            </a:ln>
          </c:spPr>
          <c:marker>
            <c:symbol val="none"/>
          </c:marker>
          <c:dPt>
            <c:idx val="1"/>
            <c:bubble3D val="0"/>
            <c:spPr>
              <a:ln w="38100">
                <a:solidFill>
                  <a:schemeClr val="tx1"/>
                </a:solidFill>
                <a:prstDash val="dash"/>
              </a:ln>
            </c:spPr>
            <c:extLst>
              <c:ext xmlns:c16="http://schemas.microsoft.com/office/drawing/2014/chart" uri="{C3380CC4-5D6E-409C-BE32-E72D297353CC}">
                <c16:uniqueId val="{00000008-689D-4744-89E2-BBA54EE3BF69}"/>
              </c:ext>
            </c:extLst>
          </c:dPt>
          <c:xVal>
            <c:numRef>
              <c:f>Offertes!$Q$41:$R$41</c:f>
              <c:numCache>
                <c:formatCode>#,##0</c:formatCode>
                <c:ptCount val="2"/>
                <c:pt idx="0" formatCode="General">
                  <c:v>0</c:v>
                </c:pt>
                <c:pt idx="1">
                  <c:v>100</c:v>
                </c:pt>
              </c:numCache>
            </c:numRef>
          </c:xVal>
          <c:yVal>
            <c:numRef>
              <c:f>Offertes!$Q$19:$R$19</c:f>
              <c:numCache>
                <c:formatCode>_("$"* #.##000_);_("$"* \(#.##000\);_("$"* "-"??_);_(@_)</c:formatCode>
                <c:ptCount val="2"/>
                <c:pt idx="0">
                  <c:v>500000</c:v>
                </c:pt>
                <c:pt idx="1">
                  <c:v>500000</c:v>
                </c:pt>
              </c:numCache>
            </c:numRef>
          </c:yVal>
          <c:smooth val="0"/>
          <c:extLst>
            <c:ext xmlns:c16="http://schemas.microsoft.com/office/drawing/2014/chart" uri="{C3380CC4-5D6E-409C-BE32-E72D297353CC}">
              <c16:uniqueId val="{0000002A-3120-4E3E-B7D9-A0E65CA822F2}"/>
            </c:ext>
          </c:extLst>
        </c:ser>
        <c:ser>
          <c:idx val="12"/>
          <c:order val="20"/>
          <c:tx>
            <c:v>Ondergrens</c:v>
          </c:tx>
          <c:spPr>
            <a:ln>
              <a:solidFill>
                <a:schemeClr val="tx1"/>
              </a:solidFill>
            </a:ln>
          </c:spPr>
          <c:marker>
            <c:symbol val="none"/>
          </c:marker>
          <c:dPt>
            <c:idx val="1"/>
            <c:bubble3D val="0"/>
            <c:spPr>
              <a:ln w="38100">
                <a:solidFill>
                  <a:schemeClr val="tx1"/>
                </a:solidFill>
                <a:prstDash val="sysDash"/>
              </a:ln>
            </c:spPr>
            <c:extLst>
              <c:ext xmlns:c16="http://schemas.microsoft.com/office/drawing/2014/chart" uri="{C3380CC4-5D6E-409C-BE32-E72D297353CC}">
                <c16:uniqueId val="{00000007-689D-4744-89E2-BBA54EE3BF69}"/>
              </c:ext>
            </c:extLst>
          </c:dPt>
          <c:xVal>
            <c:numRef>
              <c:f>Offertes!$Q$41:$R$41</c:f>
              <c:numCache>
                <c:formatCode>#,##0</c:formatCode>
                <c:ptCount val="2"/>
                <c:pt idx="0" formatCode="General">
                  <c:v>0</c:v>
                </c:pt>
                <c:pt idx="1">
                  <c:v>100</c:v>
                </c:pt>
              </c:numCache>
            </c:numRef>
          </c:xVal>
          <c:yVal>
            <c:numRef>
              <c:f>Offertes!$Q$18:$R$18</c:f>
              <c:numCache>
                <c:formatCode>_("$"* #.##000_);_("$"* \(#.##000\);_("$"* "-"??_);_(@_)</c:formatCode>
                <c:ptCount val="2"/>
                <c:pt idx="0">
                  <c:v>300000</c:v>
                </c:pt>
                <c:pt idx="1">
                  <c:v>300000</c:v>
                </c:pt>
              </c:numCache>
            </c:numRef>
          </c:yVal>
          <c:smooth val="0"/>
          <c:extLst>
            <c:ext xmlns:c16="http://schemas.microsoft.com/office/drawing/2014/chart" uri="{C3380CC4-5D6E-409C-BE32-E72D297353CC}">
              <c16:uniqueId val="{00000023-3120-4E3E-B7D9-A0E65CA822F2}"/>
            </c:ext>
          </c:extLst>
        </c:ser>
        <c:ser>
          <c:idx val="17"/>
          <c:order val="21"/>
          <c:tx>
            <c:strRef>
              <c:f>Offertes!$C$8</c:f>
              <c:strCache>
                <c:ptCount val="1"/>
                <c:pt idx="0">
                  <c:v>1</c:v>
                </c:pt>
              </c:strCache>
            </c:strRef>
          </c:tx>
          <c:spPr>
            <a:ln>
              <a:noFill/>
            </a:ln>
          </c:spPr>
          <c:marker>
            <c:symbol val="circle"/>
            <c:size val="14"/>
            <c:spPr>
              <a:solidFill>
                <a:srgbClr val="FF0000"/>
              </a:solidFill>
              <a:ln>
                <a:noFill/>
              </a:ln>
            </c:spPr>
          </c:marker>
          <c:dLbls>
            <c:dLbl>
              <c:idx val="0"/>
              <c:spPr>
                <a:noFill/>
                <a:ln>
                  <a:noFill/>
                </a:ln>
                <a:effectLst/>
              </c:spPr>
              <c:txPr>
                <a:bodyPr wrap="square" lIns="38100" tIns="19050" rIns="38100" bIns="19050" anchor="ctr">
                  <a:spAutoFit/>
                </a:bodyPr>
                <a:lstStyle/>
                <a:p>
                  <a:pPr>
                    <a:defRPr sz="800" b="1">
                      <a:latin typeface="+mn-lt"/>
                      <a:ea typeface="Verdana" panose="020B0604030504040204" pitchFamily="34" charset="0"/>
                    </a:defRPr>
                  </a:pPr>
                  <a:endParaRPr lang="nl-NL"/>
                </a:p>
              </c:txPr>
              <c:dLblPos val="ctr"/>
              <c:showLegendKey val="0"/>
              <c:showVal val="0"/>
              <c:showCatName val="0"/>
              <c:showSerName val="1"/>
              <c:showPercent val="0"/>
              <c:showBubbleSize val="0"/>
              <c:extLst>
                <c:ext xmlns:c16="http://schemas.microsoft.com/office/drawing/2014/chart" uri="{C3380CC4-5D6E-409C-BE32-E72D297353CC}">
                  <c16:uniqueId val="{00000027-3120-4E3E-B7D9-A0E65CA822F2}"/>
                </c:ext>
              </c:extLst>
            </c:dLbl>
            <c:spPr>
              <a:noFill/>
              <a:ln>
                <a:noFill/>
              </a:ln>
              <a:effectLst/>
            </c:spPr>
            <c:txPr>
              <a:bodyPr wrap="square" lIns="38100" tIns="19050" rIns="38100" bIns="19050" anchor="ctr">
                <a:spAutoFit/>
              </a:bodyPr>
              <a:lstStyle/>
              <a:p>
                <a:pPr>
                  <a:defRPr b="1">
                    <a:latin typeface="Verdana" panose="020B0604030504040204" pitchFamily="34" charset="0"/>
                    <a:ea typeface="Verdana" panose="020B0604030504040204" pitchFamily="34" charset="0"/>
                  </a:defRPr>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Offertes!$H$8</c:f>
              <c:strCache>
                <c:ptCount val="1"/>
                <c:pt idx="0">
                  <c:v>  </c:v>
                </c:pt>
              </c:strCache>
            </c:strRef>
          </c:xVal>
          <c:yVal>
            <c:numRef>
              <c:f>Offertes!$F$8</c:f>
              <c:numCache>
                <c:formatCode>"€"#,##0.00_);\("€"#,##0.00\)</c:formatCode>
                <c:ptCount val="1"/>
              </c:numCache>
            </c:numRef>
          </c:yVal>
          <c:smooth val="0"/>
          <c:extLst>
            <c:ext xmlns:c16="http://schemas.microsoft.com/office/drawing/2014/chart" uri="{C3380CC4-5D6E-409C-BE32-E72D297353CC}">
              <c16:uniqueId val="{00000026-3120-4E3E-B7D9-A0E65CA822F2}"/>
            </c:ext>
          </c:extLst>
        </c:ser>
        <c:ser>
          <c:idx val="21"/>
          <c:order val="22"/>
          <c:tx>
            <c:strRef>
              <c:f>Offertes!$C$9</c:f>
              <c:strCache>
                <c:ptCount val="1"/>
                <c:pt idx="0">
                  <c:v>2</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Offertes!$H$9</c:f>
              <c:strCache>
                <c:ptCount val="1"/>
                <c:pt idx="0">
                  <c:v>  </c:v>
                </c:pt>
              </c:strCache>
            </c:strRef>
          </c:xVal>
          <c:yVal>
            <c:numRef>
              <c:f>Offertes!$F$9</c:f>
              <c:numCache>
                <c:formatCode>"€"#,##0.00_);\("€"#,##0.00\)</c:formatCode>
                <c:ptCount val="1"/>
              </c:numCache>
            </c:numRef>
          </c:yVal>
          <c:smooth val="0"/>
          <c:extLst>
            <c:ext xmlns:c16="http://schemas.microsoft.com/office/drawing/2014/chart" uri="{C3380CC4-5D6E-409C-BE32-E72D297353CC}">
              <c16:uniqueId val="{00000029-3120-4E3E-B7D9-A0E65CA822F2}"/>
            </c:ext>
          </c:extLst>
        </c:ser>
        <c:ser>
          <c:idx val="23"/>
          <c:order val="23"/>
          <c:tx>
            <c:strRef>
              <c:f>Offertes!$C$10</c:f>
              <c:strCache>
                <c:ptCount val="1"/>
                <c:pt idx="0">
                  <c:v>3</c:v>
                </c:pt>
              </c:strCache>
            </c:strRef>
          </c:tx>
          <c:spPr>
            <a:ln>
              <a:noFill/>
            </a:ln>
          </c:spPr>
          <c:marker>
            <c:symbol val="circle"/>
            <c:size val="14"/>
            <c:spPr>
              <a:solidFill>
                <a:srgbClr val="FF0000"/>
              </a:solidFill>
              <a:ln>
                <a:noFill/>
              </a:ln>
            </c:spPr>
          </c:marker>
          <c:dLbls>
            <c:dLbl>
              <c:idx val="0"/>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extLst>
                <c:ext xmlns:c16="http://schemas.microsoft.com/office/drawing/2014/chart" uri="{C3380CC4-5D6E-409C-BE32-E72D297353CC}">
                  <c16:uniqueId val="{00000036-3120-4E3E-B7D9-A0E65CA822F2}"/>
                </c:ext>
              </c:extLst>
            </c:dLbl>
            <c:spPr>
              <a:noFill/>
              <a:ln>
                <a:noFill/>
              </a:ln>
              <a:effectLst/>
            </c:sp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Offertes!$H$10</c:f>
              <c:strCache>
                <c:ptCount val="1"/>
                <c:pt idx="0">
                  <c:v>  </c:v>
                </c:pt>
              </c:strCache>
            </c:strRef>
          </c:xVal>
          <c:yVal>
            <c:numRef>
              <c:f>Offertes!$F$10</c:f>
              <c:numCache>
                <c:formatCode>"€"#,##0.00_);\("€"#,##0.00\)</c:formatCode>
                <c:ptCount val="1"/>
              </c:numCache>
            </c:numRef>
          </c:yVal>
          <c:smooth val="0"/>
          <c:extLst>
            <c:ext xmlns:c16="http://schemas.microsoft.com/office/drawing/2014/chart" uri="{C3380CC4-5D6E-409C-BE32-E72D297353CC}">
              <c16:uniqueId val="{0000002B-3120-4E3E-B7D9-A0E65CA822F2}"/>
            </c:ext>
          </c:extLst>
        </c:ser>
        <c:ser>
          <c:idx val="24"/>
          <c:order val="24"/>
          <c:tx>
            <c:strRef>
              <c:f>Offertes!$C$11</c:f>
              <c:strCache>
                <c:ptCount val="1"/>
                <c:pt idx="0">
                  <c:v>4</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Offertes!$H$11</c:f>
              <c:strCache>
                <c:ptCount val="1"/>
                <c:pt idx="0">
                  <c:v>  </c:v>
                </c:pt>
              </c:strCache>
            </c:strRef>
          </c:xVal>
          <c:yVal>
            <c:numRef>
              <c:f>Offertes!$F$11</c:f>
              <c:numCache>
                <c:formatCode>"€"#,##0.00_);\("€"#,##0.00\)</c:formatCode>
                <c:ptCount val="1"/>
              </c:numCache>
            </c:numRef>
          </c:yVal>
          <c:smooth val="0"/>
          <c:extLst>
            <c:ext xmlns:c16="http://schemas.microsoft.com/office/drawing/2014/chart" uri="{C3380CC4-5D6E-409C-BE32-E72D297353CC}">
              <c16:uniqueId val="{0000002C-3120-4E3E-B7D9-A0E65CA822F2}"/>
            </c:ext>
          </c:extLst>
        </c:ser>
        <c:ser>
          <c:idx val="25"/>
          <c:order val="25"/>
          <c:tx>
            <c:strRef>
              <c:f>Offertes!$C$12</c:f>
              <c:strCache>
                <c:ptCount val="1"/>
                <c:pt idx="0">
                  <c:v>5</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Offertes!$H$12</c:f>
              <c:strCache>
                <c:ptCount val="1"/>
                <c:pt idx="0">
                  <c:v>  </c:v>
                </c:pt>
              </c:strCache>
            </c:strRef>
          </c:xVal>
          <c:yVal>
            <c:numRef>
              <c:f>Offertes!$F$12</c:f>
              <c:numCache>
                <c:formatCode>"€"#,##0.00_);\("€"#,##0.00\)</c:formatCode>
                <c:ptCount val="1"/>
              </c:numCache>
            </c:numRef>
          </c:yVal>
          <c:smooth val="0"/>
          <c:extLst>
            <c:ext xmlns:c16="http://schemas.microsoft.com/office/drawing/2014/chart" uri="{C3380CC4-5D6E-409C-BE32-E72D297353CC}">
              <c16:uniqueId val="{0000002D-3120-4E3E-B7D9-A0E65CA822F2}"/>
            </c:ext>
          </c:extLst>
        </c:ser>
        <c:ser>
          <c:idx val="26"/>
          <c:order val="26"/>
          <c:tx>
            <c:strRef>
              <c:f>Offertes!$C$13</c:f>
              <c:strCache>
                <c:ptCount val="1"/>
                <c:pt idx="0">
                  <c:v>6</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Offertes!$H$13</c:f>
              <c:strCache>
                <c:ptCount val="1"/>
                <c:pt idx="0">
                  <c:v>  </c:v>
                </c:pt>
              </c:strCache>
            </c:strRef>
          </c:xVal>
          <c:yVal>
            <c:numRef>
              <c:f>Offertes!$F$13</c:f>
              <c:numCache>
                <c:formatCode>"€"#,##0.00_);\("€"#,##0.00\)</c:formatCode>
                <c:ptCount val="1"/>
              </c:numCache>
            </c:numRef>
          </c:yVal>
          <c:smooth val="0"/>
          <c:extLst>
            <c:ext xmlns:c16="http://schemas.microsoft.com/office/drawing/2014/chart" uri="{C3380CC4-5D6E-409C-BE32-E72D297353CC}">
              <c16:uniqueId val="{0000002E-3120-4E3E-B7D9-A0E65CA822F2}"/>
            </c:ext>
          </c:extLst>
        </c:ser>
        <c:ser>
          <c:idx val="27"/>
          <c:order val="27"/>
          <c:tx>
            <c:strRef>
              <c:f>Offertes!$C$14</c:f>
              <c:strCache>
                <c:ptCount val="1"/>
                <c:pt idx="0">
                  <c:v>7</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Offertes!$H$14</c:f>
              <c:strCache>
                <c:ptCount val="1"/>
                <c:pt idx="0">
                  <c:v>  </c:v>
                </c:pt>
              </c:strCache>
            </c:strRef>
          </c:xVal>
          <c:yVal>
            <c:numRef>
              <c:f>Offertes!$F$14</c:f>
              <c:numCache>
                <c:formatCode>"€"#,##0.00_);\("€"#,##0.00\)</c:formatCode>
                <c:ptCount val="1"/>
              </c:numCache>
            </c:numRef>
          </c:yVal>
          <c:smooth val="0"/>
          <c:extLst>
            <c:ext xmlns:c16="http://schemas.microsoft.com/office/drawing/2014/chart" uri="{C3380CC4-5D6E-409C-BE32-E72D297353CC}">
              <c16:uniqueId val="{0000002F-3120-4E3E-B7D9-A0E65CA822F2}"/>
            </c:ext>
          </c:extLst>
        </c:ser>
        <c:ser>
          <c:idx val="28"/>
          <c:order val="28"/>
          <c:tx>
            <c:strRef>
              <c:f>Offertes!$C$15</c:f>
              <c:strCache>
                <c:ptCount val="1"/>
                <c:pt idx="0">
                  <c:v>8</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Offertes!$H$15</c:f>
              <c:strCache>
                <c:ptCount val="1"/>
                <c:pt idx="0">
                  <c:v>  </c:v>
                </c:pt>
              </c:strCache>
            </c:strRef>
          </c:xVal>
          <c:yVal>
            <c:numRef>
              <c:f>Offertes!$F$15</c:f>
              <c:numCache>
                <c:formatCode>"$"#.##000_);\("$"#.##000\)</c:formatCode>
                <c:ptCount val="1"/>
              </c:numCache>
            </c:numRef>
          </c:yVal>
          <c:smooth val="0"/>
          <c:extLst>
            <c:ext xmlns:c16="http://schemas.microsoft.com/office/drawing/2014/chart" uri="{C3380CC4-5D6E-409C-BE32-E72D297353CC}">
              <c16:uniqueId val="{00000030-3120-4E3E-B7D9-A0E65CA822F2}"/>
            </c:ext>
          </c:extLst>
        </c:ser>
        <c:ser>
          <c:idx val="29"/>
          <c:order val="29"/>
          <c:tx>
            <c:strRef>
              <c:f>Offertes!$C$16</c:f>
              <c:strCache>
                <c:ptCount val="1"/>
                <c:pt idx="0">
                  <c:v>9</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Offertes!$H$16</c:f>
              <c:strCache>
                <c:ptCount val="1"/>
                <c:pt idx="0">
                  <c:v>  </c:v>
                </c:pt>
              </c:strCache>
            </c:strRef>
          </c:xVal>
          <c:yVal>
            <c:numRef>
              <c:f>Offertes!$F$16</c:f>
              <c:numCache>
                <c:formatCode>"$"#.##000_);\("$"#.##000\)</c:formatCode>
                <c:ptCount val="1"/>
              </c:numCache>
            </c:numRef>
          </c:yVal>
          <c:smooth val="0"/>
          <c:extLst>
            <c:ext xmlns:c16="http://schemas.microsoft.com/office/drawing/2014/chart" uri="{C3380CC4-5D6E-409C-BE32-E72D297353CC}">
              <c16:uniqueId val="{00000031-3120-4E3E-B7D9-A0E65CA822F2}"/>
            </c:ext>
          </c:extLst>
        </c:ser>
        <c:ser>
          <c:idx val="30"/>
          <c:order val="30"/>
          <c:tx>
            <c:strRef>
              <c:f>Offertes!$C$17</c:f>
              <c:strCache>
                <c:ptCount val="1"/>
                <c:pt idx="0">
                  <c:v>10</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Offertes!$H$17</c:f>
              <c:strCache>
                <c:ptCount val="1"/>
                <c:pt idx="0">
                  <c:v>  </c:v>
                </c:pt>
              </c:strCache>
            </c:strRef>
          </c:xVal>
          <c:yVal>
            <c:numRef>
              <c:f>Offertes!$F$17</c:f>
              <c:numCache>
                <c:formatCode>"$"#.##000_);\("$"#.##000\)</c:formatCode>
                <c:ptCount val="1"/>
              </c:numCache>
            </c:numRef>
          </c:yVal>
          <c:smooth val="0"/>
          <c:extLst>
            <c:ext xmlns:c16="http://schemas.microsoft.com/office/drawing/2014/chart" uri="{C3380CC4-5D6E-409C-BE32-E72D297353CC}">
              <c16:uniqueId val="{00000032-3120-4E3E-B7D9-A0E65CA822F2}"/>
            </c:ext>
          </c:extLst>
        </c:ser>
        <c:ser>
          <c:idx val="31"/>
          <c:order val="31"/>
          <c:tx>
            <c:strRef>
              <c:f>Offertes!$C$18</c:f>
              <c:strCache>
                <c:ptCount val="1"/>
                <c:pt idx="0">
                  <c:v>11</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Offertes!$H$18</c:f>
              <c:strCache>
                <c:ptCount val="1"/>
                <c:pt idx="0">
                  <c:v>  </c:v>
                </c:pt>
              </c:strCache>
            </c:strRef>
          </c:xVal>
          <c:yVal>
            <c:numRef>
              <c:f>Offertes!$F$18</c:f>
              <c:numCache>
                <c:formatCode>"$"#.##000_);\("$"#.##000\)</c:formatCode>
                <c:ptCount val="1"/>
              </c:numCache>
            </c:numRef>
          </c:yVal>
          <c:smooth val="0"/>
          <c:extLst>
            <c:ext xmlns:c16="http://schemas.microsoft.com/office/drawing/2014/chart" uri="{C3380CC4-5D6E-409C-BE32-E72D297353CC}">
              <c16:uniqueId val="{00000033-3120-4E3E-B7D9-A0E65CA822F2}"/>
            </c:ext>
          </c:extLst>
        </c:ser>
        <c:ser>
          <c:idx val="32"/>
          <c:order val="32"/>
          <c:tx>
            <c:strRef>
              <c:f>Offertes!$C$19</c:f>
              <c:strCache>
                <c:ptCount val="1"/>
                <c:pt idx="0">
                  <c:v>12</c:v>
                </c:pt>
              </c:strCache>
            </c:strRef>
          </c:tx>
          <c:marker>
            <c:symbol val="circle"/>
            <c:size val="14"/>
            <c:spPr>
              <a:solidFill>
                <a:srgbClr val="FF00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strRef>
              <c:f>Offertes!$H$19</c:f>
              <c:strCache>
                <c:ptCount val="1"/>
                <c:pt idx="0">
                  <c:v>  </c:v>
                </c:pt>
              </c:strCache>
            </c:strRef>
          </c:xVal>
          <c:yVal>
            <c:numRef>
              <c:f>Offertes!$F$19</c:f>
              <c:numCache>
                <c:formatCode>"$"#.##000_);\("$"#.##000\)</c:formatCode>
                <c:ptCount val="1"/>
              </c:numCache>
            </c:numRef>
          </c:yVal>
          <c:smooth val="0"/>
          <c:extLst>
            <c:ext xmlns:c16="http://schemas.microsoft.com/office/drawing/2014/chart" uri="{C3380CC4-5D6E-409C-BE32-E72D297353CC}">
              <c16:uniqueId val="{00000034-3120-4E3E-B7D9-A0E65CA822F2}"/>
            </c:ext>
          </c:extLst>
        </c:ser>
        <c:dLbls>
          <c:showLegendKey val="0"/>
          <c:showVal val="0"/>
          <c:showCatName val="0"/>
          <c:showSerName val="0"/>
          <c:showPercent val="0"/>
          <c:showBubbleSize val="0"/>
        </c:dLbls>
        <c:axId val="622482064"/>
        <c:axId val="622487944"/>
        <c:extLst>
          <c:ext xmlns:c15="http://schemas.microsoft.com/office/drawing/2012/chart" uri="{02D57815-91ED-43cb-92C2-25804820EDAC}">
            <c15:filteredScatterSeries>
              <c15:ser>
                <c:idx val="39"/>
                <c:order val="2"/>
                <c:tx>
                  <c:v>Plafondprijs</c:v>
                </c:tx>
                <c:marker>
                  <c:symbol val="none"/>
                </c:marker>
                <c:xVal>
                  <c:numRef>
                    <c:extLst>
                      <c:ext uri="{02D57815-91ED-43cb-92C2-25804820EDAC}">
                        <c15:formulaRef>
                          <c15:sqref>Offertes!$Q$6:$R$6</c15:sqref>
                        </c15:formulaRef>
                      </c:ext>
                    </c:extLst>
                    <c:numCache>
                      <c:formatCode>#,##0</c:formatCode>
                      <c:ptCount val="2"/>
                      <c:pt idx="0" formatCode="General">
                        <c:v>0</c:v>
                      </c:pt>
                      <c:pt idx="1">
                        <c:v>500</c:v>
                      </c:pt>
                    </c:numCache>
                  </c:numRef>
                </c:xVal>
                <c:yVal>
                  <c:numRef>
                    <c:extLst>
                      <c:ext uri="{02D57815-91ED-43cb-92C2-25804820EDAC}">
                        <c15:formulaRef>
                          <c15:sqref>Offertes!$Q$7:$R$7</c15:sqref>
                        </c15:formulaRef>
                      </c:ext>
                    </c:extLst>
                    <c:numCache>
                      <c:formatCode>_("$"* #.##000_);_("$"* \(#.##000\);_("$"* "-"??_);_(@_)</c:formatCode>
                      <c:ptCount val="2"/>
                      <c:pt idx="0">
                        <c:v>-100000</c:v>
                      </c:pt>
                      <c:pt idx="1">
                        <c:v>-100000</c:v>
                      </c:pt>
                    </c:numCache>
                  </c:numRef>
                </c:yVal>
                <c:smooth val="0"/>
                <c:extLst>
                  <c:ext xmlns:c16="http://schemas.microsoft.com/office/drawing/2014/chart" uri="{C3380CC4-5D6E-409C-BE32-E72D297353CC}">
                    <c16:uniqueId val="{00000005-3120-4E3E-B7D9-A0E65CA822F2}"/>
                  </c:ext>
                </c:extLst>
              </c15:ser>
            </c15:filteredScatterSeries>
            <c15:filteredScatterSeries>
              <c15:ser>
                <c:idx val="15"/>
                <c:order val="15"/>
                <c:tx>
                  <c:v>PQmin</c:v>
                </c:tx>
                <c:spPr>
                  <a:ln>
                    <a:solidFill>
                      <a:schemeClr val="tx1"/>
                    </a:solidFill>
                    <a:prstDash val="sysDash"/>
                  </a:ln>
                </c:spPr>
                <c:marker>
                  <c:symbol val="none"/>
                </c:marker>
                <c:xVal>
                  <c:numRef>
                    <c:extLst xmlns:c15="http://schemas.microsoft.com/office/drawing/2012/chart">
                      <c:ext xmlns:c15="http://schemas.microsoft.com/office/drawing/2012/chart" uri="{02D57815-91ED-43cb-92C2-25804820EDAC}">
                        <c15:formulaRef>
                          <c15:sqref>'HULP-velden'!$C$28</c15:sqref>
                        </c15:formulaRef>
                      </c:ext>
                    </c:extLst>
                    <c:numCache>
                      <c:formatCode>General</c:formatCode>
                      <c:ptCount val="1"/>
                      <c:pt idx="0">
                        <c:v>0</c:v>
                      </c:pt>
                    </c:numCache>
                  </c:numRef>
                </c:xVal>
                <c:yVal>
                  <c:numRef>
                    <c:extLst xmlns:c15="http://schemas.microsoft.com/office/drawing/2012/chart">
                      <c:ext xmlns:c15="http://schemas.microsoft.com/office/drawing/2012/chart" uri="{02D57815-91ED-43cb-92C2-25804820EDAC}">
                        <c15:formulaRef>
                          <c15:sqref>'HULP-velden'!$C$25</c15:sqref>
                        </c15:formulaRef>
                      </c:ext>
                    </c:extLst>
                    <c:numCache>
                      <c:formatCode>_("$"* #.##000_);_("$"* \(#.##000\);_("$"* "-"??_);_(@_)</c:formatCode>
                      <c:ptCount val="1"/>
                      <c:pt idx="0">
                        <c:v>300000</c:v>
                      </c:pt>
                    </c:numCache>
                  </c:numRef>
                </c:yVal>
                <c:smooth val="0"/>
                <c:extLst xmlns:c15="http://schemas.microsoft.com/office/drawing/2012/chart">
                  <c:ext xmlns:c16="http://schemas.microsoft.com/office/drawing/2014/chart" uri="{C3380CC4-5D6E-409C-BE32-E72D297353CC}">
                    <c16:uniqueId val="{0000001B-3120-4E3E-B7D9-A0E65CA822F2}"/>
                  </c:ext>
                </c:extLst>
              </c15:ser>
            </c15:filteredScatterSeries>
            <c15:filteredScatterSeries>
              <c15:ser>
                <c:idx val="16"/>
                <c:order val="16"/>
                <c:tx>
                  <c:v>PQmax</c:v>
                </c:tx>
                <c:spPr>
                  <a:ln w="38100">
                    <a:solidFill>
                      <a:schemeClr val="accent2">
                        <a:lumMod val="60000"/>
                        <a:lumOff val="40000"/>
                      </a:schemeClr>
                    </a:solidFill>
                  </a:ln>
                </c:spPr>
                <c:marker>
                  <c:symbol val="none"/>
                </c:marker>
                <c:xVal>
                  <c:numRef>
                    <c:extLst xmlns:c15="http://schemas.microsoft.com/office/drawing/2012/chart">
                      <c:ext xmlns:c15="http://schemas.microsoft.com/office/drawing/2012/chart" uri="{02D57815-91ED-43cb-92C2-25804820EDAC}">
                        <c15:formulaRef>
                          <c15:sqref>'HULP-velden'!$C$20</c15:sqref>
                        </c15:formulaRef>
                      </c:ext>
                    </c:extLst>
                    <c:numCache>
                      <c:formatCode>#,##0</c:formatCode>
                      <c:ptCount val="1"/>
                      <c:pt idx="0">
                        <c:v>100</c:v>
                      </c:pt>
                    </c:numCache>
                  </c:numRef>
                </c:xVal>
                <c:yVal>
                  <c:numRef>
                    <c:extLst xmlns:c15="http://schemas.microsoft.com/office/drawing/2012/chart">
                      <c:ext xmlns:c15="http://schemas.microsoft.com/office/drawing/2012/chart" uri="{02D57815-91ED-43cb-92C2-25804820EDAC}">
                        <c15:formulaRef>
                          <c15:sqref>'HULP-velden'!$H$30</c15:sqref>
                        </c15:formulaRef>
                      </c:ext>
                    </c:extLst>
                    <c:numCache>
                      <c:formatCode>_("$"* #.##000_);_("$"* \(#.##000\);_("$"* "-"??_);_(@_)</c:formatCode>
                      <c:ptCount val="1"/>
                      <c:pt idx="0">
                        <c:v>-10000</c:v>
                      </c:pt>
                    </c:numCache>
                  </c:numRef>
                </c:yVal>
                <c:smooth val="0"/>
                <c:extLst xmlns:c15="http://schemas.microsoft.com/office/drawing/2012/chart">
                  <c:ext xmlns:c16="http://schemas.microsoft.com/office/drawing/2014/chart" uri="{C3380CC4-5D6E-409C-BE32-E72D297353CC}">
                    <c16:uniqueId val="{0000001C-3120-4E3E-B7D9-A0E65CA822F2}"/>
                  </c:ext>
                </c:extLst>
              </c15:ser>
            </c15:filteredScatterSeries>
            <c15:filteredScatterSeries>
              <c15:ser>
                <c:idx val="19"/>
                <c:order val="18"/>
                <c:tx>
                  <c:v>Plafondprijs</c:v>
                </c:tx>
                <c:marker>
                  <c:symbol val="none"/>
                </c:marker>
                <c:dPt>
                  <c:idx val="0"/>
                  <c:bubble3D val="0"/>
                  <c:extLst xmlns:c15="http://schemas.microsoft.com/office/drawing/2012/chart">
                    <c:ext xmlns:c16="http://schemas.microsoft.com/office/drawing/2014/chart" uri="{C3380CC4-5D6E-409C-BE32-E72D297353CC}">
                      <c16:uniqueId val="{0000001F-3120-4E3E-B7D9-A0E65CA822F2}"/>
                    </c:ext>
                  </c:extLst>
                </c:dPt>
                <c:dLbls>
                  <c:dLbl>
                    <c:idx val="0"/>
                    <c:layout>
                      <c:manualLayout>
                        <c:x val="1.2999999999999982E-2"/>
                        <c:y val="-2.7713283173018136E-2"/>
                      </c:manualLayout>
                    </c:layout>
                    <c:tx>
                      <c:rich>
                        <a:bodyPr wrap="square" lIns="38100" tIns="19050" rIns="38100" bIns="19050" anchor="ctr" anchorCtr="0">
                          <a:spAutoFit/>
                        </a:bodyPr>
                        <a:lstStyle/>
                        <a:p>
                          <a:pPr algn="l">
                            <a:defRPr b="0">
                              <a:solidFill>
                                <a:srgbClr val="FF0000"/>
                              </a:solidFill>
                            </a:defRPr>
                          </a:pPr>
                          <a:fld id="{9CE87247-D8A0-4549-9255-A34EB7D117F2}" type="CELLRANGE">
                            <a:rPr lang="en-US"/>
                            <a:pPr algn="l">
                              <a:defRPr b="0">
                                <a:solidFill>
                                  <a:srgbClr val="FF0000"/>
                                </a:solidFill>
                              </a:defRPr>
                            </a:pPr>
                            <a:t>[CELLRANGE]</a:t>
                          </a:fld>
                          <a:endParaRPr lang="nl-NL"/>
                        </a:p>
                      </c:rich>
                    </c:tx>
                    <c:spPr>
                      <a:noFill/>
                      <a:ln>
                        <a:noFill/>
                      </a:ln>
                      <a:effectLst/>
                    </c:spPr>
                    <c:showLegendKey val="0"/>
                    <c:showVal val="0"/>
                    <c:showCatName val="0"/>
                    <c:showSerName val="0"/>
                    <c:showPercent val="0"/>
                    <c:showBubbleSize val="0"/>
                    <c:extLst xmlns:c15="http://schemas.microsoft.com/office/drawing/2012/chart">
                      <c:ext xmlns:c15="http://schemas.microsoft.com/office/drawing/2012/chart" uri="{CE6537A1-D6FC-4f65-9D91-7224C49458BB}">
                        <c15:layout>
                          <c:manualLayout>
                            <c:w val="0.25494"/>
                            <c:h val="5.4258649412316291E-2"/>
                          </c:manualLayout>
                        </c15:layout>
                        <c15:dlblFieldTable/>
                        <c15:showDataLabelsRange val="1"/>
                      </c:ext>
                      <c:ext xmlns:c16="http://schemas.microsoft.com/office/drawing/2014/chart" uri="{C3380CC4-5D6E-409C-BE32-E72D297353CC}">
                        <c16:uniqueId val="{0000001F-3120-4E3E-B7D9-A0E65CA822F2}"/>
                      </c:ext>
                    </c:extLst>
                  </c:dLbl>
                  <c:spPr>
                    <a:noFill/>
                    <a:ln>
                      <a:noFill/>
                    </a:ln>
                    <a:effectLst/>
                  </c:spPr>
                  <c:txPr>
                    <a:bodyPr wrap="square" lIns="38100" tIns="19050" rIns="38100" bIns="19050" anchor="ctr">
                      <a:spAutoFit/>
                    </a:bodyPr>
                    <a:lstStyle/>
                    <a:p>
                      <a:pPr>
                        <a:defRPr b="0">
                          <a:solidFill>
                            <a:srgbClr val="FF0000"/>
                          </a:solidFill>
                        </a:defRPr>
                      </a:pPr>
                      <a:endParaRPr lang="nl-NL"/>
                    </a:p>
                  </c:txPr>
                  <c:showLegendKey val="0"/>
                  <c:showVal val="0"/>
                  <c:showCatName val="0"/>
                  <c:showSerName val="0"/>
                  <c:showPercent val="0"/>
                  <c:showBubbleSize val="0"/>
                  <c:showLeaderLines val="0"/>
                  <c:extLst xmlns:c15="http://schemas.microsoft.com/office/drawing/2012/chart">
                    <c:ext xmlns:c15="http://schemas.microsoft.com/office/drawing/2012/chart" uri="{CE6537A1-D6FC-4f65-9D91-7224C49458BB}">
                      <c15:showDataLabelsRange val="1"/>
                      <c15:showLeaderLines val="1"/>
                    </c:ext>
                  </c:extLst>
                </c:dLbls>
                <c:xVal>
                  <c:numLit>
                    <c:formatCode>General</c:formatCode>
                    <c:ptCount val="1"/>
                    <c:pt idx="0">
                      <c:v>0</c:v>
                    </c:pt>
                  </c:numLit>
                </c:xVal>
                <c:yVal>
                  <c:numRef>
                    <c:extLst xmlns:c15="http://schemas.microsoft.com/office/drawing/2012/chart">
                      <c:ext xmlns:c15="http://schemas.microsoft.com/office/drawing/2012/chart" uri="{02D57815-91ED-43cb-92C2-25804820EDAC}">
                        <c15:formulaRef>
                          <c15:sqref>'BPK-Grafiek'!$N$54</c15:sqref>
                        </c15:formulaRef>
                      </c:ext>
                    </c:extLst>
                    <c:numCache>
                      <c:formatCode>_("$"* #.##000_);_("$"* \(#.##000\);_("$"* "-"??_);_(@_)</c:formatCode>
                      <c:ptCount val="1"/>
                      <c:pt idx="0">
                        <c:v>-100000</c:v>
                      </c:pt>
                    </c:numCache>
                  </c:numRef>
                </c:yVal>
                <c:smooth val="0"/>
                <c:extLst xmlns:c15="http://schemas.microsoft.com/office/drawing/2012/chart">
                  <c:ext xmlns:c15="http://schemas.microsoft.com/office/drawing/2012/chart" uri="{02D57815-91ED-43cb-92C2-25804820EDAC}">
                    <c15:datalabelsRange>
                      <c15:f>'HULP-velden'!$G$16</c15:f>
                      <c15:dlblRangeCache>
                        <c:ptCount val="1"/>
                        <c:pt idx="0">
                          <c:v>Plafondprijs; -€ 100</c:v>
                        </c:pt>
                      </c15:dlblRangeCache>
                    </c15:datalabelsRange>
                  </c:ext>
                  <c:ext xmlns:c16="http://schemas.microsoft.com/office/drawing/2014/chart" uri="{C3380CC4-5D6E-409C-BE32-E72D297353CC}">
                    <c16:uniqueId val="{00000020-3120-4E3E-B7D9-A0E65CA822F2}"/>
                  </c:ext>
                </c:extLst>
              </c15:ser>
            </c15:filteredScatterSeries>
          </c:ext>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10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1000" b="0"/>
            </a:pPr>
            <a:endParaRPr lang="nl-NL"/>
          </a:p>
        </c:txPr>
        <c:crossAx val="622482064"/>
        <c:crosses val="autoZero"/>
        <c:crossBetween val="midCat"/>
        <c:majorUnit val="20000"/>
        <c:dispUnits>
          <c:builtInUnit val="thousands"/>
        </c:dispUnits>
      </c:valAx>
      <c:spPr>
        <a:noFill/>
        <a:ln>
          <a:noFill/>
        </a:ln>
      </c:spPr>
    </c:plotArea>
    <c:plotVisOnly val="0"/>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40094488188976"/>
          <c:y val="3.4357924689698519E-2"/>
          <c:w val="0.85131901900198603"/>
          <c:h val="0.88672364955682947"/>
        </c:manualLayout>
      </c:layout>
      <c:scatterChart>
        <c:scatterStyle val="lineMarker"/>
        <c:varyColors val="0"/>
        <c:ser>
          <c:idx val="14"/>
          <c:order val="0"/>
          <c:tx>
            <c:v>Qmax</c:v>
          </c:tx>
          <c:marker>
            <c:symbol val="none"/>
          </c:marker>
          <c:dPt>
            <c:idx val="0"/>
            <c:bubble3D val="0"/>
            <c:extLst>
              <c:ext xmlns:c16="http://schemas.microsoft.com/office/drawing/2014/chart" uri="{C3380CC4-5D6E-409C-BE32-E72D297353CC}">
                <c16:uniqueId val="{000001D0-9F56-41CB-9219-BD1DFA652502}"/>
              </c:ext>
            </c:extLst>
          </c:dPt>
          <c:dPt>
            <c:idx val="1"/>
            <c:bubble3D val="0"/>
            <c:spPr>
              <a:ln w="44450">
                <a:solidFill>
                  <a:schemeClr val="tx2"/>
                </a:solidFill>
              </a:ln>
            </c:spPr>
            <c:extLst xmlns:c15="http://schemas.microsoft.com/office/drawing/2012/chart">
              <c:ext xmlns:c16="http://schemas.microsoft.com/office/drawing/2014/chart" uri="{C3380CC4-5D6E-409C-BE32-E72D297353CC}">
                <c16:uniqueId val="{000001CF-9F56-41CB-9219-BD1DFA652502}"/>
              </c:ext>
            </c:extLst>
          </c:dPt>
          <c:dLbls>
            <c:dLbl>
              <c:idx val="0"/>
              <c:tx>
                <c:rich>
                  <a:bodyPr/>
                  <a:lstStyle/>
                  <a:p>
                    <a:fld id="{19F00703-FCA5-4A9B-9F49-32054FDC0611}" type="CELLRANGE">
                      <a:rPr lang="en-US"/>
                      <a:pPr/>
                      <a:t>[CELLRANGE]</a:t>
                    </a:fld>
                    <a:endParaRPr lang="nl-NL"/>
                  </a:p>
                </c:rich>
              </c:tx>
              <c:dLblPos val="ctr"/>
              <c:showLegendKey val="0"/>
              <c:showVal val="0"/>
              <c:showCatName val="0"/>
              <c:showSerName val="0"/>
              <c:showPercent val="0"/>
              <c:showBubbleSize val="0"/>
              <c:extLst xmlns:c15="http://schemas.microsoft.com/office/drawing/2012/chart">
                <c:ext xmlns:c15="http://schemas.microsoft.com/office/drawing/2012/chart" uri="{CE6537A1-D6FC-4f65-9D91-7224C49458BB}">
                  <c15:dlblFieldTable/>
                  <c15:showDataLabelsRange val="1"/>
                </c:ext>
                <c:ext xmlns:c16="http://schemas.microsoft.com/office/drawing/2014/chart" uri="{C3380CC4-5D6E-409C-BE32-E72D297353CC}">
                  <c16:uniqueId val="{000001D0-9F56-41CB-9219-BD1DFA652502}"/>
                </c:ext>
              </c:extLst>
            </c:dLbl>
            <c:dLbl>
              <c:idx val="1"/>
              <c:tx>
                <c:rich>
                  <a:bodyPr/>
                  <a:lstStyle/>
                  <a:p>
                    <a:endParaRPr lang="nl-NL"/>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1CF-9F56-41CB-9219-BD1DFA652502}"/>
                </c:ext>
              </c:extLst>
            </c:dLbl>
            <c:spPr>
              <a:noFill/>
              <a:ln>
                <a:noFill/>
              </a:ln>
              <a:effectLst/>
            </c:spPr>
            <c:dLblPos val="ctr"/>
            <c:showLegendKey val="0"/>
            <c:showVal val="0"/>
            <c:showCatName val="0"/>
            <c:showSerName val="0"/>
            <c:showPercent val="0"/>
            <c:showBubbleSize val="0"/>
            <c:showLeaderLines val="0"/>
            <c:extLst xmlns:c15="http://schemas.microsoft.com/office/drawing/2012/chart">
              <c:ext xmlns:c15="http://schemas.microsoft.com/office/drawing/2012/chart" uri="{CE6537A1-D6FC-4f65-9D91-7224C49458BB}">
                <c15:showDataLabelsRange val="1"/>
                <c15:showLeaderLines val="0"/>
              </c:ext>
            </c:extLst>
          </c:dLbls>
          <c:xVal>
            <c:numRef>
              <c:f>'BPK-Grafiek'!$N$40:$O$40</c:f>
              <c:numCache>
                <c:formatCode>#,##0</c:formatCode>
                <c:ptCount val="2"/>
                <c:pt idx="0">
                  <c:v>100</c:v>
                </c:pt>
                <c:pt idx="1">
                  <c:v>100</c:v>
                </c:pt>
              </c:numCache>
              <c:extLst xmlns:c15="http://schemas.microsoft.com/office/drawing/2012/chart"/>
            </c:numRef>
          </c:xVal>
          <c:yVal>
            <c:numRef>
              <c:f>'BPK-Grafiek'!$N$41:$O$41</c:f>
              <c:numCache>
                <c:formatCode>_("€"* #,##0.00_);_("€"* \(#,##0.00\);_("€"* "-"??_);_(@_)</c:formatCode>
                <c:ptCount val="2"/>
                <c:pt idx="0" formatCode="&quot;€&quot;\ #,##0.00">
                  <c:v>0</c:v>
                </c:pt>
                <c:pt idx="1">
                  <c:v>520000</c:v>
                </c:pt>
              </c:numCache>
              <c:extLst xmlns:c15="http://schemas.microsoft.com/office/drawing/2012/chart"/>
            </c:numRef>
          </c:yVal>
          <c:smooth val="0"/>
          <c:extLst xmlns:c15="http://schemas.microsoft.com/office/drawing/2012/chart">
            <c:ext xmlns:c15="http://schemas.microsoft.com/office/drawing/2012/chart" uri="{02D57815-91ED-43cb-92C2-25804820EDAC}">
              <c15:datalabelsRange>
                <c15:f>'BPK-Grafiek'!$N$6</c15:f>
                <c15:dlblRangeCache>
                  <c:ptCount val="1"/>
                  <c:pt idx="0">
                    <c:v>500</c:v>
                  </c:pt>
                </c15:dlblRangeCache>
              </c15:datalabelsRange>
            </c:ext>
            <c:ext xmlns:c16="http://schemas.microsoft.com/office/drawing/2014/chart" uri="{C3380CC4-5D6E-409C-BE32-E72D297353CC}">
              <c16:uniqueId val="{000001D1-9F56-41CB-9219-BD1DFA652502}"/>
            </c:ext>
          </c:extLst>
        </c:ser>
        <c:ser>
          <c:idx val="20"/>
          <c:order val="1"/>
          <c:tx>
            <c:v>Voorbeeld Pvbi | Qvbi</c:v>
          </c:tx>
          <c:marker>
            <c:symbol val="circle"/>
            <c:size val="12"/>
            <c:spPr>
              <a:solidFill>
                <a:srgbClr val="F79646"/>
              </a:solidFill>
              <a:ln>
                <a:noFill/>
              </a:ln>
              <a:effectLst>
                <a:outerShdw blurRad="57150" dist="19050" dir="5400000" algn="ctr" rotWithShape="0">
                  <a:srgbClr val="000000">
                    <a:alpha val="63000"/>
                  </a:srgbClr>
                </a:outerShdw>
              </a:effectLst>
            </c:spPr>
          </c:marker>
          <c:dLbls>
            <c:dLbl>
              <c:idx val="0"/>
              <c:layout>
                <c:manualLayout>
                  <c:x val="-0.18199992125984252"/>
                  <c:y val="-3.8605898123324434E-2"/>
                </c:manualLayout>
              </c:layout>
              <c:showLegendKey val="0"/>
              <c:showVal val="0"/>
              <c:showCatName val="0"/>
              <c:showSerName val="1"/>
              <c:showPercent val="0"/>
              <c:showBubbleSize val="0"/>
              <c:extLst xmlns:c15="http://schemas.microsoft.com/office/drawing/2012/chart">
                <c:ext xmlns:c15="http://schemas.microsoft.com/office/drawing/2012/chart" uri="{CE6537A1-D6FC-4f65-9D91-7224C49458BB}">
                  <c15:layout>
                    <c:manualLayout>
                      <c:w val="0.13107007874015747"/>
                      <c:h val="5.8788203753351205E-2"/>
                    </c:manualLayout>
                  </c15:layout>
                </c:ext>
                <c:ext xmlns:c16="http://schemas.microsoft.com/office/drawing/2014/chart" uri="{C3380CC4-5D6E-409C-BE32-E72D297353CC}">
                  <c16:uniqueId val="{00000000-9F56-41CB-9219-BD1DFA652502}"/>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xmlns:c15="http://schemas.microsoft.com/office/drawing/2012/chart">
              <c:ext xmlns:c15="http://schemas.microsoft.com/office/drawing/2012/chart" uri="{CE6537A1-D6FC-4f65-9D91-7224C49458BB}">
                <c15:showLeaderLines val="1"/>
              </c:ext>
            </c:extLst>
          </c:dLbls>
          <c:xVal>
            <c:numRef>
              <c:f>'BPK-Grafiek'!$N$15</c:f>
              <c:numCache>
                <c:formatCode>#,##0</c:formatCode>
                <c:ptCount val="1"/>
                <c:pt idx="0">
                  <c:v>50</c:v>
                </c:pt>
              </c:numCache>
            </c:numRef>
          </c:xVal>
          <c:yVal>
            <c:numRef>
              <c:f>'BPK-Grafiek'!$O$42</c:f>
              <c:numCache>
                <c:formatCode>_("€"* #,##0.00_);_("€"* \(#,##0.00\);_("€"* "-"??_);_(@_)</c:formatCode>
                <c:ptCount val="1"/>
                <c:pt idx="0">
                  <c:v>400000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1-9F56-41CB-9219-BD1DFA652502}"/>
            </c:ext>
          </c:extLst>
        </c:ser>
        <c:ser>
          <c:idx val="6"/>
          <c:order val="2"/>
          <c:tx>
            <c:v>Vergelijkingswaarde x1.000</c:v>
          </c:tx>
          <c:marker>
            <c:symbol val="none"/>
          </c:marker>
          <c:xVal>
            <c:numRef>
              <c:f>'BPK-Grafiek'!$N$45</c:f>
              <c:numCache>
                <c:formatCode>General</c:formatCode>
                <c:ptCount val="1"/>
                <c:pt idx="0">
                  <c:v>0</c:v>
                </c:pt>
              </c:numCache>
              <c:extLst xmlns:c15="http://schemas.microsoft.com/office/drawing/2012/chart"/>
            </c:numRef>
          </c:xVal>
          <c:yVal>
            <c:numRef>
              <c:f>'BPK-Grafiek'!$O$45</c:f>
              <c:numCache>
                <c:formatCode>_("€"* #,##0.00_);_("€"* \(#,##0.00\);_("€"* "-"??_);_(@_)</c:formatCode>
                <c:ptCount val="1"/>
                <c:pt idx="0">
                  <c:v>520000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004-9F56-41CB-9219-BD1DFA652502}"/>
            </c:ext>
          </c:extLst>
        </c:ser>
        <c:ser>
          <c:idx val="7"/>
          <c:order val="3"/>
          <c:tx>
            <c:strRef>
              <c:f>'BPK-Grafiek'!$U$7</c:f>
              <c:strCache>
                <c:ptCount val="1"/>
                <c:pt idx="0">
                  <c:v>BPK-Lijn -3</c:v>
                </c:pt>
              </c:strCache>
            </c:strRef>
          </c:tx>
          <c:spPr>
            <a:ln w="38100">
              <a:solidFill>
                <a:schemeClr val="accent2">
                  <a:lumMod val="60000"/>
                  <a:lumOff val="40000"/>
                </a:schemeClr>
              </a:solidFill>
            </a:ln>
          </c:spPr>
          <c:marker>
            <c:symbol val="none"/>
          </c:marker>
          <c:xVal>
            <c:numRef>
              <c:f>'BPK-Grafiek'!$U$8:$U$208</c:f>
              <c:numCache>
                <c:formatCode>_(* #,##0.00_);_(* \(#,##0.00\);_(* "-"??_);_(@_)</c:formatCode>
                <c:ptCount val="201"/>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4">
                  <c:v>-2</c:v>
                </c:pt>
                <c:pt idx="145">
                  <c:v>-2.5</c:v>
                </c:pt>
                <c:pt idx="146">
                  <c:v>-3</c:v>
                </c:pt>
                <c:pt idx="147">
                  <c:v>-3.5000000000000004</c:v>
                </c:pt>
                <c:pt idx="148">
                  <c:v>-4</c:v>
                </c:pt>
                <c:pt idx="149">
                  <c:v>-4.5</c:v>
                </c:pt>
                <c:pt idx="150">
                  <c:v>-5</c:v>
                </c:pt>
                <c:pt idx="151">
                  <c:v>-5.5</c:v>
                </c:pt>
                <c:pt idx="152">
                  <c:v>-6</c:v>
                </c:pt>
                <c:pt idx="153">
                  <c:v>-6.5</c:v>
                </c:pt>
                <c:pt idx="154">
                  <c:v>-7.0000000000000009</c:v>
                </c:pt>
                <c:pt idx="155">
                  <c:v>-7.5</c:v>
                </c:pt>
                <c:pt idx="156">
                  <c:v>-8</c:v>
                </c:pt>
                <c:pt idx="157">
                  <c:v>-8.5</c:v>
                </c:pt>
                <c:pt idx="158">
                  <c:v>-9</c:v>
                </c:pt>
                <c:pt idx="159">
                  <c:v>-9.5</c:v>
                </c:pt>
                <c:pt idx="160">
                  <c:v>-10</c:v>
                </c:pt>
                <c:pt idx="161">
                  <c:v>-10.5</c:v>
                </c:pt>
                <c:pt idx="162">
                  <c:v>-11</c:v>
                </c:pt>
                <c:pt idx="163">
                  <c:v>-11.5</c:v>
                </c:pt>
                <c:pt idx="164">
                  <c:v>-12</c:v>
                </c:pt>
                <c:pt idx="165">
                  <c:v>-12.5</c:v>
                </c:pt>
                <c:pt idx="166">
                  <c:v>-13</c:v>
                </c:pt>
                <c:pt idx="167">
                  <c:v>-13.5</c:v>
                </c:pt>
                <c:pt idx="168">
                  <c:v>-14.000000000000002</c:v>
                </c:pt>
                <c:pt idx="169">
                  <c:v>-14.499999999999998</c:v>
                </c:pt>
                <c:pt idx="170">
                  <c:v>-15</c:v>
                </c:pt>
                <c:pt idx="171">
                  <c:v>-15.5</c:v>
                </c:pt>
                <c:pt idx="172">
                  <c:v>-16</c:v>
                </c:pt>
                <c:pt idx="173">
                  <c:v>-16.5</c:v>
                </c:pt>
                <c:pt idx="174">
                  <c:v>-17</c:v>
                </c:pt>
                <c:pt idx="175">
                  <c:v>-17.5</c:v>
                </c:pt>
                <c:pt idx="176">
                  <c:v>-18</c:v>
                </c:pt>
                <c:pt idx="177">
                  <c:v>-18.5</c:v>
                </c:pt>
                <c:pt idx="178">
                  <c:v>-19</c:v>
                </c:pt>
                <c:pt idx="179">
                  <c:v>-19.5</c:v>
                </c:pt>
                <c:pt idx="180">
                  <c:v>-20</c:v>
                </c:pt>
                <c:pt idx="181">
                  <c:v>-20.5</c:v>
                </c:pt>
                <c:pt idx="182">
                  <c:v>-21</c:v>
                </c:pt>
                <c:pt idx="183">
                  <c:v>-21.5</c:v>
                </c:pt>
                <c:pt idx="184">
                  <c:v>-22</c:v>
                </c:pt>
                <c:pt idx="185">
                  <c:v>-22.5</c:v>
                </c:pt>
                <c:pt idx="186">
                  <c:v>-23</c:v>
                </c:pt>
                <c:pt idx="187">
                  <c:v>-23.5</c:v>
                </c:pt>
                <c:pt idx="188">
                  <c:v>-24</c:v>
                </c:pt>
                <c:pt idx="189">
                  <c:v>-24.5</c:v>
                </c:pt>
                <c:pt idx="190">
                  <c:v>-25</c:v>
                </c:pt>
                <c:pt idx="191">
                  <c:v>-25.5</c:v>
                </c:pt>
                <c:pt idx="192">
                  <c:v>-26</c:v>
                </c:pt>
                <c:pt idx="193">
                  <c:v>-26.5</c:v>
                </c:pt>
                <c:pt idx="194">
                  <c:v>-27</c:v>
                </c:pt>
                <c:pt idx="195">
                  <c:v>-27.500000000000004</c:v>
                </c:pt>
                <c:pt idx="196">
                  <c:v>-28.000000000000004</c:v>
                </c:pt>
                <c:pt idx="197">
                  <c:v>-28.499999999999996</c:v>
                </c:pt>
                <c:pt idx="198">
                  <c:v>-28.999999999999996</c:v>
                </c:pt>
                <c:pt idx="199">
                  <c:v>-29.5</c:v>
                </c:pt>
                <c:pt idx="200">
                  <c:v>-30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1CD-9F56-41CB-9219-BD1DFA652502}"/>
            </c:ext>
          </c:extLst>
        </c:ser>
        <c:ser>
          <c:idx val="8"/>
          <c:order val="4"/>
          <c:tx>
            <c:strRef>
              <c:f>'BPK-Grafiek'!$V$7</c:f>
              <c:strCache>
                <c:ptCount val="1"/>
                <c:pt idx="0">
                  <c:v>BPK-Lijn -2</c:v>
                </c:pt>
              </c:strCache>
            </c:strRef>
          </c:tx>
          <c:spPr>
            <a:ln w="38100">
              <a:solidFill>
                <a:schemeClr val="accent2">
                  <a:lumMod val="60000"/>
                  <a:lumOff val="40000"/>
                </a:schemeClr>
              </a:solidFill>
            </a:ln>
          </c:spPr>
          <c:marker>
            <c:symbol val="none"/>
          </c:marker>
          <c:xVal>
            <c:numRef>
              <c:f>'BPK-Grafiek'!$V$8:$V$208</c:f>
              <c:numCache>
                <c:formatCode>_(* #,##0.00_);_(* \(#,##0.00\);_(* "-"??_);_(@_)</c:formatCode>
                <c:ptCount val="201"/>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4">
                  <c:v>8</c:v>
                </c:pt>
                <c:pt idx="145">
                  <c:v>7.5</c:v>
                </c:pt>
                <c:pt idx="146">
                  <c:v>7.0000000000000009</c:v>
                </c:pt>
                <c:pt idx="147">
                  <c:v>6.5</c:v>
                </c:pt>
                <c:pt idx="148">
                  <c:v>6</c:v>
                </c:pt>
                <c:pt idx="149">
                  <c:v>5.5</c:v>
                </c:pt>
                <c:pt idx="150">
                  <c:v>5</c:v>
                </c:pt>
                <c:pt idx="151">
                  <c:v>4.5</c:v>
                </c:pt>
                <c:pt idx="152">
                  <c:v>4</c:v>
                </c:pt>
                <c:pt idx="153">
                  <c:v>3.5000000000000004</c:v>
                </c:pt>
                <c:pt idx="154">
                  <c:v>3</c:v>
                </c:pt>
                <c:pt idx="155">
                  <c:v>2.5</c:v>
                </c:pt>
                <c:pt idx="156">
                  <c:v>2</c:v>
                </c:pt>
                <c:pt idx="157">
                  <c:v>1.5</c:v>
                </c:pt>
                <c:pt idx="158">
                  <c:v>1</c:v>
                </c:pt>
                <c:pt idx="159">
                  <c:v>0.5</c:v>
                </c:pt>
                <c:pt idx="160">
                  <c:v>0</c:v>
                </c:pt>
                <c:pt idx="161">
                  <c:v>-0.5</c:v>
                </c:pt>
                <c:pt idx="162">
                  <c:v>-1</c:v>
                </c:pt>
                <c:pt idx="163">
                  <c:v>-1.5</c:v>
                </c:pt>
                <c:pt idx="164">
                  <c:v>-2</c:v>
                </c:pt>
                <c:pt idx="165">
                  <c:v>-2.5</c:v>
                </c:pt>
                <c:pt idx="166">
                  <c:v>-3</c:v>
                </c:pt>
                <c:pt idx="167">
                  <c:v>-3.5000000000000004</c:v>
                </c:pt>
                <c:pt idx="168">
                  <c:v>-4</c:v>
                </c:pt>
                <c:pt idx="169">
                  <c:v>-4.5</c:v>
                </c:pt>
                <c:pt idx="170">
                  <c:v>-5</c:v>
                </c:pt>
                <c:pt idx="171">
                  <c:v>-5.5</c:v>
                </c:pt>
                <c:pt idx="172">
                  <c:v>-6</c:v>
                </c:pt>
                <c:pt idx="173">
                  <c:v>-6.5</c:v>
                </c:pt>
                <c:pt idx="174">
                  <c:v>-7.0000000000000009</c:v>
                </c:pt>
                <c:pt idx="175">
                  <c:v>-7.5</c:v>
                </c:pt>
                <c:pt idx="176">
                  <c:v>-8</c:v>
                </c:pt>
                <c:pt idx="177">
                  <c:v>-8.5</c:v>
                </c:pt>
                <c:pt idx="178">
                  <c:v>-9</c:v>
                </c:pt>
                <c:pt idx="179">
                  <c:v>-9.5</c:v>
                </c:pt>
                <c:pt idx="180">
                  <c:v>-10</c:v>
                </c:pt>
                <c:pt idx="181">
                  <c:v>-10.5</c:v>
                </c:pt>
                <c:pt idx="182">
                  <c:v>-11</c:v>
                </c:pt>
                <c:pt idx="183">
                  <c:v>-11.5</c:v>
                </c:pt>
                <c:pt idx="184">
                  <c:v>-12</c:v>
                </c:pt>
                <c:pt idx="185">
                  <c:v>-12.5</c:v>
                </c:pt>
                <c:pt idx="186">
                  <c:v>-13</c:v>
                </c:pt>
                <c:pt idx="187">
                  <c:v>-13.5</c:v>
                </c:pt>
                <c:pt idx="188">
                  <c:v>-14.000000000000002</c:v>
                </c:pt>
                <c:pt idx="189">
                  <c:v>-14.499999999999998</c:v>
                </c:pt>
                <c:pt idx="190">
                  <c:v>-15</c:v>
                </c:pt>
                <c:pt idx="191">
                  <c:v>-15.5</c:v>
                </c:pt>
                <c:pt idx="192">
                  <c:v>-16</c:v>
                </c:pt>
                <c:pt idx="193">
                  <c:v>-16.5</c:v>
                </c:pt>
                <c:pt idx="194">
                  <c:v>-17</c:v>
                </c:pt>
                <c:pt idx="195">
                  <c:v>-17.5</c:v>
                </c:pt>
                <c:pt idx="196">
                  <c:v>-18</c:v>
                </c:pt>
                <c:pt idx="197">
                  <c:v>-18.5</c:v>
                </c:pt>
                <c:pt idx="198">
                  <c:v>-19</c:v>
                </c:pt>
                <c:pt idx="199">
                  <c:v>-19.5</c:v>
                </c:pt>
                <c:pt idx="200">
                  <c:v>-20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5-9F56-41CB-9219-BD1DFA652502}"/>
            </c:ext>
          </c:extLst>
        </c:ser>
        <c:ser>
          <c:idx val="0"/>
          <c:order val="5"/>
          <c:tx>
            <c:strRef>
              <c:f>'BPK-Grafiek'!$W$7</c:f>
              <c:strCache>
                <c:ptCount val="1"/>
                <c:pt idx="0">
                  <c:v>BPK-Lijn -1</c:v>
                </c:pt>
              </c:strCache>
            </c:strRef>
          </c:tx>
          <c:spPr>
            <a:ln w="38100">
              <a:solidFill>
                <a:schemeClr val="accent2">
                  <a:lumMod val="60000"/>
                  <a:lumOff val="40000"/>
                </a:schemeClr>
              </a:solidFill>
            </a:ln>
          </c:spPr>
          <c:marker>
            <c:symbol val="none"/>
          </c:marker>
          <c:xVal>
            <c:numRef>
              <c:f>'BPK-Grafiek'!$W$8:$W$208</c:f>
              <c:numCache>
                <c:formatCode>_(* #,##0.00_);_(* \(#,##0.00\);_(* "-"??_);_(@_)</c:formatCode>
                <c:ptCount val="201"/>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4">
                  <c:v>18</c:v>
                </c:pt>
                <c:pt idx="145">
                  <c:v>17.5</c:v>
                </c:pt>
                <c:pt idx="146">
                  <c:v>17</c:v>
                </c:pt>
                <c:pt idx="147">
                  <c:v>16.5</c:v>
                </c:pt>
                <c:pt idx="148">
                  <c:v>16</c:v>
                </c:pt>
                <c:pt idx="149">
                  <c:v>15.5</c:v>
                </c:pt>
                <c:pt idx="150">
                  <c:v>15</c:v>
                </c:pt>
                <c:pt idx="151">
                  <c:v>14.499999999999998</c:v>
                </c:pt>
                <c:pt idx="152">
                  <c:v>14.000000000000002</c:v>
                </c:pt>
                <c:pt idx="153">
                  <c:v>13.5</c:v>
                </c:pt>
                <c:pt idx="154">
                  <c:v>13</c:v>
                </c:pt>
                <c:pt idx="155">
                  <c:v>12.5</c:v>
                </c:pt>
                <c:pt idx="156">
                  <c:v>12</c:v>
                </c:pt>
                <c:pt idx="157">
                  <c:v>11.5</c:v>
                </c:pt>
                <c:pt idx="158">
                  <c:v>11</c:v>
                </c:pt>
                <c:pt idx="159">
                  <c:v>10.5</c:v>
                </c:pt>
                <c:pt idx="160">
                  <c:v>10</c:v>
                </c:pt>
                <c:pt idx="161">
                  <c:v>9.5</c:v>
                </c:pt>
                <c:pt idx="162">
                  <c:v>9</c:v>
                </c:pt>
                <c:pt idx="163">
                  <c:v>8.5</c:v>
                </c:pt>
                <c:pt idx="164">
                  <c:v>8</c:v>
                </c:pt>
                <c:pt idx="165">
                  <c:v>7.5</c:v>
                </c:pt>
                <c:pt idx="166">
                  <c:v>7.0000000000000009</c:v>
                </c:pt>
                <c:pt idx="167">
                  <c:v>6.5</c:v>
                </c:pt>
                <c:pt idx="168">
                  <c:v>6</c:v>
                </c:pt>
                <c:pt idx="169">
                  <c:v>5.5</c:v>
                </c:pt>
                <c:pt idx="170">
                  <c:v>5</c:v>
                </c:pt>
                <c:pt idx="171">
                  <c:v>4.5</c:v>
                </c:pt>
                <c:pt idx="172">
                  <c:v>4</c:v>
                </c:pt>
                <c:pt idx="173">
                  <c:v>3.5000000000000004</c:v>
                </c:pt>
                <c:pt idx="174">
                  <c:v>3</c:v>
                </c:pt>
                <c:pt idx="175">
                  <c:v>2.5</c:v>
                </c:pt>
                <c:pt idx="176">
                  <c:v>2</c:v>
                </c:pt>
                <c:pt idx="177">
                  <c:v>1.5</c:v>
                </c:pt>
                <c:pt idx="178">
                  <c:v>1</c:v>
                </c:pt>
                <c:pt idx="179">
                  <c:v>0.5</c:v>
                </c:pt>
                <c:pt idx="180">
                  <c:v>0</c:v>
                </c:pt>
                <c:pt idx="181">
                  <c:v>-0.5</c:v>
                </c:pt>
                <c:pt idx="182">
                  <c:v>-1</c:v>
                </c:pt>
                <c:pt idx="183">
                  <c:v>-1.5</c:v>
                </c:pt>
                <c:pt idx="184">
                  <c:v>-2</c:v>
                </c:pt>
                <c:pt idx="185">
                  <c:v>-2.5</c:v>
                </c:pt>
                <c:pt idx="186">
                  <c:v>-3</c:v>
                </c:pt>
                <c:pt idx="187">
                  <c:v>-3.5000000000000004</c:v>
                </c:pt>
                <c:pt idx="188">
                  <c:v>-4</c:v>
                </c:pt>
                <c:pt idx="189">
                  <c:v>-4.5</c:v>
                </c:pt>
                <c:pt idx="190">
                  <c:v>-5</c:v>
                </c:pt>
                <c:pt idx="191">
                  <c:v>-5.5</c:v>
                </c:pt>
                <c:pt idx="192">
                  <c:v>-6</c:v>
                </c:pt>
                <c:pt idx="193">
                  <c:v>-6.5</c:v>
                </c:pt>
                <c:pt idx="194">
                  <c:v>-7.0000000000000009</c:v>
                </c:pt>
                <c:pt idx="195">
                  <c:v>-7.5</c:v>
                </c:pt>
                <c:pt idx="196">
                  <c:v>-8</c:v>
                </c:pt>
                <c:pt idx="197">
                  <c:v>-8.5</c:v>
                </c:pt>
                <c:pt idx="198">
                  <c:v>-9</c:v>
                </c:pt>
                <c:pt idx="199">
                  <c:v>-9.5</c:v>
                </c:pt>
                <c:pt idx="200">
                  <c:v>-10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6-9F56-41CB-9219-BD1DFA652502}"/>
            </c:ext>
          </c:extLst>
        </c:ser>
        <c:ser>
          <c:idx val="9"/>
          <c:order val="6"/>
          <c:tx>
            <c:strRef>
              <c:f>'BPK-Grafiek'!$X$7</c:f>
              <c:strCache>
                <c:ptCount val="1"/>
                <c:pt idx="0">
                  <c:v>BPK-lijn Ref</c:v>
                </c:pt>
              </c:strCache>
            </c:strRef>
          </c:tx>
          <c:spPr>
            <a:ln w="38100">
              <a:solidFill>
                <a:schemeClr val="accent2"/>
              </a:solidFill>
            </a:ln>
          </c:spPr>
          <c:marker>
            <c:symbol val="none"/>
          </c:marker>
          <c:xVal>
            <c:numRef>
              <c:f>'BPK-Grafiek'!$X$8:$X$208</c:f>
              <c:numCache>
                <c:formatCode>_(* #,##0.00_);_(* \(#,##0.00\);_(* "-"??_);_(@_)</c:formatCode>
                <c:ptCount val="201"/>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4">
                  <c:v>28.000000000000004</c:v>
                </c:pt>
                <c:pt idx="145">
                  <c:v>27.500000000000004</c:v>
                </c:pt>
                <c:pt idx="146">
                  <c:v>27</c:v>
                </c:pt>
                <c:pt idx="147">
                  <c:v>26.5</c:v>
                </c:pt>
                <c:pt idx="148">
                  <c:v>26</c:v>
                </c:pt>
                <c:pt idx="149">
                  <c:v>25.5</c:v>
                </c:pt>
                <c:pt idx="150">
                  <c:v>25</c:v>
                </c:pt>
                <c:pt idx="151">
                  <c:v>24.5</c:v>
                </c:pt>
                <c:pt idx="152">
                  <c:v>24</c:v>
                </c:pt>
                <c:pt idx="153">
                  <c:v>23.5</c:v>
                </c:pt>
                <c:pt idx="154">
                  <c:v>23</c:v>
                </c:pt>
                <c:pt idx="155">
                  <c:v>22.5</c:v>
                </c:pt>
                <c:pt idx="156">
                  <c:v>22</c:v>
                </c:pt>
                <c:pt idx="157">
                  <c:v>21.5</c:v>
                </c:pt>
                <c:pt idx="158">
                  <c:v>21</c:v>
                </c:pt>
                <c:pt idx="159">
                  <c:v>20.5</c:v>
                </c:pt>
                <c:pt idx="160">
                  <c:v>20</c:v>
                </c:pt>
                <c:pt idx="161">
                  <c:v>19.5</c:v>
                </c:pt>
                <c:pt idx="162">
                  <c:v>19</c:v>
                </c:pt>
                <c:pt idx="163">
                  <c:v>18.5</c:v>
                </c:pt>
                <c:pt idx="164">
                  <c:v>18</c:v>
                </c:pt>
                <c:pt idx="165">
                  <c:v>17.5</c:v>
                </c:pt>
                <c:pt idx="166">
                  <c:v>17</c:v>
                </c:pt>
                <c:pt idx="167">
                  <c:v>16.5</c:v>
                </c:pt>
                <c:pt idx="168">
                  <c:v>16</c:v>
                </c:pt>
                <c:pt idx="169">
                  <c:v>15.5</c:v>
                </c:pt>
                <c:pt idx="170">
                  <c:v>15</c:v>
                </c:pt>
                <c:pt idx="171">
                  <c:v>14.499999999999998</c:v>
                </c:pt>
                <c:pt idx="172">
                  <c:v>14.000000000000002</c:v>
                </c:pt>
                <c:pt idx="173">
                  <c:v>13.5</c:v>
                </c:pt>
                <c:pt idx="174">
                  <c:v>13</c:v>
                </c:pt>
                <c:pt idx="175">
                  <c:v>12.5</c:v>
                </c:pt>
                <c:pt idx="176">
                  <c:v>12</c:v>
                </c:pt>
                <c:pt idx="177">
                  <c:v>11.5</c:v>
                </c:pt>
                <c:pt idx="178">
                  <c:v>11</c:v>
                </c:pt>
                <c:pt idx="179">
                  <c:v>10.5</c:v>
                </c:pt>
                <c:pt idx="180">
                  <c:v>10</c:v>
                </c:pt>
                <c:pt idx="181">
                  <c:v>9.5</c:v>
                </c:pt>
                <c:pt idx="182">
                  <c:v>9</c:v>
                </c:pt>
                <c:pt idx="183">
                  <c:v>8.5</c:v>
                </c:pt>
                <c:pt idx="184">
                  <c:v>8</c:v>
                </c:pt>
                <c:pt idx="185">
                  <c:v>7.5</c:v>
                </c:pt>
                <c:pt idx="186">
                  <c:v>7.0000000000000009</c:v>
                </c:pt>
                <c:pt idx="187">
                  <c:v>6.5</c:v>
                </c:pt>
                <c:pt idx="188">
                  <c:v>6</c:v>
                </c:pt>
                <c:pt idx="189">
                  <c:v>5.5</c:v>
                </c:pt>
                <c:pt idx="190">
                  <c:v>5</c:v>
                </c:pt>
                <c:pt idx="191">
                  <c:v>4.5</c:v>
                </c:pt>
                <c:pt idx="192">
                  <c:v>4</c:v>
                </c:pt>
                <c:pt idx="193">
                  <c:v>3.5000000000000004</c:v>
                </c:pt>
                <c:pt idx="194">
                  <c:v>3</c:v>
                </c:pt>
                <c:pt idx="195">
                  <c:v>2.5</c:v>
                </c:pt>
                <c:pt idx="196">
                  <c:v>2</c:v>
                </c:pt>
                <c:pt idx="197">
                  <c:v>1.5</c:v>
                </c:pt>
                <c:pt idx="198">
                  <c:v>1</c:v>
                </c:pt>
                <c:pt idx="199">
                  <c:v>0.5</c:v>
                </c:pt>
                <c:pt idx="200">
                  <c:v>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7-9F56-41CB-9219-BD1DFA652502}"/>
            </c:ext>
          </c:extLst>
        </c:ser>
        <c:ser>
          <c:idx val="10"/>
          <c:order val="7"/>
          <c:tx>
            <c:strRef>
              <c:f>'BPK-Grafiek'!$Y$7</c:f>
              <c:strCache>
                <c:ptCount val="1"/>
                <c:pt idx="0">
                  <c:v>BPK-Lijn +1</c:v>
                </c:pt>
              </c:strCache>
            </c:strRef>
          </c:tx>
          <c:spPr>
            <a:ln w="38100">
              <a:solidFill>
                <a:schemeClr val="accent2">
                  <a:lumMod val="60000"/>
                  <a:lumOff val="40000"/>
                </a:schemeClr>
              </a:solidFill>
            </a:ln>
          </c:spPr>
          <c:marker>
            <c:symbol val="none"/>
          </c:marker>
          <c:xVal>
            <c:numRef>
              <c:f>'BPK-Grafiek'!$Y$8:$Y$208</c:f>
              <c:numCache>
                <c:formatCode>_(* #,##0.00_);_(* \(#,##0.00\);_(* "-"??_);_(@_)</c:formatCode>
                <c:ptCount val="201"/>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4">
                  <c:v>38</c:v>
                </c:pt>
                <c:pt idx="145">
                  <c:v>37.5</c:v>
                </c:pt>
                <c:pt idx="146">
                  <c:v>37</c:v>
                </c:pt>
                <c:pt idx="147">
                  <c:v>36.5</c:v>
                </c:pt>
                <c:pt idx="148">
                  <c:v>36</c:v>
                </c:pt>
                <c:pt idx="149">
                  <c:v>35.5</c:v>
                </c:pt>
                <c:pt idx="150">
                  <c:v>35</c:v>
                </c:pt>
                <c:pt idx="151">
                  <c:v>34.5</c:v>
                </c:pt>
                <c:pt idx="152">
                  <c:v>34</c:v>
                </c:pt>
                <c:pt idx="153">
                  <c:v>33.5</c:v>
                </c:pt>
                <c:pt idx="154">
                  <c:v>33</c:v>
                </c:pt>
                <c:pt idx="155">
                  <c:v>32.5</c:v>
                </c:pt>
                <c:pt idx="156">
                  <c:v>32</c:v>
                </c:pt>
                <c:pt idx="157">
                  <c:v>31.5</c:v>
                </c:pt>
                <c:pt idx="158">
                  <c:v>31</c:v>
                </c:pt>
                <c:pt idx="159">
                  <c:v>30.5</c:v>
                </c:pt>
                <c:pt idx="160">
                  <c:v>30</c:v>
                </c:pt>
                <c:pt idx="161">
                  <c:v>29.5</c:v>
                </c:pt>
                <c:pt idx="162">
                  <c:v>28.999999999999996</c:v>
                </c:pt>
                <c:pt idx="163">
                  <c:v>28.499999999999996</c:v>
                </c:pt>
                <c:pt idx="164">
                  <c:v>28.000000000000004</c:v>
                </c:pt>
                <c:pt idx="165">
                  <c:v>27.500000000000004</c:v>
                </c:pt>
                <c:pt idx="166">
                  <c:v>27</c:v>
                </c:pt>
                <c:pt idx="167">
                  <c:v>26.5</c:v>
                </c:pt>
                <c:pt idx="168">
                  <c:v>26</c:v>
                </c:pt>
                <c:pt idx="169">
                  <c:v>25.5</c:v>
                </c:pt>
                <c:pt idx="170">
                  <c:v>25</c:v>
                </c:pt>
                <c:pt idx="171">
                  <c:v>24.5</c:v>
                </c:pt>
                <c:pt idx="172">
                  <c:v>24</c:v>
                </c:pt>
                <c:pt idx="173">
                  <c:v>23.5</c:v>
                </c:pt>
                <c:pt idx="174">
                  <c:v>23</c:v>
                </c:pt>
                <c:pt idx="175">
                  <c:v>22.5</c:v>
                </c:pt>
                <c:pt idx="176">
                  <c:v>22</c:v>
                </c:pt>
                <c:pt idx="177">
                  <c:v>21.5</c:v>
                </c:pt>
                <c:pt idx="178">
                  <c:v>21</c:v>
                </c:pt>
                <c:pt idx="179">
                  <c:v>20.5</c:v>
                </c:pt>
                <c:pt idx="180">
                  <c:v>20</c:v>
                </c:pt>
                <c:pt idx="181">
                  <c:v>19.5</c:v>
                </c:pt>
                <c:pt idx="182">
                  <c:v>19</c:v>
                </c:pt>
                <c:pt idx="183">
                  <c:v>18.5</c:v>
                </c:pt>
                <c:pt idx="184">
                  <c:v>18</c:v>
                </c:pt>
                <c:pt idx="185">
                  <c:v>17.5</c:v>
                </c:pt>
                <c:pt idx="186">
                  <c:v>17</c:v>
                </c:pt>
                <c:pt idx="187">
                  <c:v>16.5</c:v>
                </c:pt>
                <c:pt idx="188">
                  <c:v>16</c:v>
                </c:pt>
                <c:pt idx="189">
                  <c:v>15.5</c:v>
                </c:pt>
                <c:pt idx="190">
                  <c:v>15</c:v>
                </c:pt>
                <c:pt idx="191">
                  <c:v>14.499999999999998</c:v>
                </c:pt>
                <c:pt idx="192">
                  <c:v>14.000000000000002</c:v>
                </c:pt>
                <c:pt idx="193">
                  <c:v>13.5</c:v>
                </c:pt>
                <c:pt idx="194">
                  <c:v>13</c:v>
                </c:pt>
                <c:pt idx="195">
                  <c:v>12.5</c:v>
                </c:pt>
                <c:pt idx="196">
                  <c:v>12</c:v>
                </c:pt>
                <c:pt idx="197">
                  <c:v>11.5</c:v>
                </c:pt>
                <c:pt idx="198">
                  <c:v>11</c:v>
                </c:pt>
                <c:pt idx="199">
                  <c:v>10.5</c:v>
                </c:pt>
                <c:pt idx="200">
                  <c:v>10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8-9F56-41CB-9219-BD1DFA652502}"/>
            </c:ext>
          </c:extLst>
        </c:ser>
        <c:ser>
          <c:idx val="11"/>
          <c:order val="8"/>
          <c:tx>
            <c:strRef>
              <c:f>'BPK-Grafiek'!$Z$7</c:f>
              <c:strCache>
                <c:ptCount val="1"/>
                <c:pt idx="0">
                  <c:v>BPK-Lijn +2</c:v>
                </c:pt>
              </c:strCache>
            </c:strRef>
          </c:tx>
          <c:spPr>
            <a:ln w="38100">
              <a:solidFill>
                <a:schemeClr val="accent2">
                  <a:lumMod val="60000"/>
                  <a:lumOff val="40000"/>
                </a:schemeClr>
              </a:solidFill>
            </a:ln>
          </c:spPr>
          <c:marker>
            <c:symbol val="none"/>
          </c:marker>
          <c:xVal>
            <c:numRef>
              <c:f>'BPK-Grafiek'!$Z$8:$Z$208</c:f>
              <c:numCache>
                <c:formatCode>_(* #,##0.00_);_(* \(#,##0.00\);_(* "-"??_);_(@_)</c:formatCode>
                <c:ptCount val="201"/>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4">
                  <c:v>48</c:v>
                </c:pt>
                <c:pt idx="145">
                  <c:v>47.5</c:v>
                </c:pt>
                <c:pt idx="146">
                  <c:v>47</c:v>
                </c:pt>
                <c:pt idx="147">
                  <c:v>46.5</c:v>
                </c:pt>
                <c:pt idx="148">
                  <c:v>46</c:v>
                </c:pt>
                <c:pt idx="149">
                  <c:v>45.5</c:v>
                </c:pt>
                <c:pt idx="150">
                  <c:v>45</c:v>
                </c:pt>
                <c:pt idx="151">
                  <c:v>44.5</c:v>
                </c:pt>
                <c:pt idx="152">
                  <c:v>44</c:v>
                </c:pt>
                <c:pt idx="153">
                  <c:v>43.5</c:v>
                </c:pt>
                <c:pt idx="154">
                  <c:v>43</c:v>
                </c:pt>
                <c:pt idx="155">
                  <c:v>42.5</c:v>
                </c:pt>
                <c:pt idx="156">
                  <c:v>42</c:v>
                </c:pt>
                <c:pt idx="157">
                  <c:v>41.5</c:v>
                </c:pt>
                <c:pt idx="158">
                  <c:v>41</c:v>
                </c:pt>
                <c:pt idx="159">
                  <c:v>40.5</c:v>
                </c:pt>
                <c:pt idx="160">
                  <c:v>40</c:v>
                </c:pt>
                <c:pt idx="161">
                  <c:v>39.5</c:v>
                </c:pt>
                <c:pt idx="162">
                  <c:v>39</c:v>
                </c:pt>
                <c:pt idx="163">
                  <c:v>38.5</c:v>
                </c:pt>
                <c:pt idx="164">
                  <c:v>38</c:v>
                </c:pt>
                <c:pt idx="165">
                  <c:v>37.5</c:v>
                </c:pt>
                <c:pt idx="166">
                  <c:v>37</c:v>
                </c:pt>
                <c:pt idx="167">
                  <c:v>36.5</c:v>
                </c:pt>
                <c:pt idx="168">
                  <c:v>36</c:v>
                </c:pt>
                <c:pt idx="169">
                  <c:v>35.5</c:v>
                </c:pt>
                <c:pt idx="170">
                  <c:v>35</c:v>
                </c:pt>
                <c:pt idx="171">
                  <c:v>34.5</c:v>
                </c:pt>
                <c:pt idx="172">
                  <c:v>34</c:v>
                </c:pt>
                <c:pt idx="173">
                  <c:v>33.5</c:v>
                </c:pt>
                <c:pt idx="174">
                  <c:v>33</c:v>
                </c:pt>
                <c:pt idx="175">
                  <c:v>32.5</c:v>
                </c:pt>
                <c:pt idx="176">
                  <c:v>32</c:v>
                </c:pt>
                <c:pt idx="177">
                  <c:v>31.5</c:v>
                </c:pt>
                <c:pt idx="178">
                  <c:v>31</c:v>
                </c:pt>
                <c:pt idx="179">
                  <c:v>30.5</c:v>
                </c:pt>
                <c:pt idx="180">
                  <c:v>30</c:v>
                </c:pt>
                <c:pt idx="181">
                  <c:v>29.5</c:v>
                </c:pt>
                <c:pt idx="182">
                  <c:v>28.999999999999996</c:v>
                </c:pt>
                <c:pt idx="183">
                  <c:v>28.499999999999996</c:v>
                </c:pt>
                <c:pt idx="184">
                  <c:v>28.000000000000004</c:v>
                </c:pt>
                <c:pt idx="185">
                  <c:v>27.500000000000004</c:v>
                </c:pt>
                <c:pt idx="186">
                  <c:v>27</c:v>
                </c:pt>
                <c:pt idx="187">
                  <c:v>26.5</c:v>
                </c:pt>
                <c:pt idx="188">
                  <c:v>26</c:v>
                </c:pt>
                <c:pt idx="189">
                  <c:v>25.5</c:v>
                </c:pt>
                <c:pt idx="190">
                  <c:v>25</c:v>
                </c:pt>
                <c:pt idx="191">
                  <c:v>24.5</c:v>
                </c:pt>
                <c:pt idx="192">
                  <c:v>24</c:v>
                </c:pt>
                <c:pt idx="193">
                  <c:v>23.5</c:v>
                </c:pt>
                <c:pt idx="194">
                  <c:v>23</c:v>
                </c:pt>
                <c:pt idx="195">
                  <c:v>22.5</c:v>
                </c:pt>
                <c:pt idx="196">
                  <c:v>22</c:v>
                </c:pt>
                <c:pt idx="197">
                  <c:v>21.5</c:v>
                </c:pt>
                <c:pt idx="198">
                  <c:v>21</c:v>
                </c:pt>
                <c:pt idx="199">
                  <c:v>20.5</c:v>
                </c:pt>
                <c:pt idx="200">
                  <c:v>20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9-9F56-41CB-9219-BD1DFA652502}"/>
            </c:ext>
          </c:extLst>
        </c:ser>
        <c:ser>
          <c:idx val="5"/>
          <c:order val="9"/>
          <c:tx>
            <c:strRef>
              <c:f>'BPK-Grafiek'!$AA$7</c:f>
              <c:strCache>
                <c:ptCount val="1"/>
                <c:pt idx="0">
                  <c:v>BPK-Lijn +3</c:v>
                </c:pt>
              </c:strCache>
            </c:strRef>
          </c:tx>
          <c:spPr>
            <a:ln w="38100">
              <a:solidFill>
                <a:schemeClr val="accent2">
                  <a:lumMod val="60000"/>
                  <a:lumOff val="40000"/>
                </a:schemeClr>
              </a:solidFill>
            </a:ln>
          </c:spPr>
          <c:marker>
            <c:symbol val="none"/>
          </c:marker>
          <c:xVal>
            <c:numRef>
              <c:f>'BPK-Grafiek'!$AA$8:$AA$208</c:f>
              <c:numCache>
                <c:formatCode>_(* #,##0.00_);_(* \(#,##0.00\);_(* "-"??_);_(@_)</c:formatCode>
                <c:ptCount val="201"/>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4">
                  <c:v>57.999999999999993</c:v>
                </c:pt>
                <c:pt idx="145">
                  <c:v>57.499999999999993</c:v>
                </c:pt>
                <c:pt idx="146">
                  <c:v>56.999999999999993</c:v>
                </c:pt>
                <c:pt idx="147">
                  <c:v>56.499999999999993</c:v>
                </c:pt>
                <c:pt idx="148">
                  <c:v>56.000000000000007</c:v>
                </c:pt>
                <c:pt idx="149">
                  <c:v>55.500000000000007</c:v>
                </c:pt>
                <c:pt idx="150">
                  <c:v>55.000000000000007</c:v>
                </c:pt>
                <c:pt idx="151">
                  <c:v>54.500000000000007</c:v>
                </c:pt>
                <c:pt idx="152">
                  <c:v>54</c:v>
                </c:pt>
                <c:pt idx="153">
                  <c:v>53.5</c:v>
                </c:pt>
                <c:pt idx="154">
                  <c:v>53</c:v>
                </c:pt>
                <c:pt idx="155">
                  <c:v>52.5</c:v>
                </c:pt>
                <c:pt idx="156">
                  <c:v>52</c:v>
                </c:pt>
                <c:pt idx="157">
                  <c:v>51.5</c:v>
                </c:pt>
                <c:pt idx="158">
                  <c:v>51</c:v>
                </c:pt>
                <c:pt idx="159">
                  <c:v>50.5</c:v>
                </c:pt>
                <c:pt idx="160">
                  <c:v>50</c:v>
                </c:pt>
                <c:pt idx="161">
                  <c:v>49.5</c:v>
                </c:pt>
                <c:pt idx="162">
                  <c:v>49</c:v>
                </c:pt>
                <c:pt idx="163">
                  <c:v>48.5</c:v>
                </c:pt>
                <c:pt idx="164">
                  <c:v>48</c:v>
                </c:pt>
                <c:pt idx="165">
                  <c:v>47.5</c:v>
                </c:pt>
                <c:pt idx="166">
                  <c:v>47</c:v>
                </c:pt>
                <c:pt idx="167">
                  <c:v>46.5</c:v>
                </c:pt>
                <c:pt idx="168">
                  <c:v>46</c:v>
                </c:pt>
                <c:pt idx="169">
                  <c:v>45.5</c:v>
                </c:pt>
                <c:pt idx="170">
                  <c:v>45</c:v>
                </c:pt>
                <c:pt idx="171">
                  <c:v>44.5</c:v>
                </c:pt>
                <c:pt idx="172">
                  <c:v>44</c:v>
                </c:pt>
                <c:pt idx="173">
                  <c:v>43.5</c:v>
                </c:pt>
                <c:pt idx="174">
                  <c:v>43</c:v>
                </c:pt>
                <c:pt idx="175">
                  <c:v>42.5</c:v>
                </c:pt>
                <c:pt idx="176">
                  <c:v>42</c:v>
                </c:pt>
                <c:pt idx="177">
                  <c:v>41.5</c:v>
                </c:pt>
                <c:pt idx="178">
                  <c:v>41</c:v>
                </c:pt>
                <c:pt idx="179">
                  <c:v>40.5</c:v>
                </c:pt>
                <c:pt idx="180">
                  <c:v>40</c:v>
                </c:pt>
                <c:pt idx="181">
                  <c:v>39.5</c:v>
                </c:pt>
                <c:pt idx="182">
                  <c:v>39</c:v>
                </c:pt>
                <c:pt idx="183">
                  <c:v>38.5</c:v>
                </c:pt>
                <c:pt idx="184">
                  <c:v>38</c:v>
                </c:pt>
                <c:pt idx="185">
                  <c:v>37.5</c:v>
                </c:pt>
                <c:pt idx="186">
                  <c:v>37</c:v>
                </c:pt>
                <c:pt idx="187">
                  <c:v>36.5</c:v>
                </c:pt>
                <c:pt idx="188">
                  <c:v>36</c:v>
                </c:pt>
                <c:pt idx="189">
                  <c:v>35.5</c:v>
                </c:pt>
                <c:pt idx="190">
                  <c:v>35</c:v>
                </c:pt>
                <c:pt idx="191">
                  <c:v>34.5</c:v>
                </c:pt>
                <c:pt idx="192">
                  <c:v>34</c:v>
                </c:pt>
                <c:pt idx="193">
                  <c:v>33.5</c:v>
                </c:pt>
                <c:pt idx="194">
                  <c:v>33</c:v>
                </c:pt>
                <c:pt idx="195">
                  <c:v>32.5</c:v>
                </c:pt>
                <c:pt idx="196">
                  <c:v>32</c:v>
                </c:pt>
                <c:pt idx="197">
                  <c:v>31.5</c:v>
                </c:pt>
                <c:pt idx="198">
                  <c:v>31</c:v>
                </c:pt>
                <c:pt idx="199">
                  <c:v>30.5</c:v>
                </c:pt>
                <c:pt idx="200">
                  <c:v>30</c:v>
                </c:pt>
              </c:numCache>
            </c:numRef>
          </c:xVal>
          <c:yVal>
            <c:numRef>
              <c:f>'BPK-Grafiek'!$S$8:$S$208</c:f>
              <c:numCache>
                <c:formatCode>_("€"* #,##0.00_);_("€"* \(#,##0.00\);_("€"* "-"??_);_(@_)</c:formatCode>
                <c:ptCount val="201"/>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4">
                  <c:v>356000</c:v>
                </c:pt>
                <c:pt idx="145">
                  <c:v>355000</c:v>
                </c:pt>
                <c:pt idx="146">
                  <c:v>354000</c:v>
                </c:pt>
                <c:pt idx="147">
                  <c:v>353000</c:v>
                </c:pt>
                <c:pt idx="148">
                  <c:v>352000</c:v>
                </c:pt>
                <c:pt idx="149">
                  <c:v>351000</c:v>
                </c:pt>
                <c:pt idx="150">
                  <c:v>350000</c:v>
                </c:pt>
                <c:pt idx="151">
                  <c:v>349000</c:v>
                </c:pt>
                <c:pt idx="152">
                  <c:v>348000</c:v>
                </c:pt>
                <c:pt idx="153">
                  <c:v>347000</c:v>
                </c:pt>
                <c:pt idx="154">
                  <c:v>346000</c:v>
                </c:pt>
                <c:pt idx="155">
                  <c:v>345000</c:v>
                </c:pt>
                <c:pt idx="156">
                  <c:v>344000</c:v>
                </c:pt>
                <c:pt idx="157">
                  <c:v>343000</c:v>
                </c:pt>
                <c:pt idx="158">
                  <c:v>342000</c:v>
                </c:pt>
                <c:pt idx="159">
                  <c:v>341000</c:v>
                </c:pt>
                <c:pt idx="160">
                  <c:v>340000</c:v>
                </c:pt>
                <c:pt idx="161">
                  <c:v>339000</c:v>
                </c:pt>
                <c:pt idx="162">
                  <c:v>338000</c:v>
                </c:pt>
                <c:pt idx="163">
                  <c:v>337000</c:v>
                </c:pt>
                <c:pt idx="164">
                  <c:v>336000</c:v>
                </c:pt>
                <c:pt idx="165">
                  <c:v>335000</c:v>
                </c:pt>
                <c:pt idx="166">
                  <c:v>334000</c:v>
                </c:pt>
                <c:pt idx="167">
                  <c:v>333000</c:v>
                </c:pt>
                <c:pt idx="168">
                  <c:v>332000</c:v>
                </c:pt>
                <c:pt idx="169">
                  <c:v>331000</c:v>
                </c:pt>
                <c:pt idx="170">
                  <c:v>330000</c:v>
                </c:pt>
                <c:pt idx="171">
                  <c:v>329000</c:v>
                </c:pt>
                <c:pt idx="172">
                  <c:v>328000</c:v>
                </c:pt>
                <c:pt idx="173">
                  <c:v>327000</c:v>
                </c:pt>
                <c:pt idx="174">
                  <c:v>326000</c:v>
                </c:pt>
                <c:pt idx="175">
                  <c:v>325000</c:v>
                </c:pt>
                <c:pt idx="176">
                  <c:v>324000</c:v>
                </c:pt>
                <c:pt idx="177">
                  <c:v>323000</c:v>
                </c:pt>
                <c:pt idx="178">
                  <c:v>322000</c:v>
                </c:pt>
                <c:pt idx="179">
                  <c:v>321000</c:v>
                </c:pt>
                <c:pt idx="180">
                  <c:v>320000</c:v>
                </c:pt>
                <c:pt idx="181">
                  <c:v>319000</c:v>
                </c:pt>
                <c:pt idx="182">
                  <c:v>318000</c:v>
                </c:pt>
                <c:pt idx="183">
                  <c:v>317000</c:v>
                </c:pt>
                <c:pt idx="184">
                  <c:v>316000</c:v>
                </c:pt>
                <c:pt idx="185">
                  <c:v>315000</c:v>
                </c:pt>
                <c:pt idx="186">
                  <c:v>314000</c:v>
                </c:pt>
                <c:pt idx="187">
                  <c:v>313000</c:v>
                </c:pt>
                <c:pt idx="188">
                  <c:v>312000</c:v>
                </c:pt>
                <c:pt idx="189">
                  <c:v>311000</c:v>
                </c:pt>
                <c:pt idx="190">
                  <c:v>310000</c:v>
                </c:pt>
                <c:pt idx="191">
                  <c:v>309000</c:v>
                </c:pt>
                <c:pt idx="192">
                  <c:v>308000</c:v>
                </c:pt>
                <c:pt idx="193">
                  <c:v>307000</c:v>
                </c:pt>
                <c:pt idx="194">
                  <c:v>306000</c:v>
                </c:pt>
                <c:pt idx="195">
                  <c:v>305000</c:v>
                </c:pt>
                <c:pt idx="196">
                  <c:v>304000</c:v>
                </c:pt>
                <c:pt idx="197">
                  <c:v>303000</c:v>
                </c:pt>
                <c:pt idx="198">
                  <c:v>302000</c:v>
                </c:pt>
                <c:pt idx="199">
                  <c:v>301000</c:v>
                </c:pt>
                <c:pt idx="200">
                  <c:v>300000</c:v>
                </c:pt>
              </c:numCache>
            </c:numRef>
          </c:yVal>
          <c:smooth val="1"/>
          <c:extLst>
            <c:ext xmlns:c16="http://schemas.microsoft.com/office/drawing/2014/chart" uri="{C3380CC4-5D6E-409C-BE32-E72D297353CC}">
              <c16:uniqueId val="{0000000A-9F56-41CB-9219-BD1DFA652502}"/>
            </c:ext>
          </c:extLst>
        </c:ser>
        <c:ser>
          <c:idx val="13"/>
          <c:order val="10"/>
          <c:tx>
            <c:v>Qknockout</c:v>
          </c:tx>
          <c:marker>
            <c:symbol val="none"/>
          </c:marker>
          <c:dPt>
            <c:idx val="1"/>
            <c:bubble3D val="0"/>
            <c:spPr>
              <a:ln w="38100">
                <a:solidFill>
                  <a:srgbClr val="FF0000"/>
                </a:solidFill>
                <a:prstDash val="sysDash"/>
              </a:ln>
            </c:spPr>
            <c:extLst>
              <c:ext xmlns:c16="http://schemas.microsoft.com/office/drawing/2014/chart" uri="{C3380CC4-5D6E-409C-BE32-E72D297353CC}">
                <c16:uniqueId val="{0000000C-9F56-41CB-9219-BD1DFA652502}"/>
              </c:ext>
            </c:extLst>
          </c:dPt>
          <c:dLbls>
            <c:dLbl>
              <c:idx val="1"/>
              <c:delete val="1"/>
              <c:extLst xmlns:c15="http://schemas.microsoft.com/office/drawing/2012/chart">
                <c:ext xmlns:c15="http://schemas.microsoft.com/office/drawing/2012/chart" uri="{CE6537A1-D6FC-4f65-9D91-7224C49458BB}">
                  <c15:layout>
                    <c:manualLayout>
                      <c:w val="0.33763999999999994"/>
                      <c:h val="6.0439429084532835E-2"/>
                    </c:manualLayout>
                  </c15:layout>
                </c:ext>
                <c:ext xmlns:c16="http://schemas.microsoft.com/office/drawing/2014/chart" uri="{C3380CC4-5D6E-409C-BE32-E72D297353CC}">
                  <c16:uniqueId val="{0000000C-9F56-41CB-9219-BD1DFA652502}"/>
                </c:ext>
              </c:extLst>
            </c:dLbl>
            <c:spPr>
              <a:noFill/>
              <a:ln>
                <a:noFill/>
              </a:ln>
              <a:effectLst/>
            </c:spPr>
            <c:txPr>
              <a:bodyPr wrap="square" lIns="38100" tIns="19050" rIns="38100" bIns="19050" anchor="ctr" anchorCtr="0">
                <a:spAutoFit/>
              </a:bodyPr>
              <a:lstStyle/>
              <a:p>
                <a:pPr algn="l">
                  <a:defRPr sz="1100"/>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'BPK-Grafiek'!$N$46:$O$46</c:f>
              <c:numCache>
                <c:formatCode>General</c:formatCode>
                <c:ptCount val="2"/>
                <c:pt idx="0">
                  <c:v>-1000</c:v>
                </c:pt>
                <c:pt idx="1">
                  <c:v>-1000</c:v>
                </c:pt>
              </c:numCache>
            </c:numRef>
          </c:xVal>
          <c:yVal>
            <c:numRef>
              <c:f>'BPK-Grafiek'!$N$45:$O$45</c:f>
              <c:numCache>
                <c:formatCode>_("€"* #,##0.00_);_("€"* \(#,##0.00\);_("€"* "-"??_);_(@_)</c:formatCode>
                <c:ptCount val="2"/>
                <c:pt idx="0" formatCode="General">
                  <c:v>0</c:v>
                </c:pt>
                <c:pt idx="1">
                  <c:v>520000</c:v>
                </c:pt>
              </c:numCache>
            </c:numRef>
          </c:yVal>
          <c:smooth val="0"/>
          <c:extLst>
            <c:ext xmlns:c16="http://schemas.microsoft.com/office/drawing/2014/chart" uri="{C3380CC4-5D6E-409C-BE32-E72D297353CC}">
              <c16:uniqueId val="{0000000D-9F56-41CB-9219-BD1DFA652502}"/>
            </c:ext>
          </c:extLst>
        </c:ser>
        <c:ser>
          <c:idx val="2"/>
          <c:order val="12"/>
          <c:tx>
            <c:v>Punten bij Qmin</c:v>
          </c:tx>
          <c:marker>
            <c:symbol val="none"/>
          </c:marker>
          <c:dLbls>
            <c:dLbl>
              <c:idx val="0"/>
              <c:layout>
                <c:manualLayout>
                  <c:x val="-2.4000000000000018E-2"/>
                  <c:y val="5.6000000000000001E-2"/>
                </c:manualLayout>
              </c:layout>
              <c:tx>
                <c:rich>
                  <a:bodyPr/>
                  <a:lstStyle/>
                  <a:p>
                    <a:fld id="{43DD3576-6B25-4B02-88BF-A1CC2A722D62}"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FD62-456E-ABD4-577FA4C020F9}"/>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'BPK-Grafiek'!$N$48</c:f>
              <c:numCache>
                <c:formatCode>General</c:formatCode>
                <c:ptCount val="1"/>
                <c:pt idx="0">
                  <c:v>0</c:v>
                </c:pt>
              </c:numCache>
            </c:numRef>
          </c:xVal>
          <c:yVal>
            <c:numRef>
              <c:f>'BPK-Grafiek'!$O$39</c:f>
              <c:numCache>
                <c:formatCode>_("€"* #,##0.00_);_("€"* \(#,##0.00\);_("€"* "-"??_);_(@_)</c:formatCode>
                <c:ptCount val="1"/>
                <c:pt idx="0">
                  <c:v>280000</c:v>
                </c:pt>
              </c:numCache>
            </c:numRef>
          </c:yVal>
          <c:smooth val="0"/>
          <c:extLst>
            <c:ext xmlns:c15="http://schemas.microsoft.com/office/drawing/2012/chart" uri="{02D57815-91ED-43cb-92C2-25804820EDAC}">
              <c15:datalabelsRange>
                <c15:f>'BPK-Grafiek'!$N$7</c15:f>
                <c15:dlblRangeCache>
                  <c:ptCount val="1"/>
                  <c:pt idx="0">
                    <c:v>0</c:v>
                  </c:pt>
                </c15:dlblRangeCache>
              </c15:datalabelsRange>
            </c:ext>
            <c:ext xmlns:c16="http://schemas.microsoft.com/office/drawing/2014/chart" uri="{C3380CC4-5D6E-409C-BE32-E72D297353CC}">
              <c16:uniqueId val="{0000000F-9F56-41CB-9219-BD1DFA652502}"/>
            </c:ext>
          </c:extLst>
        </c:ser>
        <c:ser>
          <c:idx val="3"/>
          <c:order val="13"/>
          <c:tx>
            <c:strRef>
              <c:f>'BPK-Grafiek'!$N$12</c:f>
              <c:strCache>
                <c:ptCount val="1"/>
                <c:pt idx="0">
                  <c:v>500</c:v>
                </c:pt>
              </c:strCache>
            </c:strRef>
          </c:tx>
          <c:marker>
            <c:symbol val="none"/>
          </c:marker>
          <c:xVal>
            <c:numRef>
              <c:f>'BPK-Grafiek'!$N$49</c:f>
              <c:numCache>
                <c:formatCode>#,##0</c:formatCode>
                <c:ptCount val="1"/>
                <c:pt idx="0">
                  <c:v>500</c:v>
                </c:pt>
              </c:numCache>
            </c:numRef>
          </c:xVal>
          <c:yVal>
            <c:numRef>
              <c:f>'BPK-Grafiek'!$O$39</c:f>
              <c:numCache>
                <c:formatCode>_("€"* #,##0.00_);_("€"* \(#,##0.00\);_("€"* "-"??_);_(@_)</c:formatCode>
                <c:ptCount val="1"/>
                <c:pt idx="0">
                  <c:v>280000</c:v>
                </c:pt>
              </c:numCache>
            </c:numRef>
          </c:yVal>
          <c:smooth val="0"/>
          <c:extLst>
            <c:ext xmlns:c16="http://schemas.microsoft.com/office/drawing/2014/chart" uri="{C3380CC4-5D6E-409C-BE32-E72D297353CC}">
              <c16:uniqueId val="{00000011-9F56-41CB-9219-BD1DFA652502}"/>
            </c:ext>
          </c:extLst>
        </c:ser>
        <c:ser>
          <c:idx val="18"/>
          <c:order val="14"/>
          <c:tx>
            <c:v>LAQ</c:v>
          </c:tx>
          <c:marker>
            <c:symbol val="none"/>
          </c:marker>
          <c:xVal>
            <c:numRef>
              <c:f>'BPK-Grafiek'!$N$22</c:f>
              <c:numCache>
                <c:formatCode>#,##0</c:formatCode>
                <c:ptCount val="1"/>
                <c:pt idx="0">
                  <c:v>-1000</c:v>
                </c:pt>
              </c:numCache>
            </c:numRef>
          </c:xVal>
          <c:yVal>
            <c:numRef>
              <c:f>'BPK-Grafiek'!$O$22</c:f>
              <c:numCache>
                <c:formatCode>0.00</c:formatCode>
                <c:ptCount val="1"/>
                <c:pt idx="0">
                  <c:v>0</c:v>
                </c:pt>
              </c:numCache>
            </c:numRef>
          </c:yVal>
          <c:smooth val="0"/>
          <c:extLst>
            <c:ext xmlns:c16="http://schemas.microsoft.com/office/drawing/2014/chart" uri="{C3380CC4-5D6E-409C-BE32-E72D297353CC}">
              <c16:uniqueId val="{00000015-9F56-41CB-9219-BD1DFA652502}"/>
            </c:ext>
          </c:extLst>
        </c:ser>
        <c:ser>
          <c:idx val="4"/>
          <c:order val="15"/>
          <c:tx>
            <c:v>Uw Inschrijving</c:v>
          </c:tx>
          <c:marker>
            <c:symbol val="circle"/>
            <c:size val="12"/>
            <c:spPr>
              <a:solidFill>
                <a:srgbClr val="00B050"/>
              </a:solidFill>
              <a:ln>
                <a:noFill/>
              </a:ln>
              <a:effectLst/>
            </c:spPr>
          </c:marker>
          <c:dLbls>
            <c:dLbl>
              <c:idx val="0"/>
              <c:layout>
                <c:manualLayout>
                  <c:x val="-2.4E-2"/>
                  <c:y val="4.1999999999999926E-2"/>
                </c:manualLayout>
              </c:layout>
              <c:showLegendKey val="0"/>
              <c:showVal val="0"/>
              <c:showCatName val="0"/>
              <c:showSerName val="1"/>
              <c:showPercent val="0"/>
              <c:showBubbleSize val="0"/>
              <c:extLst xmlns:c15="http://schemas.microsoft.com/office/drawing/2012/chart">
                <c:ext xmlns:c15="http://schemas.microsoft.com/office/drawing/2012/chart" uri="{CE6537A1-D6FC-4f65-9D91-7224C49458BB}"/>
                <c:ext xmlns:c16="http://schemas.microsoft.com/office/drawing/2014/chart" uri="{C3380CC4-5D6E-409C-BE32-E72D297353CC}">
                  <c16:uniqueId val="{000001D6-9F56-41CB-9219-BD1DFA652502}"/>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1"/>
            <c:showPercent val="0"/>
            <c:showBubbleSize val="0"/>
            <c:showLeaderLines val="0"/>
            <c:extLst xmlns:c15="http://schemas.microsoft.com/office/drawing/2012/chart">
              <c:ext xmlns:c15="http://schemas.microsoft.com/office/drawing/2012/chart" uri="{CE6537A1-D6FC-4f65-9D91-7224C49458BB}">
                <c15:showLeaderLines val="1"/>
              </c:ext>
            </c:extLst>
          </c:dLbls>
          <c:xVal>
            <c:numRef>
              <c:f>'BPK-Grafiek'!$V$2</c:f>
              <c:numCache>
                <c:formatCode>General</c:formatCode>
                <c:ptCount val="1"/>
                <c:pt idx="0">
                  <c:v>0</c:v>
                </c:pt>
              </c:numCache>
            </c:numRef>
          </c:xVal>
          <c:yVal>
            <c:numRef>
              <c:f>'BPK-Grafiek'!$N$2</c:f>
              <c:numCache>
                <c:formatCode>_("€"* #,##0.00_);_("€"* \(#,##0.00\);_("€"* "-"??_);_(@_)</c:formatCode>
                <c:ptCount val="1"/>
                <c:pt idx="0">
                  <c:v>0</c:v>
                </c:pt>
              </c:numCache>
              <c:extLst xmlns:c15="http://schemas.microsoft.com/office/drawing/2012/chart"/>
            </c:numRef>
          </c:yVal>
          <c:smooth val="0"/>
          <c:extLst xmlns:c15="http://schemas.microsoft.com/office/drawing/2012/chart">
            <c:ext xmlns:c16="http://schemas.microsoft.com/office/drawing/2014/chart" uri="{C3380CC4-5D6E-409C-BE32-E72D297353CC}">
              <c16:uniqueId val="{000001D7-9F56-41CB-9219-BD1DFA652502}"/>
            </c:ext>
          </c:extLst>
        </c:ser>
        <c:ser>
          <c:idx val="22"/>
          <c:order val="16"/>
          <c:tx>
            <c:v>Bovengrens</c:v>
          </c:tx>
          <c:spPr>
            <a:ln>
              <a:solidFill>
                <a:schemeClr val="tx1"/>
              </a:solidFill>
              <a:prstDash val="sysDash"/>
            </a:ln>
          </c:spPr>
          <c:marker>
            <c:symbol val="none"/>
          </c:marker>
          <c:dLbls>
            <c:dLbl>
              <c:idx val="0"/>
              <c:layout>
                <c:manualLayout>
                  <c:x val="8.9999999999999993E-3"/>
                  <c:y val="-3.7610884306238983E-2"/>
                </c:manualLayout>
              </c:layout>
              <c:numFmt formatCode="&quot;€&quot;\ #,##0" sourceLinked="0"/>
              <c:spPr>
                <a:noFill/>
                <a:ln>
                  <a:noFill/>
                </a:ln>
                <a:effectLst/>
              </c:spPr>
              <c:txPr>
                <a:bodyPr wrap="square" lIns="38100" tIns="19050" rIns="38100" bIns="19050" anchor="ctr" anchorCtr="0">
                  <a:spAutoFit/>
                </a:bodyPr>
                <a:lstStyle/>
                <a:p>
                  <a:pPr algn="l">
                    <a:defRPr/>
                  </a:pPr>
                  <a:endParaRPr lang="nl-NL"/>
                </a:p>
              </c:txPr>
              <c:showLegendKey val="0"/>
              <c:showVal val="1"/>
              <c:showCatName val="0"/>
              <c:showSerName val="1"/>
              <c:showPercent val="0"/>
              <c:showBubbleSize val="0"/>
              <c:extLst>
                <c:ext xmlns:c15="http://schemas.microsoft.com/office/drawing/2012/chart" uri="{CE6537A1-D6FC-4f65-9D91-7224C49458BB}">
                  <c15:layout>
                    <c:manualLayout>
                      <c:w val="0.30292992125984253"/>
                      <c:h val="5.4258649412316291E-2"/>
                    </c:manualLayout>
                  </c15:layout>
                </c:ext>
                <c:ext xmlns:c16="http://schemas.microsoft.com/office/drawing/2014/chart" uri="{C3380CC4-5D6E-409C-BE32-E72D297353CC}">
                  <c16:uniqueId val="{00000018-9F56-41CB-9219-BD1DFA652502}"/>
                </c:ext>
              </c:extLst>
            </c:dLbl>
            <c:dLbl>
              <c:idx val="1"/>
              <c:delete val="1"/>
              <c:extLst>
                <c:ext xmlns:c15="http://schemas.microsoft.com/office/drawing/2012/chart" uri="{CE6537A1-D6FC-4f65-9D91-7224C49458BB}"/>
                <c:ext xmlns:c16="http://schemas.microsoft.com/office/drawing/2014/chart" uri="{C3380CC4-5D6E-409C-BE32-E72D297353CC}">
                  <c16:uniqueId val="{00000019-9F56-41CB-9219-BD1DFA652502}"/>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'BPK-Grafiek'!$N$21:$O$21</c:f>
              <c:numCache>
                <c:formatCode>_("€"* #,##0.00_);_("€"* \(#,##0.00\);_("€"* "-"??_);_(@_)</c:formatCode>
                <c:ptCount val="2"/>
                <c:pt idx="0">
                  <c:v>500000</c:v>
                </c:pt>
                <c:pt idx="1">
                  <c:v>500000</c:v>
                </c:pt>
              </c:numCache>
            </c:numRef>
          </c:yVal>
          <c:smooth val="0"/>
          <c:extLst>
            <c:ext xmlns:c16="http://schemas.microsoft.com/office/drawing/2014/chart" uri="{C3380CC4-5D6E-409C-BE32-E72D297353CC}">
              <c16:uniqueId val="{0000001A-9F56-41CB-9219-BD1DFA652502}"/>
            </c:ext>
          </c:extLst>
        </c:ser>
        <c:ser>
          <c:idx val="12"/>
          <c:order val="17"/>
          <c:tx>
            <c:v>Ondergrens</c:v>
          </c:tx>
          <c:spPr>
            <a:ln>
              <a:solidFill>
                <a:schemeClr val="tx1"/>
              </a:solidFill>
              <a:prstDash val="sysDash"/>
            </a:ln>
          </c:spPr>
          <c:marker>
            <c:symbol val="none"/>
          </c:marker>
          <c:dLbls>
            <c:dLbl>
              <c:idx val="0"/>
              <c:layout>
                <c:manualLayout>
                  <c:x val="1.4E-2"/>
                  <c:y val="1.6825921926475321E-2"/>
                </c:manualLayout>
              </c:layout>
              <c:numFmt formatCode="&quot;€&quot;\ #,##0" sourceLinked="0"/>
              <c:spPr>
                <a:noFill/>
                <a:ln>
                  <a:noFill/>
                </a:ln>
                <a:effectLst/>
              </c:spPr>
              <c:txPr>
                <a:bodyPr wrap="square" lIns="38100" tIns="19050" rIns="38100" bIns="19050" anchor="ctr" anchorCtr="0">
                  <a:noAutofit/>
                </a:bodyPr>
                <a:lstStyle/>
                <a:p>
                  <a:pPr algn="l">
                    <a:defRPr b="0"/>
                  </a:pPr>
                  <a:endParaRPr lang="nl-NL"/>
                </a:p>
              </c:txPr>
              <c:showLegendKey val="0"/>
              <c:showVal val="1"/>
              <c:showCatName val="0"/>
              <c:showSerName val="1"/>
              <c:showPercent val="0"/>
              <c:showBubbleSize val="0"/>
              <c:extLst>
                <c:ext xmlns:c15="http://schemas.microsoft.com/office/drawing/2012/chart" uri="{CE6537A1-D6FC-4f65-9D91-7224C49458BB}">
                  <c15:layout>
                    <c:manualLayout>
                      <c:w val="0.30412000000000006"/>
                      <c:h val="3.2078203206635729E-2"/>
                    </c:manualLayout>
                  </c15:layout>
                </c:ext>
                <c:ext xmlns:c16="http://schemas.microsoft.com/office/drawing/2014/chart" uri="{C3380CC4-5D6E-409C-BE32-E72D297353CC}">
                  <c16:uniqueId val="{0000001B-9F56-41CB-9219-BD1DFA652502}"/>
                </c:ext>
              </c:extLst>
            </c:dLbl>
            <c:dLbl>
              <c:idx val="1"/>
              <c:delete val="1"/>
              <c:extLst>
                <c:ext xmlns:c15="http://schemas.microsoft.com/office/drawing/2012/chart" uri="{CE6537A1-D6FC-4f65-9D91-7224C49458BB}"/>
                <c:ext xmlns:c16="http://schemas.microsoft.com/office/drawing/2014/chart" uri="{C3380CC4-5D6E-409C-BE32-E72D297353CC}">
                  <c16:uniqueId val="{0000001C-9F56-41CB-9219-BD1DFA652502}"/>
                </c:ext>
              </c:extLst>
            </c:dLbl>
            <c:spPr>
              <a:noFill/>
              <a:ln>
                <a:noFill/>
              </a:ln>
              <a:effectLst/>
            </c:spPr>
            <c:txPr>
              <a:bodyPr wrap="square" lIns="38100" tIns="19050" rIns="38100" bIns="19050" anchor="ctr">
                <a:spAutoFit/>
              </a:bodyPr>
              <a:lstStyle/>
              <a:p>
                <a:pPr>
                  <a:defRPr b="1"/>
                </a:pPr>
                <a:endParaRPr lang="nl-NL"/>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xVal>
            <c:numRef>
              <c:f>'BPK-Grafiek'!$N$43:$O$43</c:f>
              <c:numCache>
                <c:formatCode>#,##0</c:formatCode>
                <c:ptCount val="2"/>
                <c:pt idx="0" formatCode="General">
                  <c:v>0</c:v>
                </c:pt>
                <c:pt idx="1">
                  <c:v>100</c:v>
                </c:pt>
              </c:numCache>
            </c:numRef>
          </c:xVal>
          <c:yVal>
            <c:numRef>
              <c:f>'BPK-Grafiek'!$N$20:$O$20</c:f>
              <c:numCache>
                <c:formatCode>_("€"* #,##0.00_);_("€"* \(#,##0.00\);_("€"* "-"??_);_(@_)</c:formatCode>
                <c:ptCount val="2"/>
                <c:pt idx="0">
                  <c:v>300000</c:v>
                </c:pt>
                <c:pt idx="1">
                  <c:v>300000</c:v>
                </c:pt>
              </c:numCache>
            </c:numRef>
          </c:yVal>
          <c:smooth val="0"/>
          <c:extLst>
            <c:ext xmlns:c16="http://schemas.microsoft.com/office/drawing/2014/chart" uri="{C3380CC4-5D6E-409C-BE32-E72D297353CC}">
              <c16:uniqueId val="{0000001D-9F56-41CB-9219-BD1DFA652502}"/>
            </c:ext>
          </c:extLst>
        </c:ser>
        <c:ser>
          <c:idx val="17"/>
          <c:order val="18"/>
          <c:tx>
            <c:v>Punten bij Qmax</c:v>
          </c:tx>
          <c:marker>
            <c:symbol val="none"/>
          </c:marker>
          <c:dPt>
            <c:idx val="0"/>
            <c:bubble3D val="0"/>
            <c:extLst>
              <c:ext xmlns:c16="http://schemas.microsoft.com/office/drawing/2014/chart" uri="{C3380CC4-5D6E-409C-BE32-E72D297353CC}">
                <c16:uniqueId val="{00000007-6A9E-439A-A1BA-30ECFDA7D4EB}"/>
              </c:ext>
            </c:extLst>
          </c:dPt>
          <c:dLbls>
            <c:dLbl>
              <c:idx val="0"/>
              <c:layout>
                <c:manualLayout>
                  <c:x val="-1.6000000000000146E-2"/>
                  <c:y val="5.6000000000000001E-2"/>
                </c:manualLayout>
              </c:layout>
              <c:tx>
                <c:rich>
                  <a:bodyPr/>
                  <a:lstStyle/>
                  <a:p>
                    <a:fld id="{F09E935F-EABC-4605-B150-F19235CA51D7}"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6A9E-439A-A1BA-30ECFDA7D4EB}"/>
                </c:ext>
              </c:extLst>
            </c:dLbl>
            <c:spPr>
              <a:noFill/>
              <a:ln>
                <a:noFill/>
              </a:ln>
              <a:effectLst/>
            </c:spPr>
            <c:txPr>
              <a:bodyPr wrap="square" lIns="38100" tIns="19050" rIns="38100" bIns="19050" anchor="ctr">
                <a:spAutoFit/>
              </a:bodyPr>
              <a:lstStyle/>
              <a:p>
                <a:pPr>
                  <a:defRPr b="1"/>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'BPK-Grafiek'!$O$40</c:f>
              <c:numCache>
                <c:formatCode>#,##0</c:formatCode>
                <c:ptCount val="1"/>
                <c:pt idx="0">
                  <c:v>100</c:v>
                </c:pt>
              </c:numCache>
            </c:numRef>
          </c:xVal>
          <c:yVal>
            <c:numRef>
              <c:f>'BPK-Grafiek'!$O$39</c:f>
              <c:numCache>
                <c:formatCode>_("€"* #,##0.00_);_("€"* \(#,##0.00\);_("€"* "-"??_);_(@_)</c:formatCode>
                <c:ptCount val="1"/>
                <c:pt idx="0">
                  <c:v>280000</c:v>
                </c:pt>
              </c:numCache>
            </c:numRef>
          </c:yVal>
          <c:smooth val="0"/>
          <c:extLst>
            <c:ext xmlns:c15="http://schemas.microsoft.com/office/drawing/2012/chart" uri="{02D57815-91ED-43cb-92C2-25804820EDAC}">
              <c15:datalabelsRange>
                <c15:f>'BPK-Grafiek'!$N$6</c15:f>
                <c15:dlblRangeCache>
                  <c:ptCount val="1"/>
                  <c:pt idx="0">
                    <c:v>500</c:v>
                  </c:pt>
                </c15:dlblRangeCache>
              </c15:datalabelsRange>
            </c:ext>
            <c:ext xmlns:c16="http://schemas.microsoft.com/office/drawing/2014/chart" uri="{C3380CC4-5D6E-409C-BE32-E72D297353CC}">
              <c16:uniqueId val="{00000006-6A9E-439A-A1BA-30ECFDA7D4EB}"/>
            </c:ext>
          </c:extLst>
        </c:ser>
        <c:dLbls>
          <c:showLegendKey val="0"/>
          <c:showVal val="0"/>
          <c:showCatName val="0"/>
          <c:showSerName val="0"/>
          <c:showPercent val="0"/>
          <c:showBubbleSize val="0"/>
        </c:dLbls>
        <c:axId val="622482064"/>
        <c:axId val="622487944"/>
        <c:extLst>
          <c:ext xmlns:c15="http://schemas.microsoft.com/office/drawing/2012/chart" uri="{02D57815-91ED-43cb-92C2-25804820EDAC}">
            <c15:filteredScatterSeries>
              <c15:ser>
                <c:idx val="1"/>
                <c:order val="11"/>
                <c:tx>
                  <c:v>Qmin</c:v>
                </c:tx>
                <c:marker>
                  <c:symbol val="none"/>
                </c:marker>
                <c:xVal>
                  <c:numRef>
                    <c:extLst>
                      <c:ext uri="{02D57815-91ED-43cb-92C2-25804820EDAC}">
                        <c15:formulaRef>
                          <c15:sqref>'BPK-Grafiek'!$N$47:$O$47</c15:sqref>
                        </c15:formulaRef>
                      </c:ext>
                    </c:extLst>
                    <c:numCache>
                      <c:formatCode>General</c:formatCode>
                      <c:ptCount val="2"/>
                      <c:pt idx="0">
                        <c:v>0</c:v>
                      </c:pt>
                      <c:pt idx="1">
                        <c:v>0</c:v>
                      </c:pt>
                    </c:numCache>
                  </c:numRef>
                </c:xVal>
                <c:yVal>
                  <c:numRef>
                    <c:extLst>
                      <c:ext uri="{02D57815-91ED-43cb-92C2-25804820EDAC}">
                        <c15:formulaRef>
                          <c15:sqref>'BPK-Grafiek'!$N$41:$O$41</c15:sqref>
                        </c15:formulaRef>
                      </c:ext>
                    </c:extLst>
                    <c:numCache>
                      <c:formatCode>_("€"* #,##0.00_);_("€"* \(#,##0.00\);_("€"* "-"??_);_(@_)</c:formatCode>
                      <c:ptCount val="2"/>
                      <c:pt idx="0" formatCode="&quot;€&quot;\ #,##0.00">
                        <c:v>0</c:v>
                      </c:pt>
                      <c:pt idx="1">
                        <c:v>520000</c:v>
                      </c:pt>
                    </c:numCache>
                  </c:numRef>
                </c:yVal>
                <c:smooth val="0"/>
                <c:extLst>
                  <c:ext xmlns:c16="http://schemas.microsoft.com/office/drawing/2014/chart" uri="{C3380CC4-5D6E-409C-BE32-E72D297353CC}">
                    <c16:uniqueId val="{000001D5-9F56-41CB-9219-BD1DFA652502}"/>
                  </c:ext>
                </c:extLst>
              </c15:ser>
            </c15:filteredScatterSeries>
          </c:ext>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10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1000"/>
            </a:pPr>
            <a:endParaRPr lang="nl-NL"/>
          </a:p>
        </c:txPr>
        <c:crossAx val="622482064"/>
        <c:crosses val="autoZero"/>
        <c:crossBetween val="midCat"/>
        <c:majorUnit val="20000"/>
        <c:dispUnits>
          <c:builtInUnit val="thousands"/>
        </c:dispUnits>
      </c:valAx>
      <c:spPr>
        <a:noFill/>
        <a:ln>
          <a:noFill/>
        </a:ln>
      </c:spPr>
    </c:plotArea>
    <c:plotVisOnly val="0"/>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991837332259109"/>
          <c:y val="4.3454613089197992E-2"/>
          <c:w val="0.84561366071488742"/>
          <c:h val="0.88366744705544598"/>
        </c:manualLayout>
      </c:layout>
      <c:scatterChart>
        <c:scatterStyle val="lineMarker"/>
        <c:varyColors val="0"/>
        <c:ser>
          <c:idx val="14"/>
          <c:order val="0"/>
          <c:tx>
            <c:v>Qmax</c:v>
          </c:tx>
          <c:spPr>
            <a:ln w="44450">
              <a:solidFill>
                <a:schemeClr val="tx2"/>
              </a:solidFill>
            </a:ln>
          </c:spPr>
          <c:marker>
            <c:symbol val="none"/>
          </c:marker>
          <c:dPt>
            <c:idx val="1"/>
            <c:bubble3D val="0"/>
            <c:spPr>
              <a:ln w="69850">
                <a:solidFill>
                  <a:srgbClr val="002060"/>
                </a:solidFill>
              </a:ln>
            </c:spPr>
            <c:extLst>
              <c:ext xmlns:c16="http://schemas.microsoft.com/office/drawing/2014/chart" uri="{C3380CC4-5D6E-409C-BE32-E72D297353CC}">
                <c16:uniqueId val="{00000001-EBF8-488D-AB9A-490C010A158F}"/>
              </c:ext>
            </c:extLst>
          </c:dPt>
          <c:xVal>
            <c:numRef>
              <c:f>'HULP-velden'!$C$20:$D$20</c:f>
              <c:numCache>
                <c:formatCode>#,##0</c:formatCode>
                <c:ptCount val="2"/>
                <c:pt idx="0">
                  <c:v>100</c:v>
                </c:pt>
                <c:pt idx="1">
                  <c:v>100</c:v>
                </c:pt>
              </c:numCache>
            </c:numRef>
          </c:xVal>
          <c:yVal>
            <c:numRef>
              <c:f>'HULP-velden'!$C$21:$D$21</c:f>
              <c:numCache>
                <c:formatCode>"€"\ #,##0.00</c:formatCode>
                <c:ptCount val="2"/>
                <c:pt idx="0">
                  <c:v>0</c:v>
                </c:pt>
                <c:pt idx="1">
                  <c:v>520000</c:v>
                </c:pt>
              </c:numCache>
            </c:numRef>
          </c:yVal>
          <c:smooth val="0"/>
          <c:extLst>
            <c:ext xmlns:c16="http://schemas.microsoft.com/office/drawing/2014/chart" uri="{C3380CC4-5D6E-409C-BE32-E72D297353CC}">
              <c16:uniqueId val="{00000002-EBF8-488D-AB9A-490C010A158F}"/>
            </c:ext>
          </c:extLst>
        </c:ser>
        <c:ser>
          <c:idx val="20"/>
          <c:order val="1"/>
          <c:tx>
            <c:v>Voorbeeld Pvbi | Qvbi</c:v>
          </c:tx>
          <c:marker>
            <c:symbol val="circle"/>
            <c:size val="12"/>
            <c:spPr>
              <a:solidFill>
                <a:srgbClr val="F79646"/>
              </a:solidFill>
              <a:ln>
                <a:noFill/>
              </a:ln>
              <a:effectLst>
                <a:outerShdw blurRad="57150" dist="19050" dir="5400000" algn="ctr" rotWithShape="0">
                  <a:srgbClr val="000000">
                    <a:alpha val="63000"/>
                  </a:srgbClr>
                </a:outerShdw>
              </a:effectLst>
            </c:spPr>
          </c:marker>
          <c:dLbls>
            <c:dLbl>
              <c:idx val="0"/>
              <c:layout>
                <c:manualLayout>
                  <c:x val="-0.19543616299108996"/>
                  <c:y val="-4.6759936013436552E-2"/>
                </c:manualLayout>
              </c:layout>
              <c:spPr>
                <a:noFill/>
                <a:ln>
                  <a:noFill/>
                </a:ln>
                <a:effectLst/>
              </c:spPr>
              <c:txPr>
                <a:bodyPr wrap="square" lIns="38100" tIns="19050" rIns="38100" bIns="19050" anchor="ctr">
                  <a:noAutofit/>
                </a:bodyPr>
                <a:lstStyle/>
                <a:p>
                  <a:pPr>
                    <a:defRPr sz="800"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13842888170470455"/>
                      <c:h val="7.6427751116709658E-2"/>
                    </c:manualLayout>
                  </c15:layout>
                </c:ext>
                <c:ext xmlns:c16="http://schemas.microsoft.com/office/drawing/2014/chart" uri="{C3380CC4-5D6E-409C-BE32-E72D297353CC}">
                  <c16:uniqueId val="{00000003-EBF8-488D-AB9A-490C010A158F}"/>
                </c:ext>
              </c:extLst>
            </c:dLbl>
            <c:spPr>
              <a:noFill/>
              <a:ln>
                <a:noFill/>
              </a:ln>
              <a:effectLst/>
            </c:spPr>
            <c:txPr>
              <a:bodyPr wrap="square" lIns="38100" tIns="19050" rIns="38100" bIns="19050" anchor="ctr">
                <a:spAutoFit/>
              </a:bodyPr>
              <a:lstStyle/>
              <a:p>
                <a:pPr>
                  <a:defRPr sz="800" b="1"/>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1"/>
              </c:ext>
            </c:extLst>
          </c:dLbls>
          <c:xVal>
            <c:numRef>
              <c:f>'HULP-velden'!$F$12</c:f>
              <c:numCache>
                <c:formatCode>General</c:formatCode>
                <c:ptCount val="1"/>
                <c:pt idx="0">
                  <c:v>50</c:v>
                </c:pt>
              </c:numCache>
            </c:numRef>
          </c:xVal>
          <c:yVal>
            <c:numRef>
              <c:f>'HULP-velden'!$C$8</c:f>
              <c:numCache>
                <c:formatCode>_("€"* #,##0.00_);_("€"* \(#,##0.00\);_("€"* "-"??_);_(@_)</c:formatCode>
                <c:ptCount val="1"/>
                <c:pt idx="0">
                  <c:v>400000</c:v>
                </c:pt>
              </c:numCache>
            </c:numRef>
          </c:yVal>
          <c:smooth val="0"/>
          <c:extLst>
            <c:ext xmlns:c16="http://schemas.microsoft.com/office/drawing/2014/chart" uri="{C3380CC4-5D6E-409C-BE32-E72D297353CC}">
              <c16:uniqueId val="{00000004-EBF8-488D-AB9A-490C010A158F}"/>
            </c:ext>
          </c:extLst>
        </c:ser>
        <c:ser>
          <c:idx val="39"/>
          <c:order val="2"/>
          <c:tx>
            <c:v>Plafondprijs</c:v>
          </c:tx>
          <c:spPr>
            <a:ln w="38100">
              <a:solidFill>
                <a:srgbClr val="FF0000"/>
              </a:solidFill>
              <a:prstDash val="sysDash"/>
            </a:ln>
          </c:spPr>
          <c:marker>
            <c:symbol val="none"/>
          </c:marker>
          <c:dPt>
            <c:idx val="0"/>
            <c:bubble3D val="0"/>
            <c:spPr/>
            <c:extLst>
              <c:ext xmlns:c16="http://schemas.microsoft.com/office/drawing/2014/chart" uri="{C3380CC4-5D6E-409C-BE32-E72D297353CC}">
                <c16:uniqueId val="{00000006-EBF8-488D-AB9A-490C010A158F}"/>
              </c:ext>
            </c:extLst>
          </c:dPt>
          <c:xVal>
            <c:numRef>
              <c:f>'HULP-velden'!$C$23:$D$23</c:f>
              <c:numCache>
                <c:formatCode>#,##0</c:formatCode>
                <c:ptCount val="2"/>
                <c:pt idx="0" formatCode="General">
                  <c:v>0</c:v>
                </c:pt>
                <c:pt idx="1">
                  <c:v>100</c:v>
                </c:pt>
              </c:numCache>
            </c:numRef>
          </c:xVal>
          <c:yVal>
            <c:numRef>
              <c:f>'HULP-velden'!$C$24:$D$24</c:f>
              <c:numCache>
                <c:formatCode>_("€"* #,##0.00_);_("€"* \(#,##0.00\);_("€"* "-"??_);_(@_)</c:formatCode>
                <c:ptCount val="2"/>
                <c:pt idx="0">
                  <c:v>-100000</c:v>
                </c:pt>
                <c:pt idx="1">
                  <c:v>-100000</c:v>
                </c:pt>
              </c:numCache>
            </c:numRef>
          </c:yVal>
          <c:smooth val="0"/>
          <c:extLst>
            <c:ext xmlns:c16="http://schemas.microsoft.com/office/drawing/2014/chart" uri="{C3380CC4-5D6E-409C-BE32-E72D297353CC}">
              <c16:uniqueId val="{00000007-EBF8-488D-AB9A-490C010A158F}"/>
            </c:ext>
          </c:extLst>
        </c:ser>
        <c:ser>
          <c:idx val="6"/>
          <c:order val="3"/>
          <c:tx>
            <c:v>Vergelijkingswaarde x1.000</c:v>
          </c:tx>
          <c:marker>
            <c:symbol val="none"/>
          </c:marker>
          <c:dPt>
            <c:idx val="0"/>
            <c:bubble3D val="0"/>
            <c:extLst>
              <c:ext xmlns:c16="http://schemas.microsoft.com/office/drawing/2014/chart" uri="{C3380CC4-5D6E-409C-BE32-E72D297353CC}">
                <c16:uniqueId val="{00000008-EBF8-488D-AB9A-490C010A158F}"/>
              </c:ext>
            </c:extLst>
          </c:dPt>
          <c:dLbls>
            <c:dLbl>
              <c:idx val="0"/>
              <c:spPr>
                <a:noFill/>
                <a:ln>
                  <a:noFill/>
                </a:ln>
                <a:effectLst/>
              </c:spPr>
              <c:txPr>
                <a:bodyPr wrap="square" lIns="38100" tIns="19050" rIns="38100" bIns="19050" anchor="ctr" anchorCtr="0">
                  <a:spAutoFit/>
                </a:bodyPr>
                <a:lstStyle/>
                <a:p>
                  <a:pPr algn="l">
                    <a:defRPr sz="800" b="1"/>
                  </a:pPr>
                  <a:endParaRPr lang="nl-NL"/>
                </a:p>
              </c:txPr>
              <c:showLegendKey val="0"/>
              <c:showVal val="0"/>
              <c:showCatName val="0"/>
              <c:showSerName val="1"/>
              <c:showPercent val="0"/>
              <c:showBubbleSize val="0"/>
              <c:extLst>
                <c:ext xmlns:c15="http://schemas.microsoft.com/office/drawing/2012/chart" uri="{CE6537A1-D6FC-4f65-9D91-7224C49458BB}">
                  <c15:layout>
                    <c:manualLayout>
                      <c:w val="0.37266789156019481"/>
                      <c:h val="5.5317860746720487E-2"/>
                    </c:manualLayout>
                  </c15:layout>
                </c:ext>
                <c:ext xmlns:c16="http://schemas.microsoft.com/office/drawing/2014/chart" uri="{C3380CC4-5D6E-409C-BE32-E72D297353CC}">
                  <c16:uniqueId val="{00000008-EBF8-488D-AB9A-490C010A158F}"/>
                </c:ext>
              </c:extLst>
            </c:dLbl>
            <c:spPr>
              <a:noFill/>
              <a:ln>
                <a:noFill/>
              </a:ln>
              <a:effectLst/>
            </c:spPr>
            <c:txPr>
              <a:bodyPr wrap="square" lIns="38100" tIns="19050" rIns="38100" bIns="19050" anchor="ctr">
                <a:spAutoFit/>
              </a:bodyPr>
              <a:lstStyle/>
              <a:p>
                <a:pPr>
                  <a:defRPr sz="800"/>
                </a:pPr>
                <a:endParaRPr lang="nl-NL"/>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0</c:v>
              </c:pt>
            </c:numLit>
          </c:xVal>
          <c:yVal>
            <c:numRef>
              <c:f>'HULP-velden'!$D$105</c:f>
              <c:numCache>
                <c:formatCode>_("€"* #,##0.00_);_("€"* \(#,##0.00\);_("€"* "-"??_);_(@_)</c:formatCode>
                <c:ptCount val="1"/>
                <c:pt idx="0">
                  <c:v>520000</c:v>
                </c:pt>
              </c:numCache>
            </c:numRef>
          </c:yVal>
          <c:smooth val="0"/>
          <c:extLst xmlns:c15="http://schemas.microsoft.com/office/drawing/2012/chart">
            <c:ext xmlns:c16="http://schemas.microsoft.com/office/drawing/2014/chart" uri="{C3380CC4-5D6E-409C-BE32-E72D297353CC}">
              <c16:uniqueId val="{00000009-EBF8-488D-AB9A-490C010A158F}"/>
            </c:ext>
          </c:extLst>
        </c:ser>
        <c:ser>
          <c:idx val="7"/>
          <c:order val="4"/>
          <c:tx>
            <c:strRef>
              <c:f>'HULP-velden'!$AJ$16</c:f>
              <c:strCache>
                <c:ptCount val="1"/>
                <c:pt idx="0">
                  <c:v>BPK-Lijn -3</c:v>
                </c:pt>
              </c:strCache>
            </c:strRef>
          </c:tx>
          <c:spPr>
            <a:ln w="38100">
              <a:solidFill>
                <a:schemeClr val="accent2">
                  <a:lumMod val="60000"/>
                  <a:lumOff val="40000"/>
                </a:schemeClr>
              </a:solidFill>
            </a:ln>
          </c:spPr>
          <c:marker>
            <c:symbol val="none"/>
          </c:marker>
          <c:xVal>
            <c:numRef>
              <c:f>'HULP-velden'!$AJ$22:$AJ$223</c:f>
              <c:numCache>
                <c:formatCode>_(* #,##0.00_);_(* \(#,##0.00\);_(* "-"??_);_(@_)</c:formatCode>
                <c:ptCount val="202"/>
                <c:pt idx="0">
                  <c:v>70</c:v>
                </c:pt>
                <c:pt idx="1">
                  <c:v>69.5</c:v>
                </c:pt>
                <c:pt idx="2">
                  <c:v>69</c:v>
                </c:pt>
                <c:pt idx="3">
                  <c:v>68.5</c:v>
                </c:pt>
                <c:pt idx="4">
                  <c:v>68</c:v>
                </c:pt>
                <c:pt idx="5">
                  <c:v>67.5</c:v>
                </c:pt>
                <c:pt idx="6">
                  <c:v>67</c:v>
                </c:pt>
                <c:pt idx="7">
                  <c:v>66.5</c:v>
                </c:pt>
                <c:pt idx="8">
                  <c:v>66</c:v>
                </c:pt>
                <c:pt idx="9">
                  <c:v>65.5</c:v>
                </c:pt>
                <c:pt idx="10">
                  <c:v>65</c:v>
                </c:pt>
                <c:pt idx="11">
                  <c:v>64.5</c:v>
                </c:pt>
                <c:pt idx="12">
                  <c:v>64</c:v>
                </c:pt>
                <c:pt idx="13">
                  <c:v>63.5</c:v>
                </c:pt>
                <c:pt idx="14">
                  <c:v>63</c:v>
                </c:pt>
                <c:pt idx="15">
                  <c:v>62.5</c:v>
                </c:pt>
                <c:pt idx="16">
                  <c:v>62</c:v>
                </c:pt>
                <c:pt idx="17">
                  <c:v>61.5</c:v>
                </c:pt>
                <c:pt idx="18">
                  <c:v>61</c:v>
                </c:pt>
                <c:pt idx="19">
                  <c:v>60.5</c:v>
                </c:pt>
                <c:pt idx="20">
                  <c:v>60</c:v>
                </c:pt>
                <c:pt idx="21">
                  <c:v>59.5</c:v>
                </c:pt>
                <c:pt idx="22">
                  <c:v>59</c:v>
                </c:pt>
                <c:pt idx="23">
                  <c:v>58.5</c:v>
                </c:pt>
                <c:pt idx="24">
                  <c:v>57.999999999999993</c:v>
                </c:pt>
                <c:pt idx="25">
                  <c:v>57.499999999999993</c:v>
                </c:pt>
                <c:pt idx="26">
                  <c:v>56.999999999999993</c:v>
                </c:pt>
                <c:pt idx="27">
                  <c:v>56.499999999999993</c:v>
                </c:pt>
                <c:pt idx="28">
                  <c:v>56.000000000000007</c:v>
                </c:pt>
                <c:pt idx="29">
                  <c:v>55.500000000000007</c:v>
                </c:pt>
                <c:pt idx="30">
                  <c:v>55.000000000000007</c:v>
                </c:pt>
                <c:pt idx="31">
                  <c:v>54.500000000000007</c:v>
                </c:pt>
                <c:pt idx="32">
                  <c:v>54</c:v>
                </c:pt>
                <c:pt idx="33">
                  <c:v>53.5</c:v>
                </c:pt>
                <c:pt idx="34">
                  <c:v>53</c:v>
                </c:pt>
                <c:pt idx="35">
                  <c:v>52.5</c:v>
                </c:pt>
                <c:pt idx="36">
                  <c:v>52</c:v>
                </c:pt>
                <c:pt idx="37">
                  <c:v>51.5</c:v>
                </c:pt>
                <c:pt idx="38">
                  <c:v>51</c:v>
                </c:pt>
                <c:pt idx="39">
                  <c:v>50.5</c:v>
                </c:pt>
                <c:pt idx="40">
                  <c:v>50</c:v>
                </c:pt>
                <c:pt idx="41">
                  <c:v>49.5</c:v>
                </c:pt>
                <c:pt idx="42">
                  <c:v>49</c:v>
                </c:pt>
                <c:pt idx="43">
                  <c:v>48.5</c:v>
                </c:pt>
                <c:pt idx="44">
                  <c:v>48</c:v>
                </c:pt>
                <c:pt idx="45">
                  <c:v>47.5</c:v>
                </c:pt>
                <c:pt idx="46">
                  <c:v>47</c:v>
                </c:pt>
                <c:pt idx="47">
                  <c:v>46.5</c:v>
                </c:pt>
                <c:pt idx="48">
                  <c:v>46</c:v>
                </c:pt>
                <c:pt idx="49">
                  <c:v>45.5</c:v>
                </c:pt>
                <c:pt idx="50">
                  <c:v>45</c:v>
                </c:pt>
                <c:pt idx="51">
                  <c:v>44.5</c:v>
                </c:pt>
                <c:pt idx="52">
                  <c:v>44</c:v>
                </c:pt>
                <c:pt idx="53">
                  <c:v>43.5</c:v>
                </c:pt>
                <c:pt idx="54">
                  <c:v>43</c:v>
                </c:pt>
                <c:pt idx="55">
                  <c:v>42.5</c:v>
                </c:pt>
                <c:pt idx="56">
                  <c:v>42</c:v>
                </c:pt>
                <c:pt idx="57">
                  <c:v>41.5</c:v>
                </c:pt>
                <c:pt idx="58">
                  <c:v>41</c:v>
                </c:pt>
                <c:pt idx="59">
                  <c:v>40.5</c:v>
                </c:pt>
                <c:pt idx="60">
                  <c:v>40</c:v>
                </c:pt>
                <c:pt idx="61">
                  <c:v>39.5</c:v>
                </c:pt>
                <c:pt idx="62">
                  <c:v>39</c:v>
                </c:pt>
                <c:pt idx="63">
                  <c:v>38.5</c:v>
                </c:pt>
                <c:pt idx="64">
                  <c:v>38</c:v>
                </c:pt>
                <c:pt idx="65">
                  <c:v>37.5</c:v>
                </c:pt>
                <c:pt idx="66">
                  <c:v>37</c:v>
                </c:pt>
                <c:pt idx="67">
                  <c:v>36.5</c:v>
                </c:pt>
                <c:pt idx="68">
                  <c:v>36</c:v>
                </c:pt>
                <c:pt idx="69">
                  <c:v>35.5</c:v>
                </c:pt>
                <c:pt idx="70">
                  <c:v>35</c:v>
                </c:pt>
                <c:pt idx="71">
                  <c:v>34.5</c:v>
                </c:pt>
                <c:pt idx="72">
                  <c:v>34</c:v>
                </c:pt>
                <c:pt idx="73">
                  <c:v>33.5</c:v>
                </c:pt>
                <c:pt idx="74">
                  <c:v>33</c:v>
                </c:pt>
                <c:pt idx="75">
                  <c:v>32.5</c:v>
                </c:pt>
                <c:pt idx="76">
                  <c:v>32</c:v>
                </c:pt>
                <c:pt idx="77">
                  <c:v>31.5</c:v>
                </c:pt>
                <c:pt idx="78">
                  <c:v>31</c:v>
                </c:pt>
                <c:pt idx="79">
                  <c:v>30.5</c:v>
                </c:pt>
                <c:pt idx="80">
                  <c:v>30</c:v>
                </c:pt>
                <c:pt idx="81">
                  <c:v>29.5</c:v>
                </c:pt>
                <c:pt idx="82">
                  <c:v>28.999999999999996</c:v>
                </c:pt>
                <c:pt idx="83">
                  <c:v>28.499999999999996</c:v>
                </c:pt>
                <c:pt idx="84">
                  <c:v>28.000000000000004</c:v>
                </c:pt>
                <c:pt idx="85">
                  <c:v>27.500000000000004</c:v>
                </c:pt>
                <c:pt idx="86">
                  <c:v>27</c:v>
                </c:pt>
                <c:pt idx="87">
                  <c:v>26.5</c:v>
                </c:pt>
                <c:pt idx="88">
                  <c:v>26</c:v>
                </c:pt>
                <c:pt idx="89">
                  <c:v>25.5</c:v>
                </c:pt>
                <c:pt idx="90">
                  <c:v>25</c:v>
                </c:pt>
                <c:pt idx="91">
                  <c:v>24.5</c:v>
                </c:pt>
                <c:pt idx="92">
                  <c:v>24</c:v>
                </c:pt>
                <c:pt idx="93">
                  <c:v>23.5</c:v>
                </c:pt>
                <c:pt idx="94">
                  <c:v>23</c:v>
                </c:pt>
                <c:pt idx="95">
                  <c:v>22.5</c:v>
                </c:pt>
                <c:pt idx="96">
                  <c:v>22</c:v>
                </c:pt>
                <c:pt idx="97">
                  <c:v>21.5</c:v>
                </c:pt>
                <c:pt idx="98">
                  <c:v>21</c:v>
                </c:pt>
                <c:pt idx="99">
                  <c:v>20.5</c:v>
                </c:pt>
                <c:pt idx="100">
                  <c:v>20</c:v>
                </c:pt>
                <c:pt idx="101">
                  <c:v>19.5</c:v>
                </c:pt>
                <c:pt idx="102">
                  <c:v>19</c:v>
                </c:pt>
                <c:pt idx="103">
                  <c:v>18.5</c:v>
                </c:pt>
                <c:pt idx="104">
                  <c:v>18</c:v>
                </c:pt>
                <c:pt idx="105">
                  <c:v>17.5</c:v>
                </c:pt>
                <c:pt idx="106">
                  <c:v>17</c:v>
                </c:pt>
                <c:pt idx="107">
                  <c:v>16.5</c:v>
                </c:pt>
                <c:pt idx="108">
                  <c:v>16</c:v>
                </c:pt>
                <c:pt idx="109">
                  <c:v>15.5</c:v>
                </c:pt>
                <c:pt idx="110">
                  <c:v>15</c:v>
                </c:pt>
                <c:pt idx="111">
                  <c:v>14.499999999999998</c:v>
                </c:pt>
                <c:pt idx="112">
                  <c:v>14.000000000000002</c:v>
                </c:pt>
                <c:pt idx="113">
                  <c:v>13.5</c:v>
                </c:pt>
                <c:pt idx="114">
                  <c:v>13</c:v>
                </c:pt>
                <c:pt idx="115">
                  <c:v>12.5</c:v>
                </c:pt>
                <c:pt idx="116">
                  <c:v>12</c:v>
                </c:pt>
                <c:pt idx="117">
                  <c:v>11.5</c:v>
                </c:pt>
                <c:pt idx="118">
                  <c:v>11</c:v>
                </c:pt>
                <c:pt idx="119">
                  <c:v>10.5</c:v>
                </c:pt>
                <c:pt idx="120">
                  <c:v>10</c:v>
                </c:pt>
                <c:pt idx="121">
                  <c:v>9.5</c:v>
                </c:pt>
                <c:pt idx="122">
                  <c:v>9</c:v>
                </c:pt>
                <c:pt idx="123">
                  <c:v>8.5</c:v>
                </c:pt>
                <c:pt idx="124">
                  <c:v>8</c:v>
                </c:pt>
                <c:pt idx="125">
                  <c:v>7.5</c:v>
                </c:pt>
                <c:pt idx="126">
                  <c:v>7.0000000000000009</c:v>
                </c:pt>
                <c:pt idx="127">
                  <c:v>6.5</c:v>
                </c:pt>
                <c:pt idx="128">
                  <c:v>6</c:v>
                </c:pt>
                <c:pt idx="129">
                  <c:v>5.5</c:v>
                </c:pt>
                <c:pt idx="130">
                  <c:v>5</c:v>
                </c:pt>
                <c:pt idx="131">
                  <c:v>4.5</c:v>
                </c:pt>
                <c:pt idx="132">
                  <c:v>4</c:v>
                </c:pt>
                <c:pt idx="133">
                  <c:v>3.5000000000000004</c:v>
                </c:pt>
                <c:pt idx="134">
                  <c:v>3</c:v>
                </c:pt>
                <c:pt idx="135">
                  <c:v>2.5</c:v>
                </c:pt>
                <c:pt idx="136">
                  <c:v>2</c:v>
                </c:pt>
                <c:pt idx="137">
                  <c:v>1.5</c:v>
                </c:pt>
                <c:pt idx="138">
                  <c:v>1</c:v>
                </c:pt>
                <c:pt idx="139">
                  <c:v>0.5</c:v>
                </c:pt>
                <c:pt idx="140">
                  <c:v>0</c:v>
                </c:pt>
                <c:pt idx="141">
                  <c:v>-0.5</c:v>
                </c:pt>
                <c:pt idx="142">
                  <c:v>-1</c:v>
                </c:pt>
                <c:pt idx="143">
                  <c:v>-1.5</c:v>
                </c:pt>
                <c:pt idx="145">
                  <c:v>-2</c:v>
                </c:pt>
                <c:pt idx="146">
                  <c:v>-2.5</c:v>
                </c:pt>
                <c:pt idx="147">
                  <c:v>-3</c:v>
                </c:pt>
                <c:pt idx="148">
                  <c:v>-3.5000000000000004</c:v>
                </c:pt>
                <c:pt idx="149">
                  <c:v>-4</c:v>
                </c:pt>
                <c:pt idx="150">
                  <c:v>-4.5</c:v>
                </c:pt>
                <c:pt idx="151">
                  <c:v>-5</c:v>
                </c:pt>
                <c:pt idx="152">
                  <c:v>-5.5</c:v>
                </c:pt>
                <c:pt idx="153">
                  <c:v>-6</c:v>
                </c:pt>
                <c:pt idx="154">
                  <c:v>-6.5</c:v>
                </c:pt>
                <c:pt idx="155">
                  <c:v>-7.0000000000000009</c:v>
                </c:pt>
                <c:pt idx="156">
                  <c:v>-7.5</c:v>
                </c:pt>
                <c:pt idx="157">
                  <c:v>-8</c:v>
                </c:pt>
                <c:pt idx="158">
                  <c:v>-8.5</c:v>
                </c:pt>
                <c:pt idx="159">
                  <c:v>-9</c:v>
                </c:pt>
                <c:pt idx="160">
                  <c:v>-9.5</c:v>
                </c:pt>
                <c:pt idx="161">
                  <c:v>-10</c:v>
                </c:pt>
                <c:pt idx="162">
                  <c:v>-10.5</c:v>
                </c:pt>
                <c:pt idx="163">
                  <c:v>-11</c:v>
                </c:pt>
                <c:pt idx="164">
                  <c:v>-11.5</c:v>
                </c:pt>
                <c:pt idx="165">
                  <c:v>-12</c:v>
                </c:pt>
                <c:pt idx="166">
                  <c:v>-12.5</c:v>
                </c:pt>
                <c:pt idx="167">
                  <c:v>-13</c:v>
                </c:pt>
                <c:pt idx="168">
                  <c:v>-13.5</c:v>
                </c:pt>
                <c:pt idx="169">
                  <c:v>-14.000000000000002</c:v>
                </c:pt>
                <c:pt idx="170">
                  <c:v>-14.499999999999998</c:v>
                </c:pt>
                <c:pt idx="171">
                  <c:v>-15</c:v>
                </c:pt>
                <c:pt idx="172">
                  <c:v>-15.5</c:v>
                </c:pt>
                <c:pt idx="173">
                  <c:v>-16</c:v>
                </c:pt>
                <c:pt idx="174">
                  <c:v>-16.5</c:v>
                </c:pt>
                <c:pt idx="175">
                  <c:v>-17</c:v>
                </c:pt>
                <c:pt idx="176">
                  <c:v>-17.5</c:v>
                </c:pt>
                <c:pt idx="177">
                  <c:v>-18</c:v>
                </c:pt>
                <c:pt idx="178">
                  <c:v>-18.5</c:v>
                </c:pt>
                <c:pt idx="179">
                  <c:v>-19</c:v>
                </c:pt>
                <c:pt idx="180">
                  <c:v>-19.5</c:v>
                </c:pt>
                <c:pt idx="181">
                  <c:v>-20</c:v>
                </c:pt>
                <c:pt idx="182">
                  <c:v>-20.5</c:v>
                </c:pt>
                <c:pt idx="183">
                  <c:v>-21</c:v>
                </c:pt>
                <c:pt idx="184">
                  <c:v>-21.5</c:v>
                </c:pt>
                <c:pt idx="185">
                  <c:v>-22</c:v>
                </c:pt>
                <c:pt idx="186">
                  <c:v>-22.5</c:v>
                </c:pt>
                <c:pt idx="187">
                  <c:v>-23</c:v>
                </c:pt>
                <c:pt idx="188">
                  <c:v>-23.5</c:v>
                </c:pt>
                <c:pt idx="189">
                  <c:v>-24</c:v>
                </c:pt>
                <c:pt idx="190">
                  <c:v>-24.5</c:v>
                </c:pt>
                <c:pt idx="191">
                  <c:v>-25</c:v>
                </c:pt>
                <c:pt idx="192">
                  <c:v>-25.5</c:v>
                </c:pt>
                <c:pt idx="193">
                  <c:v>-26</c:v>
                </c:pt>
                <c:pt idx="194">
                  <c:v>-26.5</c:v>
                </c:pt>
                <c:pt idx="195">
                  <c:v>-27</c:v>
                </c:pt>
                <c:pt idx="196">
                  <c:v>-27.500000000000004</c:v>
                </c:pt>
                <c:pt idx="197">
                  <c:v>-28.000000000000004</c:v>
                </c:pt>
                <c:pt idx="198">
                  <c:v>-28.499999999999996</c:v>
                </c:pt>
                <c:pt idx="199">
                  <c:v>-28.999999999999996</c:v>
                </c:pt>
                <c:pt idx="200">
                  <c:v>-29.5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A-EBF8-488D-AB9A-490C010A158F}"/>
            </c:ext>
          </c:extLst>
        </c:ser>
        <c:ser>
          <c:idx val="8"/>
          <c:order val="5"/>
          <c:tx>
            <c:strRef>
              <c:f>'HULP-velden'!$AK$16</c:f>
              <c:strCache>
                <c:ptCount val="1"/>
                <c:pt idx="0">
                  <c:v>BPK-Lijn -2</c:v>
                </c:pt>
              </c:strCache>
            </c:strRef>
          </c:tx>
          <c:spPr>
            <a:ln w="38100">
              <a:solidFill>
                <a:schemeClr val="accent2">
                  <a:lumMod val="60000"/>
                  <a:lumOff val="40000"/>
                </a:schemeClr>
              </a:solidFill>
            </a:ln>
          </c:spPr>
          <c:marker>
            <c:symbol val="none"/>
          </c:marker>
          <c:xVal>
            <c:numRef>
              <c:f>'HULP-velden'!$AK$22:$AK$223</c:f>
              <c:numCache>
                <c:formatCode>_(* #,##0.00_);_(* \(#,##0.00\);_(* "-"??_);_(@_)</c:formatCode>
                <c:ptCount val="202"/>
                <c:pt idx="0">
                  <c:v>80</c:v>
                </c:pt>
                <c:pt idx="1">
                  <c:v>79.5</c:v>
                </c:pt>
                <c:pt idx="2">
                  <c:v>79</c:v>
                </c:pt>
                <c:pt idx="3">
                  <c:v>78.5</c:v>
                </c:pt>
                <c:pt idx="4">
                  <c:v>78</c:v>
                </c:pt>
                <c:pt idx="5">
                  <c:v>77.5</c:v>
                </c:pt>
                <c:pt idx="6">
                  <c:v>77</c:v>
                </c:pt>
                <c:pt idx="7">
                  <c:v>76.5</c:v>
                </c:pt>
                <c:pt idx="8">
                  <c:v>76</c:v>
                </c:pt>
                <c:pt idx="9">
                  <c:v>75.5</c:v>
                </c:pt>
                <c:pt idx="10">
                  <c:v>75</c:v>
                </c:pt>
                <c:pt idx="11">
                  <c:v>74.5</c:v>
                </c:pt>
                <c:pt idx="12">
                  <c:v>74</c:v>
                </c:pt>
                <c:pt idx="13">
                  <c:v>73.5</c:v>
                </c:pt>
                <c:pt idx="14">
                  <c:v>73</c:v>
                </c:pt>
                <c:pt idx="15">
                  <c:v>72.5</c:v>
                </c:pt>
                <c:pt idx="16">
                  <c:v>72</c:v>
                </c:pt>
                <c:pt idx="17">
                  <c:v>71.5</c:v>
                </c:pt>
                <c:pt idx="18">
                  <c:v>71</c:v>
                </c:pt>
                <c:pt idx="19">
                  <c:v>70.5</c:v>
                </c:pt>
                <c:pt idx="20">
                  <c:v>70</c:v>
                </c:pt>
                <c:pt idx="21">
                  <c:v>69.5</c:v>
                </c:pt>
                <c:pt idx="22">
                  <c:v>69</c:v>
                </c:pt>
                <c:pt idx="23">
                  <c:v>68.5</c:v>
                </c:pt>
                <c:pt idx="24">
                  <c:v>68</c:v>
                </c:pt>
                <c:pt idx="25">
                  <c:v>67.5</c:v>
                </c:pt>
                <c:pt idx="26">
                  <c:v>67</c:v>
                </c:pt>
                <c:pt idx="27">
                  <c:v>66.5</c:v>
                </c:pt>
                <c:pt idx="28">
                  <c:v>66</c:v>
                </c:pt>
                <c:pt idx="29">
                  <c:v>65.5</c:v>
                </c:pt>
                <c:pt idx="30">
                  <c:v>65</c:v>
                </c:pt>
                <c:pt idx="31">
                  <c:v>64.5</c:v>
                </c:pt>
                <c:pt idx="32">
                  <c:v>64</c:v>
                </c:pt>
                <c:pt idx="33">
                  <c:v>63.5</c:v>
                </c:pt>
                <c:pt idx="34">
                  <c:v>63</c:v>
                </c:pt>
                <c:pt idx="35">
                  <c:v>62.5</c:v>
                </c:pt>
                <c:pt idx="36">
                  <c:v>62</c:v>
                </c:pt>
                <c:pt idx="37">
                  <c:v>61.5</c:v>
                </c:pt>
                <c:pt idx="38">
                  <c:v>61</c:v>
                </c:pt>
                <c:pt idx="39">
                  <c:v>60.5</c:v>
                </c:pt>
                <c:pt idx="40">
                  <c:v>60</c:v>
                </c:pt>
                <c:pt idx="41">
                  <c:v>59.5</c:v>
                </c:pt>
                <c:pt idx="42">
                  <c:v>59</c:v>
                </c:pt>
                <c:pt idx="43">
                  <c:v>58.5</c:v>
                </c:pt>
                <c:pt idx="44">
                  <c:v>57.999999999999993</c:v>
                </c:pt>
                <c:pt idx="45">
                  <c:v>57.499999999999993</c:v>
                </c:pt>
                <c:pt idx="46">
                  <c:v>56.999999999999993</c:v>
                </c:pt>
                <c:pt idx="47">
                  <c:v>56.499999999999993</c:v>
                </c:pt>
                <c:pt idx="48">
                  <c:v>56.000000000000007</c:v>
                </c:pt>
                <c:pt idx="49">
                  <c:v>55.500000000000007</c:v>
                </c:pt>
                <c:pt idx="50">
                  <c:v>55.000000000000007</c:v>
                </c:pt>
                <c:pt idx="51">
                  <c:v>54.500000000000007</c:v>
                </c:pt>
                <c:pt idx="52">
                  <c:v>54</c:v>
                </c:pt>
                <c:pt idx="53">
                  <c:v>53.5</c:v>
                </c:pt>
                <c:pt idx="54">
                  <c:v>53</c:v>
                </c:pt>
                <c:pt idx="55">
                  <c:v>52.5</c:v>
                </c:pt>
                <c:pt idx="56">
                  <c:v>52</c:v>
                </c:pt>
                <c:pt idx="57">
                  <c:v>51.5</c:v>
                </c:pt>
                <c:pt idx="58">
                  <c:v>51</c:v>
                </c:pt>
                <c:pt idx="59">
                  <c:v>50.5</c:v>
                </c:pt>
                <c:pt idx="60">
                  <c:v>50</c:v>
                </c:pt>
                <c:pt idx="61">
                  <c:v>49.5</c:v>
                </c:pt>
                <c:pt idx="62">
                  <c:v>49</c:v>
                </c:pt>
                <c:pt idx="63">
                  <c:v>48.5</c:v>
                </c:pt>
                <c:pt idx="64">
                  <c:v>48</c:v>
                </c:pt>
                <c:pt idx="65">
                  <c:v>47.5</c:v>
                </c:pt>
                <c:pt idx="66">
                  <c:v>47</c:v>
                </c:pt>
                <c:pt idx="67">
                  <c:v>46.5</c:v>
                </c:pt>
                <c:pt idx="68">
                  <c:v>46</c:v>
                </c:pt>
                <c:pt idx="69">
                  <c:v>45.5</c:v>
                </c:pt>
                <c:pt idx="70">
                  <c:v>45</c:v>
                </c:pt>
                <c:pt idx="71">
                  <c:v>44.5</c:v>
                </c:pt>
                <c:pt idx="72">
                  <c:v>44</c:v>
                </c:pt>
                <c:pt idx="73">
                  <c:v>43.5</c:v>
                </c:pt>
                <c:pt idx="74">
                  <c:v>43</c:v>
                </c:pt>
                <c:pt idx="75">
                  <c:v>42.5</c:v>
                </c:pt>
                <c:pt idx="76">
                  <c:v>42</c:v>
                </c:pt>
                <c:pt idx="77">
                  <c:v>41.5</c:v>
                </c:pt>
                <c:pt idx="78">
                  <c:v>41</c:v>
                </c:pt>
                <c:pt idx="79">
                  <c:v>40.5</c:v>
                </c:pt>
                <c:pt idx="80">
                  <c:v>40</c:v>
                </c:pt>
                <c:pt idx="81">
                  <c:v>39.5</c:v>
                </c:pt>
                <c:pt idx="82">
                  <c:v>39</c:v>
                </c:pt>
                <c:pt idx="83">
                  <c:v>38.5</c:v>
                </c:pt>
                <c:pt idx="84">
                  <c:v>38</c:v>
                </c:pt>
                <c:pt idx="85">
                  <c:v>37.5</c:v>
                </c:pt>
                <c:pt idx="86">
                  <c:v>37</c:v>
                </c:pt>
                <c:pt idx="87">
                  <c:v>36.5</c:v>
                </c:pt>
                <c:pt idx="88">
                  <c:v>36</c:v>
                </c:pt>
                <c:pt idx="89">
                  <c:v>35.5</c:v>
                </c:pt>
                <c:pt idx="90">
                  <c:v>35</c:v>
                </c:pt>
                <c:pt idx="91">
                  <c:v>34.5</c:v>
                </c:pt>
                <c:pt idx="92">
                  <c:v>34</c:v>
                </c:pt>
                <c:pt idx="93">
                  <c:v>33.5</c:v>
                </c:pt>
                <c:pt idx="94">
                  <c:v>33</c:v>
                </c:pt>
                <c:pt idx="95">
                  <c:v>32.5</c:v>
                </c:pt>
                <c:pt idx="96">
                  <c:v>32</c:v>
                </c:pt>
                <c:pt idx="97">
                  <c:v>31.5</c:v>
                </c:pt>
                <c:pt idx="98">
                  <c:v>31</c:v>
                </c:pt>
                <c:pt idx="99">
                  <c:v>30.5</c:v>
                </c:pt>
                <c:pt idx="100">
                  <c:v>30</c:v>
                </c:pt>
                <c:pt idx="101">
                  <c:v>29.5</c:v>
                </c:pt>
                <c:pt idx="102">
                  <c:v>28.999999999999996</c:v>
                </c:pt>
                <c:pt idx="103">
                  <c:v>28.499999999999996</c:v>
                </c:pt>
                <c:pt idx="104">
                  <c:v>28.000000000000004</c:v>
                </c:pt>
                <c:pt idx="105">
                  <c:v>27.500000000000004</c:v>
                </c:pt>
                <c:pt idx="106">
                  <c:v>27</c:v>
                </c:pt>
                <c:pt idx="107">
                  <c:v>26.5</c:v>
                </c:pt>
                <c:pt idx="108">
                  <c:v>26</c:v>
                </c:pt>
                <c:pt idx="109">
                  <c:v>25.5</c:v>
                </c:pt>
                <c:pt idx="110">
                  <c:v>25</c:v>
                </c:pt>
                <c:pt idx="111">
                  <c:v>24.5</c:v>
                </c:pt>
                <c:pt idx="112">
                  <c:v>24</c:v>
                </c:pt>
                <c:pt idx="113">
                  <c:v>23.5</c:v>
                </c:pt>
                <c:pt idx="114">
                  <c:v>23</c:v>
                </c:pt>
                <c:pt idx="115">
                  <c:v>22.5</c:v>
                </c:pt>
                <c:pt idx="116">
                  <c:v>22</c:v>
                </c:pt>
                <c:pt idx="117">
                  <c:v>21.5</c:v>
                </c:pt>
                <c:pt idx="118">
                  <c:v>21</c:v>
                </c:pt>
                <c:pt idx="119">
                  <c:v>20.5</c:v>
                </c:pt>
                <c:pt idx="120">
                  <c:v>20</c:v>
                </c:pt>
                <c:pt idx="121">
                  <c:v>19.5</c:v>
                </c:pt>
                <c:pt idx="122">
                  <c:v>19</c:v>
                </c:pt>
                <c:pt idx="123">
                  <c:v>18.5</c:v>
                </c:pt>
                <c:pt idx="124">
                  <c:v>18</c:v>
                </c:pt>
                <c:pt idx="125">
                  <c:v>17.5</c:v>
                </c:pt>
                <c:pt idx="126">
                  <c:v>17</c:v>
                </c:pt>
                <c:pt idx="127">
                  <c:v>16.5</c:v>
                </c:pt>
                <c:pt idx="128">
                  <c:v>16</c:v>
                </c:pt>
                <c:pt idx="129">
                  <c:v>15.5</c:v>
                </c:pt>
                <c:pt idx="130">
                  <c:v>15</c:v>
                </c:pt>
                <c:pt idx="131">
                  <c:v>14.499999999999998</c:v>
                </c:pt>
                <c:pt idx="132">
                  <c:v>14.000000000000002</c:v>
                </c:pt>
                <c:pt idx="133">
                  <c:v>13.5</c:v>
                </c:pt>
                <c:pt idx="134">
                  <c:v>13</c:v>
                </c:pt>
                <c:pt idx="135">
                  <c:v>12.5</c:v>
                </c:pt>
                <c:pt idx="136">
                  <c:v>12</c:v>
                </c:pt>
                <c:pt idx="137">
                  <c:v>11.5</c:v>
                </c:pt>
                <c:pt idx="138">
                  <c:v>11</c:v>
                </c:pt>
                <c:pt idx="139">
                  <c:v>10.5</c:v>
                </c:pt>
                <c:pt idx="140">
                  <c:v>10</c:v>
                </c:pt>
                <c:pt idx="141">
                  <c:v>9.5</c:v>
                </c:pt>
                <c:pt idx="142">
                  <c:v>9</c:v>
                </c:pt>
                <c:pt idx="143">
                  <c:v>8.5</c:v>
                </c:pt>
                <c:pt idx="145">
                  <c:v>8</c:v>
                </c:pt>
                <c:pt idx="146">
                  <c:v>7.5</c:v>
                </c:pt>
                <c:pt idx="147">
                  <c:v>7.0000000000000009</c:v>
                </c:pt>
                <c:pt idx="148">
                  <c:v>6.5</c:v>
                </c:pt>
                <c:pt idx="149">
                  <c:v>6</c:v>
                </c:pt>
                <c:pt idx="150">
                  <c:v>5.5</c:v>
                </c:pt>
                <c:pt idx="151">
                  <c:v>5</c:v>
                </c:pt>
                <c:pt idx="152">
                  <c:v>4.5</c:v>
                </c:pt>
                <c:pt idx="153">
                  <c:v>4</c:v>
                </c:pt>
                <c:pt idx="154">
                  <c:v>3.5000000000000004</c:v>
                </c:pt>
                <c:pt idx="155">
                  <c:v>3</c:v>
                </c:pt>
                <c:pt idx="156">
                  <c:v>2.5</c:v>
                </c:pt>
                <c:pt idx="157">
                  <c:v>2</c:v>
                </c:pt>
                <c:pt idx="158">
                  <c:v>1.5</c:v>
                </c:pt>
                <c:pt idx="159">
                  <c:v>1</c:v>
                </c:pt>
                <c:pt idx="160">
                  <c:v>0.5</c:v>
                </c:pt>
                <c:pt idx="161">
                  <c:v>0</c:v>
                </c:pt>
                <c:pt idx="162">
                  <c:v>-0.5</c:v>
                </c:pt>
                <c:pt idx="163">
                  <c:v>-1</c:v>
                </c:pt>
                <c:pt idx="164">
                  <c:v>-1.5</c:v>
                </c:pt>
                <c:pt idx="165">
                  <c:v>-2</c:v>
                </c:pt>
                <c:pt idx="166">
                  <c:v>-2.5</c:v>
                </c:pt>
                <c:pt idx="167">
                  <c:v>-3</c:v>
                </c:pt>
                <c:pt idx="168">
                  <c:v>-3.5000000000000004</c:v>
                </c:pt>
                <c:pt idx="169">
                  <c:v>-4</c:v>
                </c:pt>
                <c:pt idx="170">
                  <c:v>-4.5</c:v>
                </c:pt>
                <c:pt idx="171">
                  <c:v>-5</c:v>
                </c:pt>
                <c:pt idx="172">
                  <c:v>-5.5</c:v>
                </c:pt>
                <c:pt idx="173">
                  <c:v>-6</c:v>
                </c:pt>
                <c:pt idx="174">
                  <c:v>-6.5</c:v>
                </c:pt>
                <c:pt idx="175">
                  <c:v>-7.0000000000000009</c:v>
                </c:pt>
                <c:pt idx="176">
                  <c:v>-7.5</c:v>
                </c:pt>
                <c:pt idx="177">
                  <c:v>-8</c:v>
                </c:pt>
                <c:pt idx="178">
                  <c:v>-8.5</c:v>
                </c:pt>
                <c:pt idx="179">
                  <c:v>-9</c:v>
                </c:pt>
                <c:pt idx="180">
                  <c:v>-9.5</c:v>
                </c:pt>
                <c:pt idx="181">
                  <c:v>-10</c:v>
                </c:pt>
                <c:pt idx="182">
                  <c:v>-10.5</c:v>
                </c:pt>
                <c:pt idx="183">
                  <c:v>-11</c:v>
                </c:pt>
                <c:pt idx="184">
                  <c:v>-11.5</c:v>
                </c:pt>
                <c:pt idx="185">
                  <c:v>-12</c:v>
                </c:pt>
                <c:pt idx="186">
                  <c:v>-12.5</c:v>
                </c:pt>
                <c:pt idx="187">
                  <c:v>-13</c:v>
                </c:pt>
                <c:pt idx="188">
                  <c:v>-13.5</c:v>
                </c:pt>
                <c:pt idx="189">
                  <c:v>-14.000000000000002</c:v>
                </c:pt>
                <c:pt idx="190">
                  <c:v>-14.499999999999998</c:v>
                </c:pt>
                <c:pt idx="191">
                  <c:v>-15</c:v>
                </c:pt>
                <c:pt idx="192">
                  <c:v>-15.5</c:v>
                </c:pt>
                <c:pt idx="193">
                  <c:v>-16</c:v>
                </c:pt>
                <c:pt idx="194">
                  <c:v>-16.5</c:v>
                </c:pt>
                <c:pt idx="195">
                  <c:v>-17</c:v>
                </c:pt>
                <c:pt idx="196">
                  <c:v>-17.5</c:v>
                </c:pt>
                <c:pt idx="197">
                  <c:v>-18</c:v>
                </c:pt>
                <c:pt idx="198">
                  <c:v>-18.5</c:v>
                </c:pt>
                <c:pt idx="199">
                  <c:v>-19</c:v>
                </c:pt>
                <c:pt idx="200">
                  <c:v>-19.5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B-EBF8-488D-AB9A-490C010A158F}"/>
            </c:ext>
          </c:extLst>
        </c:ser>
        <c:ser>
          <c:idx val="0"/>
          <c:order val="6"/>
          <c:tx>
            <c:strRef>
              <c:f>'HULP-velden'!$AL$16</c:f>
              <c:strCache>
                <c:ptCount val="1"/>
                <c:pt idx="0">
                  <c:v>BPK-Lijn -1</c:v>
                </c:pt>
              </c:strCache>
            </c:strRef>
          </c:tx>
          <c:spPr>
            <a:ln w="38100">
              <a:solidFill>
                <a:schemeClr val="accent2">
                  <a:lumMod val="60000"/>
                  <a:lumOff val="40000"/>
                </a:schemeClr>
              </a:solidFill>
            </a:ln>
          </c:spPr>
          <c:marker>
            <c:symbol val="none"/>
          </c:marker>
          <c:xVal>
            <c:numRef>
              <c:f>'HULP-velden'!$AL$22:$AL$223</c:f>
              <c:numCache>
                <c:formatCode>_(* #,##0.00_);_(* \(#,##0.00\);_(* "-"??_);_(@_)</c:formatCode>
                <c:ptCount val="202"/>
                <c:pt idx="0">
                  <c:v>90</c:v>
                </c:pt>
                <c:pt idx="1">
                  <c:v>89.5</c:v>
                </c:pt>
                <c:pt idx="2">
                  <c:v>89</c:v>
                </c:pt>
                <c:pt idx="3">
                  <c:v>88.5</c:v>
                </c:pt>
                <c:pt idx="4">
                  <c:v>88</c:v>
                </c:pt>
                <c:pt idx="5">
                  <c:v>87.5</c:v>
                </c:pt>
                <c:pt idx="6">
                  <c:v>87</c:v>
                </c:pt>
                <c:pt idx="7">
                  <c:v>86.5</c:v>
                </c:pt>
                <c:pt idx="8">
                  <c:v>86</c:v>
                </c:pt>
                <c:pt idx="9">
                  <c:v>85.5</c:v>
                </c:pt>
                <c:pt idx="10">
                  <c:v>85</c:v>
                </c:pt>
                <c:pt idx="11">
                  <c:v>84.5</c:v>
                </c:pt>
                <c:pt idx="12">
                  <c:v>84</c:v>
                </c:pt>
                <c:pt idx="13">
                  <c:v>83.5</c:v>
                </c:pt>
                <c:pt idx="14">
                  <c:v>83</c:v>
                </c:pt>
                <c:pt idx="15">
                  <c:v>82.5</c:v>
                </c:pt>
                <c:pt idx="16">
                  <c:v>82</c:v>
                </c:pt>
                <c:pt idx="17">
                  <c:v>81.5</c:v>
                </c:pt>
                <c:pt idx="18">
                  <c:v>81</c:v>
                </c:pt>
                <c:pt idx="19">
                  <c:v>80.5</c:v>
                </c:pt>
                <c:pt idx="20">
                  <c:v>80</c:v>
                </c:pt>
                <c:pt idx="21">
                  <c:v>79.5</c:v>
                </c:pt>
                <c:pt idx="22">
                  <c:v>79</c:v>
                </c:pt>
                <c:pt idx="23">
                  <c:v>78.5</c:v>
                </c:pt>
                <c:pt idx="24">
                  <c:v>78</c:v>
                </c:pt>
                <c:pt idx="25">
                  <c:v>77.5</c:v>
                </c:pt>
                <c:pt idx="26">
                  <c:v>77</c:v>
                </c:pt>
                <c:pt idx="27">
                  <c:v>76.5</c:v>
                </c:pt>
                <c:pt idx="28">
                  <c:v>76</c:v>
                </c:pt>
                <c:pt idx="29">
                  <c:v>75.5</c:v>
                </c:pt>
                <c:pt idx="30">
                  <c:v>75</c:v>
                </c:pt>
                <c:pt idx="31">
                  <c:v>74.5</c:v>
                </c:pt>
                <c:pt idx="32">
                  <c:v>74</c:v>
                </c:pt>
                <c:pt idx="33">
                  <c:v>73.5</c:v>
                </c:pt>
                <c:pt idx="34">
                  <c:v>73</c:v>
                </c:pt>
                <c:pt idx="35">
                  <c:v>72.5</c:v>
                </c:pt>
                <c:pt idx="36">
                  <c:v>72</c:v>
                </c:pt>
                <c:pt idx="37">
                  <c:v>71.5</c:v>
                </c:pt>
                <c:pt idx="38">
                  <c:v>71</c:v>
                </c:pt>
                <c:pt idx="39">
                  <c:v>70.5</c:v>
                </c:pt>
                <c:pt idx="40">
                  <c:v>70</c:v>
                </c:pt>
                <c:pt idx="41">
                  <c:v>69.5</c:v>
                </c:pt>
                <c:pt idx="42">
                  <c:v>69</c:v>
                </c:pt>
                <c:pt idx="43">
                  <c:v>68.5</c:v>
                </c:pt>
                <c:pt idx="44">
                  <c:v>68</c:v>
                </c:pt>
                <c:pt idx="45">
                  <c:v>67.5</c:v>
                </c:pt>
                <c:pt idx="46">
                  <c:v>67</c:v>
                </c:pt>
                <c:pt idx="47">
                  <c:v>66.5</c:v>
                </c:pt>
                <c:pt idx="48">
                  <c:v>66</c:v>
                </c:pt>
                <c:pt idx="49">
                  <c:v>65.5</c:v>
                </c:pt>
                <c:pt idx="50">
                  <c:v>65</c:v>
                </c:pt>
                <c:pt idx="51">
                  <c:v>64.5</c:v>
                </c:pt>
                <c:pt idx="52">
                  <c:v>64</c:v>
                </c:pt>
                <c:pt idx="53">
                  <c:v>63.5</c:v>
                </c:pt>
                <c:pt idx="54">
                  <c:v>63</c:v>
                </c:pt>
                <c:pt idx="55">
                  <c:v>62.5</c:v>
                </c:pt>
                <c:pt idx="56">
                  <c:v>62</c:v>
                </c:pt>
                <c:pt idx="57">
                  <c:v>61.5</c:v>
                </c:pt>
                <c:pt idx="58">
                  <c:v>61</c:v>
                </c:pt>
                <c:pt idx="59">
                  <c:v>60.5</c:v>
                </c:pt>
                <c:pt idx="60">
                  <c:v>60</c:v>
                </c:pt>
                <c:pt idx="61">
                  <c:v>59.5</c:v>
                </c:pt>
                <c:pt idx="62">
                  <c:v>59</c:v>
                </c:pt>
                <c:pt idx="63">
                  <c:v>58.5</c:v>
                </c:pt>
                <c:pt idx="64">
                  <c:v>57.999999999999993</c:v>
                </c:pt>
                <c:pt idx="65">
                  <c:v>57.499999999999993</c:v>
                </c:pt>
                <c:pt idx="66">
                  <c:v>56.999999999999993</c:v>
                </c:pt>
                <c:pt idx="67">
                  <c:v>56.499999999999993</c:v>
                </c:pt>
                <c:pt idx="68">
                  <c:v>56.000000000000007</c:v>
                </c:pt>
                <c:pt idx="69">
                  <c:v>55.500000000000007</c:v>
                </c:pt>
                <c:pt idx="70">
                  <c:v>55.000000000000007</c:v>
                </c:pt>
                <c:pt idx="71">
                  <c:v>54.500000000000007</c:v>
                </c:pt>
                <c:pt idx="72">
                  <c:v>54</c:v>
                </c:pt>
                <c:pt idx="73">
                  <c:v>53.5</c:v>
                </c:pt>
                <c:pt idx="74">
                  <c:v>53</c:v>
                </c:pt>
                <c:pt idx="75">
                  <c:v>52.5</c:v>
                </c:pt>
                <c:pt idx="76">
                  <c:v>52</c:v>
                </c:pt>
                <c:pt idx="77">
                  <c:v>51.5</c:v>
                </c:pt>
                <c:pt idx="78">
                  <c:v>51</c:v>
                </c:pt>
                <c:pt idx="79">
                  <c:v>50.5</c:v>
                </c:pt>
                <c:pt idx="80">
                  <c:v>50</c:v>
                </c:pt>
                <c:pt idx="81">
                  <c:v>49.5</c:v>
                </c:pt>
                <c:pt idx="82">
                  <c:v>49</c:v>
                </c:pt>
                <c:pt idx="83">
                  <c:v>48.5</c:v>
                </c:pt>
                <c:pt idx="84">
                  <c:v>48</c:v>
                </c:pt>
                <c:pt idx="85">
                  <c:v>47.5</c:v>
                </c:pt>
                <c:pt idx="86">
                  <c:v>47</c:v>
                </c:pt>
                <c:pt idx="87">
                  <c:v>46.5</c:v>
                </c:pt>
                <c:pt idx="88">
                  <c:v>46</c:v>
                </c:pt>
                <c:pt idx="89">
                  <c:v>45.5</c:v>
                </c:pt>
                <c:pt idx="90">
                  <c:v>45</c:v>
                </c:pt>
                <c:pt idx="91">
                  <c:v>44.5</c:v>
                </c:pt>
                <c:pt idx="92">
                  <c:v>44</c:v>
                </c:pt>
                <c:pt idx="93">
                  <c:v>43.5</c:v>
                </c:pt>
                <c:pt idx="94">
                  <c:v>43</c:v>
                </c:pt>
                <c:pt idx="95">
                  <c:v>42.5</c:v>
                </c:pt>
                <c:pt idx="96">
                  <c:v>42</c:v>
                </c:pt>
                <c:pt idx="97">
                  <c:v>41.5</c:v>
                </c:pt>
                <c:pt idx="98">
                  <c:v>41</c:v>
                </c:pt>
                <c:pt idx="99">
                  <c:v>40.5</c:v>
                </c:pt>
                <c:pt idx="100">
                  <c:v>40</c:v>
                </c:pt>
                <c:pt idx="101">
                  <c:v>39.5</c:v>
                </c:pt>
                <c:pt idx="102">
                  <c:v>39</c:v>
                </c:pt>
                <c:pt idx="103">
                  <c:v>38.5</c:v>
                </c:pt>
                <c:pt idx="104">
                  <c:v>38</c:v>
                </c:pt>
                <c:pt idx="105">
                  <c:v>37.5</c:v>
                </c:pt>
                <c:pt idx="106">
                  <c:v>37</c:v>
                </c:pt>
                <c:pt idx="107">
                  <c:v>36.5</c:v>
                </c:pt>
                <c:pt idx="108">
                  <c:v>36</c:v>
                </c:pt>
                <c:pt idx="109">
                  <c:v>35.5</c:v>
                </c:pt>
                <c:pt idx="110">
                  <c:v>35</c:v>
                </c:pt>
                <c:pt idx="111">
                  <c:v>34.5</c:v>
                </c:pt>
                <c:pt idx="112">
                  <c:v>34</c:v>
                </c:pt>
                <c:pt idx="113">
                  <c:v>33.5</c:v>
                </c:pt>
                <c:pt idx="114">
                  <c:v>33</c:v>
                </c:pt>
                <c:pt idx="115">
                  <c:v>32.5</c:v>
                </c:pt>
                <c:pt idx="116">
                  <c:v>32</c:v>
                </c:pt>
                <c:pt idx="117">
                  <c:v>31.5</c:v>
                </c:pt>
                <c:pt idx="118">
                  <c:v>31</c:v>
                </c:pt>
                <c:pt idx="119">
                  <c:v>30.5</c:v>
                </c:pt>
                <c:pt idx="120">
                  <c:v>30</c:v>
                </c:pt>
                <c:pt idx="121">
                  <c:v>29.5</c:v>
                </c:pt>
                <c:pt idx="122">
                  <c:v>28.999999999999996</c:v>
                </c:pt>
                <c:pt idx="123">
                  <c:v>28.499999999999996</c:v>
                </c:pt>
                <c:pt idx="124">
                  <c:v>28.000000000000004</c:v>
                </c:pt>
                <c:pt idx="125">
                  <c:v>27.500000000000004</c:v>
                </c:pt>
                <c:pt idx="126">
                  <c:v>27</c:v>
                </c:pt>
                <c:pt idx="127">
                  <c:v>26.5</c:v>
                </c:pt>
                <c:pt idx="128">
                  <c:v>26</c:v>
                </c:pt>
                <c:pt idx="129">
                  <c:v>25.5</c:v>
                </c:pt>
                <c:pt idx="130">
                  <c:v>25</c:v>
                </c:pt>
                <c:pt idx="131">
                  <c:v>24.5</c:v>
                </c:pt>
                <c:pt idx="132">
                  <c:v>24</c:v>
                </c:pt>
                <c:pt idx="133">
                  <c:v>23.5</c:v>
                </c:pt>
                <c:pt idx="134">
                  <c:v>23</c:v>
                </c:pt>
                <c:pt idx="135">
                  <c:v>22.5</c:v>
                </c:pt>
                <c:pt idx="136">
                  <c:v>22</c:v>
                </c:pt>
                <c:pt idx="137">
                  <c:v>21.5</c:v>
                </c:pt>
                <c:pt idx="138">
                  <c:v>21</c:v>
                </c:pt>
                <c:pt idx="139">
                  <c:v>20.5</c:v>
                </c:pt>
                <c:pt idx="140">
                  <c:v>20</c:v>
                </c:pt>
                <c:pt idx="141">
                  <c:v>19.5</c:v>
                </c:pt>
                <c:pt idx="142">
                  <c:v>19</c:v>
                </c:pt>
                <c:pt idx="143">
                  <c:v>18.5</c:v>
                </c:pt>
                <c:pt idx="145">
                  <c:v>18</c:v>
                </c:pt>
                <c:pt idx="146">
                  <c:v>17.5</c:v>
                </c:pt>
                <c:pt idx="147">
                  <c:v>17</c:v>
                </c:pt>
                <c:pt idx="148">
                  <c:v>16.5</c:v>
                </c:pt>
                <c:pt idx="149">
                  <c:v>16</c:v>
                </c:pt>
                <c:pt idx="150">
                  <c:v>15.5</c:v>
                </c:pt>
                <c:pt idx="151">
                  <c:v>15</c:v>
                </c:pt>
                <c:pt idx="152">
                  <c:v>14.499999999999998</c:v>
                </c:pt>
                <c:pt idx="153">
                  <c:v>14.000000000000002</c:v>
                </c:pt>
                <c:pt idx="154">
                  <c:v>13.5</c:v>
                </c:pt>
                <c:pt idx="155">
                  <c:v>13</c:v>
                </c:pt>
                <c:pt idx="156">
                  <c:v>12.5</c:v>
                </c:pt>
                <c:pt idx="157">
                  <c:v>12</c:v>
                </c:pt>
                <c:pt idx="158">
                  <c:v>11.5</c:v>
                </c:pt>
                <c:pt idx="159">
                  <c:v>11</c:v>
                </c:pt>
                <c:pt idx="160">
                  <c:v>10.5</c:v>
                </c:pt>
                <c:pt idx="161">
                  <c:v>10</c:v>
                </c:pt>
                <c:pt idx="162">
                  <c:v>9.5</c:v>
                </c:pt>
                <c:pt idx="163">
                  <c:v>9</c:v>
                </c:pt>
                <c:pt idx="164">
                  <c:v>8.5</c:v>
                </c:pt>
                <c:pt idx="165">
                  <c:v>8</c:v>
                </c:pt>
                <c:pt idx="166">
                  <c:v>7.5</c:v>
                </c:pt>
                <c:pt idx="167">
                  <c:v>7.0000000000000009</c:v>
                </c:pt>
                <c:pt idx="168">
                  <c:v>6.5</c:v>
                </c:pt>
                <c:pt idx="169">
                  <c:v>6</c:v>
                </c:pt>
                <c:pt idx="170">
                  <c:v>5.5</c:v>
                </c:pt>
                <c:pt idx="171">
                  <c:v>5</c:v>
                </c:pt>
                <c:pt idx="172">
                  <c:v>4.5</c:v>
                </c:pt>
                <c:pt idx="173">
                  <c:v>4</c:v>
                </c:pt>
                <c:pt idx="174">
                  <c:v>3.5000000000000004</c:v>
                </c:pt>
                <c:pt idx="175">
                  <c:v>3</c:v>
                </c:pt>
                <c:pt idx="176">
                  <c:v>2.5</c:v>
                </c:pt>
                <c:pt idx="177">
                  <c:v>2</c:v>
                </c:pt>
                <c:pt idx="178">
                  <c:v>1.5</c:v>
                </c:pt>
                <c:pt idx="179">
                  <c:v>1</c:v>
                </c:pt>
                <c:pt idx="180">
                  <c:v>0.5</c:v>
                </c:pt>
                <c:pt idx="181">
                  <c:v>0</c:v>
                </c:pt>
                <c:pt idx="182">
                  <c:v>-0.5</c:v>
                </c:pt>
                <c:pt idx="183">
                  <c:v>-1</c:v>
                </c:pt>
                <c:pt idx="184">
                  <c:v>-1.5</c:v>
                </c:pt>
                <c:pt idx="185">
                  <c:v>-2</c:v>
                </c:pt>
                <c:pt idx="186">
                  <c:v>-2.5</c:v>
                </c:pt>
                <c:pt idx="187">
                  <c:v>-3</c:v>
                </c:pt>
                <c:pt idx="188">
                  <c:v>-3.5000000000000004</c:v>
                </c:pt>
                <c:pt idx="189">
                  <c:v>-4</c:v>
                </c:pt>
                <c:pt idx="190">
                  <c:v>-4.5</c:v>
                </c:pt>
                <c:pt idx="191">
                  <c:v>-5</c:v>
                </c:pt>
                <c:pt idx="192">
                  <c:v>-5.5</c:v>
                </c:pt>
                <c:pt idx="193">
                  <c:v>-6</c:v>
                </c:pt>
                <c:pt idx="194">
                  <c:v>-6.5</c:v>
                </c:pt>
                <c:pt idx="195">
                  <c:v>-7.0000000000000009</c:v>
                </c:pt>
                <c:pt idx="196">
                  <c:v>-7.5</c:v>
                </c:pt>
                <c:pt idx="197">
                  <c:v>-8</c:v>
                </c:pt>
                <c:pt idx="198">
                  <c:v>-8.5</c:v>
                </c:pt>
                <c:pt idx="199">
                  <c:v>-9</c:v>
                </c:pt>
                <c:pt idx="200">
                  <c:v>-9.5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C-EBF8-488D-AB9A-490C010A158F}"/>
            </c:ext>
          </c:extLst>
        </c:ser>
        <c:ser>
          <c:idx val="9"/>
          <c:order val="7"/>
          <c:tx>
            <c:strRef>
              <c:f>'HULP-velden'!$AM$16</c:f>
              <c:strCache>
                <c:ptCount val="1"/>
                <c:pt idx="0">
                  <c:v>BPK-lijn Ref</c:v>
                </c:pt>
              </c:strCache>
            </c:strRef>
          </c:tx>
          <c:spPr>
            <a:ln w="38100">
              <a:solidFill>
                <a:schemeClr val="accent2"/>
              </a:solidFill>
            </a:ln>
          </c:spPr>
          <c:marker>
            <c:symbol val="none"/>
          </c:marker>
          <c:xVal>
            <c:numRef>
              <c:f>'HULP-velden'!$AM$22:$AM$223</c:f>
              <c:numCache>
                <c:formatCode>_(* #,##0.00_);_(* \(#,##0.00\);_(* "-"??_);_(@_)</c:formatCode>
                <c:ptCount val="202"/>
                <c:pt idx="0">
                  <c:v>100</c:v>
                </c:pt>
                <c:pt idx="1">
                  <c:v>99.5</c:v>
                </c:pt>
                <c:pt idx="2">
                  <c:v>99</c:v>
                </c:pt>
                <c:pt idx="3">
                  <c:v>98.5</c:v>
                </c:pt>
                <c:pt idx="4">
                  <c:v>98</c:v>
                </c:pt>
                <c:pt idx="5">
                  <c:v>97.5</c:v>
                </c:pt>
                <c:pt idx="6">
                  <c:v>97</c:v>
                </c:pt>
                <c:pt idx="7">
                  <c:v>96.5</c:v>
                </c:pt>
                <c:pt idx="8">
                  <c:v>96</c:v>
                </c:pt>
                <c:pt idx="9">
                  <c:v>95.5</c:v>
                </c:pt>
                <c:pt idx="10">
                  <c:v>95</c:v>
                </c:pt>
                <c:pt idx="11">
                  <c:v>94.5</c:v>
                </c:pt>
                <c:pt idx="12">
                  <c:v>94</c:v>
                </c:pt>
                <c:pt idx="13">
                  <c:v>93.5</c:v>
                </c:pt>
                <c:pt idx="14">
                  <c:v>93</c:v>
                </c:pt>
                <c:pt idx="15">
                  <c:v>92.5</c:v>
                </c:pt>
                <c:pt idx="16">
                  <c:v>92</c:v>
                </c:pt>
                <c:pt idx="17">
                  <c:v>91.5</c:v>
                </c:pt>
                <c:pt idx="18">
                  <c:v>91</c:v>
                </c:pt>
                <c:pt idx="19">
                  <c:v>90.5</c:v>
                </c:pt>
                <c:pt idx="20">
                  <c:v>90</c:v>
                </c:pt>
                <c:pt idx="21">
                  <c:v>89.5</c:v>
                </c:pt>
                <c:pt idx="22">
                  <c:v>89</c:v>
                </c:pt>
                <c:pt idx="23">
                  <c:v>88.5</c:v>
                </c:pt>
                <c:pt idx="24">
                  <c:v>88</c:v>
                </c:pt>
                <c:pt idx="25">
                  <c:v>87.5</c:v>
                </c:pt>
                <c:pt idx="26">
                  <c:v>87</c:v>
                </c:pt>
                <c:pt idx="27">
                  <c:v>86.5</c:v>
                </c:pt>
                <c:pt idx="28">
                  <c:v>86</c:v>
                </c:pt>
                <c:pt idx="29">
                  <c:v>85.5</c:v>
                </c:pt>
                <c:pt idx="30">
                  <c:v>85</c:v>
                </c:pt>
                <c:pt idx="31">
                  <c:v>84.5</c:v>
                </c:pt>
                <c:pt idx="32">
                  <c:v>84</c:v>
                </c:pt>
                <c:pt idx="33">
                  <c:v>83.5</c:v>
                </c:pt>
                <c:pt idx="34">
                  <c:v>83</c:v>
                </c:pt>
                <c:pt idx="35">
                  <c:v>82.5</c:v>
                </c:pt>
                <c:pt idx="36">
                  <c:v>82</c:v>
                </c:pt>
                <c:pt idx="37">
                  <c:v>81.5</c:v>
                </c:pt>
                <c:pt idx="38">
                  <c:v>81</c:v>
                </c:pt>
                <c:pt idx="39">
                  <c:v>80.5</c:v>
                </c:pt>
                <c:pt idx="40">
                  <c:v>80</c:v>
                </c:pt>
                <c:pt idx="41">
                  <c:v>79.5</c:v>
                </c:pt>
                <c:pt idx="42">
                  <c:v>79</c:v>
                </c:pt>
                <c:pt idx="43">
                  <c:v>78.5</c:v>
                </c:pt>
                <c:pt idx="44">
                  <c:v>78</c:v>
                </c:pt>
                <c:pt idx="45">
                  <c:v>77.5</c:v>
                </c:pt>
                <c:pt idx="46">
                  <c:v>77</c:v>
                </c:pt>
                <c:pt idx="47">
                  <c:v>76.5</c:v>
                </c:pt>
                <c:pt idx="48">
                  <c:v>76</c:v>
                </c:pt>
                <c:pt idx="49">
                  <c:v>75.5</c:v>
                </c:pt>
                <c:pt idx="50">
                  <c:v>75</c:v>
                </c:pt>
                <c:pt idx="51">
                  <c:v>74.5</c:v>
                </c:pt>
                <c:pt idx="52">
                  <c:v>74</c:v>
                </c:pt>
                <c:pt idx="53">
                  <c:v>73.5</c:v>
                </c:pt>
                <c:pt idx="54">
                  <c:v>73</c:v>
                </c:pt>
                <c:pt idx="55">
                  <c:v>72.5</c:v>
                </c:pt>
                <c:pt idx="56">
                  <c:v>72</c:v>
                </c:pt>
                <c:pt idx="57">
                  <c:v>71.5</c:v>
                </c:pt>
                <c:pt idx="58">
                  <c:v>71</c:v>
                </c:pt>
                <c:pt idx="59">
                  <c:v>70.5</c:v>
                </c:pt>
                <c:pt idx="60">
                  <c:v>70</c:v>
                </c:pt>
                <c:pt idx="61">
                  <c:v>69.5</c:v>
                </c:pt>
                <c:pt idx="62">
                  <c:v>69</c:v>
                </c:pt>
                <c:pt idx="63">
                  <c:v>68.5</c:v>
                </c:pt>
                <c:pt idx="64">
                  <c:v>68</c:v>
                </c:pt>
                <c:pt idx="65">
                  <c:v>67.5</c:v>
                </c:pt>
                <c:pt idx="66">
                  <c:v>67</c:v>
                </c:pt>
                <c:pt idx="67">
                  <c:v>66.5</c:v>
                </c:pt>
                <c:pt idx="68">
                  <c:v>66</c:v>
                </c:pt>
                <c:pt idx="69">
                  <c:v>65.5</c:v>
                </c:pt>
                <c:pt idx="70">
                  <c:v>65</c:v>
                </c:pt>
                <c:pt idx="71">
                  <c:v>64.5</c:v>
                </c:pt>
                <c:pt idx="72">
                  <c:v>64</c:v>
                </c:pt>
                <c:pt idx="73">
                  <c:v>63.5</c:v>
                </c:pt>
                <c:pt idx="74">
                  <c:v>63</c:v>
                </c:pt>
                <c:pt idx="75">
                  <c:v>62.5</c:v>
                </c:pt>
                <c:pt idx="76">
                  <c:v>62</c:v>
                </c:pt>
                <c:pt idx="77">
                  <c:v>61.5</c:v>
                </c:pt>
                <c:pt idx="78">
                  <c:v>61</c:v>
                </c:pt>
                <c:pt idx="79">
                  <c:v>60.5</c:v>
                </c:pt>
                <c:pt idx="80">
                  <c:v>60</c:v>
                </c:pt>
                <c:pt idx="81">
                  <c:v>59.5</c:v>
                </c:pt>
                <c:pt idx="82">
                  <c:v>59</c:v>
                </c:pt>
                <c:pt idx="83">
                  <c:v>58.5</c:v>
                </c:pt>
                <c:pt idx="84">
                  <c:v>57.999999999999993</c:v>
                </c:pt>
                <c:pt idx="85">
                  <c:v>57.499999999999993</c:v>
                </c:pt>
                <c:pt idx="86">
                  <c:v>56.999999999999993</c:v>
                </c:pt>
                <c:pt idx="87">
                  <c:v>56.499999999999993</c:v>
                </c:pt>
                <c:pt idx="88">
                  <c:v>56.000000000000007</c:v>
                </c:pt>
                <c:pt idx="89">
                  <c:v>55.500000000000007</c:v>
                </c:pt>
                <c:pt idx="90">
                  <c:v>55.000000000000007</c:v>
                </c:pt>
                <c:pt idx="91">
                  <c:v>54.500000000000007</c:v>
                </c:pt>
                <c:pt idx="92">
                  <c:v>54</c:v>
                </c:pt>
                <c:pt idx="93">
                  <c:v>53.5</c:v>
                </c:pt>
                <c:pt idx="94">
                  <c:v>53</c:v>
                </c:pt>
                <c:pt idx="95">
                  <c:v>52.5</c:v>
                </c:pt>
                <c:pt idx="96">
                  <c:v>52</c:v>
                </c:pt>
                <c:pt idx="97">
                  <c:v>51.5</c:v>
                </c:pt>
                <c:pt idx="98">
                  <c:v>51</c:v>
                </c:pt>
                <c:pt idx="99">
                  <c:v>50.5</c:v>
                </c:pt>
                <c:pt idx="100">
                  <c:v>50</c:v>
                </c:pt>
                <c:pt idx="101">
                  <c:v>49.5</c:v>
                </c:pt>
                <c:pt idx="102">
                  <c:v>49</c:v>
                </c:pt>
                <c:pt idx="103">
                  <c:v>48.5</c:v>
                </c:pt>
                <c:pt idx="104">
                  <c:v>48</c:v>
                </c:pt>
                <c:pt idx="105">
                  <c:v>47.5</c:v>
                </c:pt>
                <c:pt idx="106">
                  <c:v>47</c:v>
                </c:pt>
                <c:pt idx="107">
                  <c:v>46.5</c:v>
                </c:pt>
                <c:pt idx="108">
                  <c:v>46</c:v>
                </c:pt>
                <c:pt idx="109">
                  <c:v>45.5</c:v>
                </c:pt>
                <c:pt idx="110">
                  <c:v>45</c:v>
                </c:pt>
                <c:pt idx="111">
                  <c:v>44.5</c:v>
                </c:pt>
                <c:pt idx="112">
                  <c:v>44</c:v>
                </c:pt>
                <c:pt idx="113">
                  <c:v>43.5</c:v>
                </c:pt>
                <c:pt idx="114">
                  <c:v>43</c:v>
                </c:pt>
                <c:pt idx="115">
                  <c:v>42.5</c:v>
                </c:pt>
                <c:pt idx="116">
                  <c:v>42</c:v>
                </c:pt>
                <c:pt idx="117">
                  <c:v>41.5</c:v>
                </c:pt>
                <c:pt idx="118">
                  <c:v>41</c:v>
                </c:pt>
                <c:pt idx="119">
                  <c:v>40.5</c:v>
                </c:pt>
                <c:pt idx="120">
                  <c:v>40</c:v>
                </c:pt>
                <c:pt idx="121">
                  <c:v>39.5</c:v>
                </c:pt>
                <c:pt idx="122">
                  <c:v>39</c:v>
                </c:pt>
                <c:pt idx="123">
                  <c:v>38.5</c:v>
                </c:pt>
                <c:pt idx="124">
                  <c:v>38</c:v>
                </c:pt>
                <c:pt idx="125">
                  <c:v>37.5</c:v>
                </c:pt>
                <c:pt idx="126">
                  <c:v>37</c:v>
                </c:pt>
                <c:pt idx="127">
                  <c:v>36.5</c:v>
                </c:pt>
                <c:pt idx="128">
                  <c:v>36</c:v>
                </c:pt>
                <c:pt idx="129">
                  <c:v>35.5</c:v>
                </c:pt>
                <c:pt idx="130">
                  <c:v>35</c:v>
                </c:pt>
                <c:pt idx="131">
                  <c:v>34.5</c:v>
                </c:pt>
                <c:pt idx="132">
                  <c:v>34</c:v>
                </c:pt>
                <c:pt idx="133">
                  <c:v>33.5</c:v>
                </c:pt>
                <c:pt idx="134">
                  <c:v>33</c:v>
                </c:pt>
                <c:pt idx="135">
                  <c:v>32.5</c:v>
                </c:pt>
                <c:pt idx="136">
                  <c:v>32</c:v>
                </c:pt>
                <c:pt idx="137">
                  <c:v>31.5</c:v>
                </c:pt>
                <c:pt idx="138">
                  <c:v>31</c:v>
                </c:pt>
                <c:pt idx="139">
                  <c:v>30.5</c:v>
                </c:pt>
                <c:pt idx="140">
                  <c:v>30</c:v>
                </c:pt>
                <c:pt idx="141">
                  <c:v>29.5</c:v>
                </c:pt>
                <c:pt idx="142">
                  <c:v>28.999999999999996</c:v>
                </c:pt>
                <c:pt idx="143">
                  <c:v>28.499999999999996</c:v>
                </c:pt>
                <c:pt idx="145">
                  <c:v>28.000000000000004</c:v>
                </c:pt>
                <c:pt idx="146">
                  <c:v>27.500000000000004</c:v>
                </c:pt>
                <c:pt idx="147">
                  <c:v>27</c:v>
                </c:pt>
                <c:pt idx="148">
                  <c:v>26.5</c:v>
                </c:pt>
                <c:pt idx="149">
                  <c:v>26</c:v>
                </c:pt>
                <c:pt idx="150">
                  <c:v>25.5</c:v>
                </c:pt>
                <c:pt idx="151">
                  <c:v>25</c:v>
                </c:pt>
                <c:pt idx="152">
                  <c:v>24.5</c:v>
                </c:pt>
                <c:pt idx="153">
                  <c:v>24</c:v>
                </c:pt>
                <c:pt idx="154">
                  <c:v>23.5</c:v>
                </c:pt>
                <c:pt idx="155">
                  <c:v>23</c:v>
                </c:pt>
                <c:pt idx="156">
                  <c:v>22.5</c:v>
                </c:pt>
                <c:pt idx="157">
                  <c:v>22</c:v>
                </c:pt>
                <c:pt idx="158">
                  <c:v>21.5</c:v>
                </c:pt>
                <c:pt idx="159">
                  <c:v>21</c:v>
                </c:pt>
                <c:pt idx="160">
                  <c:v>20.5</c:v>
                </c:pt>
                <c:pt idx="161">
                  <c:v>20</c:v>
                </c:pt>
                <c:pt idx="162">
                  <c:v>19.5</c:v>
                </c:pt>
                <c:pt idx="163">
                  <c:v>19</c:v>
                </c:pt>
                <c:pt idx="164">
                  <c:v>18.5</c:v>
                </c:pt>
                <c:pt idx="165">
                  <c:v>18</c:v>
                </c:pt>
                <c:pt idx="166">
                  <c:v>17.5</c:v>
                </c:pt>
                <c:pt idx="167">
                  <c:v>17</c:v>
                </c:pt>
                <c:pt idx="168">
                  <c:v>16.5</c:v>
                </c:pt>
                <c:pt idx="169">
                  <c:v>16</c:v>
                </c:pt>
                <c:pt idx="170">
                  <c:v>15.5</c:v>
                </c:pt>
                <c:pt idx="171">
                  <c:v>15</c:v>
                </c:pt>
                <c:pt idx="172">
                  <c:v>14.499999999999998</c:v>
                </c:pt>
                <c:pt idx="173">
                  <c:v>14.000000000000002</c:v>
                </c:pt>
                <c:pt idx="174">
                  <c:v>13.5</c:v>
                </c:pt>
                <c:pt idx="175">
                  <c:v>13</c:v>
                </c:pt>
                <c:pt idx="176">
                  <c:v>12.5</c:v>
                </c:pt>
                <c:pt idx="177">
                  <c:v>12</c:v>
                </c:pt>
                <c:pt idx="178">
                  <c:v>11.5</c:v>
                </c:pt>
                <c:pt idx="179">
                  <c:v>11</c:v>
                </c:pt>
                <c:pt idx="180">
                  <c:v>10.5</c:v>
                </c:pt>
                <c:pt idx="181">
                  <c:v>10</c:v>
                </c:pt>
                <c:pt idx="182">
                  <c:v>9.5</c:v>
                </c:pt>
                <c:pt idx="183">
                  <c:v>9</c:v>
                </c:pt>
                <c:pt idx="184">
                  <c:v>8.5</c:v>
                </c:pt>
                <c:pt idx="185">
                  <c:v>8</c:v>
                </c:pt>
                <c:pt idx="186">
                  <c:v>7.5</c:v>
                </c:pt>
                <c:pt idx="187">
                  <c:v>7.0000000000000009</c:v>
                </c:pt>
                <c:pt idx="188">
                  <c:v>6.5</c:v>
                </c:pt>
                <c:pt idx="189">
                  <c:v>6</c:v>
                </c:pt>
                <c:pt idx="190">
                  <c:v>5.5</c:v>
                </c:pt>
                <c:pt idx="191">
                  <c:v>5</c:v>
                </c:pt>
                <c:pt idx="192">
                  <c:v>4.5</c:v>
                </c:pt>
                <c:pt idx="193">
                  <c:v>4</c:v>
                </c:pt>
                <c:pt idx="194">
                  <c:v>3.5000000000000004</c:v>
                </c:pt>
                <c:pt idx="195">
                  <c:v>3</c:v>
                </c:pt>
                <c:pt idx="196">
                  <c:v>2.5</c:v>
                </c:pt>
                <c:pt idx="197">
                  <c:v>2</c:v>
                </c:pt>
                <c:pt idx="198">
                  <c:v>1.5</c:v>
                </c:pt>
                <c:pt idx="199">
                  <c:v>1</c:v>
                </c:pt>
                <c:pt idx="200">
                  <c:v>0.5</c:v>
                </c:pt>
                <c:pt idx="201">
                  <c:v>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D-EBF8-488D-AB9A-490C010A158F}"/>
            </c:ext>
          </c:extLst>
        </c:ser>
        <c:ser>
          <c:idx val="10"/>
          <c:order val="8"/>
          <c:tx>
            <c:strRef>
              <c:f>'HULP-velden'!$AN$16</c:f>
              <c:strCache>
                <c:ptCount val="1"/>
                <c:pt idx="0">
                  <c:v>BPK-Lijn +1</c:v>
                </c:pt>
              </c:strCache>
            </c:strRef>
          </c:tx>
          <c:spPr>
            <a:ln w="38100">
              <a:solidFill>
                <a:schemeClr val="accent2">
                  <a:lumMod val="60000"/>
                  <a:lumOff val="40000"/>
                </a:schemeClr>
              </a:solidFill>
            </a:ln>
          </c:spPr>
          <c:marker>
            <c:symbol val="none"/>
          </c:marker>
          <c:xVal>
            <c:numRef>
              <c:f>'HULP-velden'!$AN$22:$AN$223</c:f>
              <c:numCache>
                <c:formatCode>_(* #,##0.00_);_(* \(#,##0.00\);_(* "-"??_);_(@_)</c:formatCode>
                <c:ptCount val="202"/>
                <c:pt idx="0">
                  <c:v>110.00000000000001</c:v>
                </c:pt>
                <c:pt idx="1">
                  <c:v>109.5</c:v>
                </c:pt>
                <c:pt idx="2">
                  <c:v>109.00000000000001</c:v>
                </c:pt>
                <c:pt idx="3">
                  <c:v>108.5</c:v>
                </c:pt>
                <c:pt idx="4">
                  <c:v>108</c:v>
                </c:pt>
                <c:pt idx="5">
                  <c:v>107.5</c:v>
                </c:pt>
                <c:pt idx="6">
                  <c:v>107</c:v>
                </c:pt>
                <c:pt idx="7">
                  <c:v>106.5</c:v>
                </c:pt>
                <c:pt idx="8">
                  <c:v>106</c:v>
                </c:pt>
                <c:pt idx="9">
                  <c:v>105.5</c:v>
                </c:pt>
                <c:pt idx="10">
                  <c:v>105</c:v>
                </c:pt>
                <c:pt idx="11">
                  <c:v>104.5</c:v>
                </c:pt>
                <c:pt idx="12">
                  <c:v>104</c:v>
                </c:pt>
                <c:pt idx="13">
                  <c:v>103.49999999999999</c:v>
                </c:pt>
                <c:pt idx="14">
                  <c:v>103</c:v>
                </c:pt>
                <c:pt idx="15">
                  <c:v>102.49999999999999</c:v>
                </c:pt>
                <c:pt idx="16">
                  <c:v>102</c:v>
                </c:pt>
                <c:pt idx="17">
                  <c:v>101.49999999999999</c:v>
                </c:pt>
                <c:pt idx="18">
                  <c:v>101</c:v>
                </c:pt>
                <c:pt idx="19">
                  <c:v>100.49999999999999</c:v>
                </c:pt>
                <c:pt idx="20">
                  <c:v>100</c:v>
                </c:pt>
                <c:pt idx="21">
                  <c:v>99.5</c:v>
                </c:pt>
                <c:pt idx="22">
                  <c:v>99</c:v>
                </c:pt>
                <c:pt idx="23">
                  <c:v>98.5</c:v>
                </c:pt>
                <c:pt idx="24">
                  <c:v>98</c:v>
                </c:pt>
                <c:pt idx="25">
                  <c:v>97.5</c:v>
                </c:pt>
                <c:pt idx="26">
                  <c:v>97</c:v>
                </c:pt>
                <c:pt idx="27">
                  <c:v>96.5</c:v>
                </c:pt>
                <c:pt idx="28">
                  <c:v>96</c:v>
                </c:pt>
                <c:pt idx="29">
                  <c:v>95.5</c:v>
                </c:pt>
                <c:pt idx="30">
                  <c:v>95</c:v>
                </c:pt>
                <c:pt idx="31">
                  <c:v>94.5</c:v>
                </c:pt>
                <c:pt idx="32">
                  <c:v>94</c:v>
                </c:pt>
                <c:pt idx="33">
                  <c:v>93.5</c:v>
                </c:pt>
                <c:pt idx="34">
                  <c:v>93</c:v>
                </c:pt>
                <c:pt idx="35">
                  <c:v>92.5</c:v>
                </c:pt>
                <c:pt idx="36">
                  <c:v>92</c:v>
                </c:pt>
                <c:pt idx="37">
                  <c:v>91.5</c:v>
                </c:pt>
                <c:pt idx="38">
                  <c:v>91</c:v>
                </c:pt>
                <c:pt idx="39">
                  <c:v>90.5</c:v>
                </c:pt>
                <c:pt idx="40">
                  <c:v>90</c:v>
                </c:pt>
                <c:pt idx="41">
                  <c:v>89.5</c:v>
                </c:pt>
                <c:pt idx="42">
                  <c:v>89</c:v>
                </c:pt>
                <c:pt idx="43">
                  <c:v>88.5</c:v>
                </c:pt>
                <c:pt idx="44">
                  <c:v>88</c:v>
                </c:pt>
                <c:pt idx="45">
                  <c:v>87.5</c:v>
                </c:pt>
                <c:pt idx="46">
                  <c:v>87</c:v>
                </c:pt>
                <c:pt idx="47">
                  <c:v>86.5</c:v>
                </c:pt>
                <c:pt idx="48">
                  <c:v>86</c:v>
                </c:pt>
                <c:pt idx="49">
                  <c:v>85.5</c:v>
                </c:pt>
                <c:pt idx="50">
                  <c:v>85</c:v>
                </c:pt>
                <c:pt idx="51">
                  <c:v>84.5</c:v>
                </c:pt>
                <c:pt idx="52">
                  <c:v>84</c:v>
                </c:pt>
                <c:pt idx="53">
                  <c:v>83.5</c:v>
                </c:pt>
                <c:pt idx="54">
                  <c:v>83</c:v>
                </c:pt>
                <c:pt idx="55">
                  <c:v>82.5</c:v>
                </c:pt>
                <c:pt idx="56">
                  <c:v>82</c:v>
                </c:pt>
                <c:pt idx="57">
                  <c:v>81.5</c:v>
                </c:pt>
                <c:pt idx="58">
                  <c:v>81</c:v>
                </c:pt>
                <c:pt idx="59">
                  <c:v>80.5</c:v>
                </c:pt>
                <c:pt idx="60">
                  <c:v>80</c:v>
                </c:pt>
                <c:pt idx="61">
                  <c:v>79.5</c:v>
                </c:pt>
                <c:pt idx="62">
                  <c:v>79</c:v>
                </c:pt>
                <c:pt idx="63">
                  <c:v>78.5</c:v>
                </c:pt>
                <c:pt idx="64">
                  <c:v>78</c:v>
                </c:pt>
                <c:pt idx="65">
                  <c:v>77.5</c:v>
                </c:pt>
                <c:pt idx="66">
                  <c:v>77</c:v>
                </c:pt>
                <c:pt idx="67">
                  <c:v>76.5</c:v>
                </c:pt>
                <c:pt idx="68">
                  <c:v>76</c:v>
                </c:pt>
                <c:pt idx="69">
                  <c:v>75.5</c:v>
                </c:pt>
                <c:pt idx="70">
                  <c:v>75</c:v>
                </c:pt>
                <c:pt idx="71">
                  <c:v>74.5</c:v>
                </c:pt>
                <c:pt idx="72">
                  <c:v>74</c:v>
                </c:pt>
                <c:pt idx="73">
                  <c:v>73.5</c:v>
                </c:pt>
                <c:pt idx="74">
                  <c:v>73</c:v>
                </c:pt>
                <c:pt idx="75">
                  <c:v>72.5</c:v>
                </c:pt>
                <c:pt idx="76">
                  <c:v>72</c:v>
                </c:pt>
                <c:pt idx="77">
                  <c:v>71.5</c:v>
                </c:pt>
                <c:pt idx="78">
                  <c:v>71</c:v>
                </c:pt>
                <c:pt idx="79">
                  <c:v>70.5</c:v>
                </c:pt>
                <c:pt idx="80">
                  <c:v>70</c:v>
                </c:pt>
                <c:pt idx="81">
                  <c:v>69.5</c:v>
                </c:pt>
                <c:pt idx="82">
                  <c:v>69</c:v>
                </c:pt>
                <c:pt idx="83">
                  <c:v>68.5</c:v>
                </c:pt>
                <c:pt idx="84">
                  <c:v>68</c:v>
                </c:pt>
                <c:pt idx="85">
                  <c:v>67.5</c:v>
                </c:pt>
                <c:pt idx="86">
                  <c:v>67</c:v>
                </c:pt>
                <c:pt idx="87">
                  <c:v>66.5</c:v>
                </c:pt>
                <c:pt idx="88">
                  <c:v>66</c:v>
                </c:pt>
                <c:pt idx="89">
                  <c:v>65.5</c:v>
                </c:pt>
                <c:pt idx="90">
                  <c:v>65</c:v>
                </c:pt>
                <c:pt idx="91">
                  <c:v>64.5</c:v>
                </c:pt>
                <c:pt idx="92">
                  <c:v>64</c:v>
                </c:pt>
                <c:pt idx="93">
                  <c:v>63.5</c:v>
                </c:pt>
                <c:pt idx="94">
                  <c:v>63</c:v>
                </c:pt>
                <c:pt idx="95">
                  <c:v>62.5</c:v>
                </c:pt>
                <c:pt idx="96">
                  <c:v>62</c:v>
                </c:pt>
                <c:pt idx="97">
                  <c:v>61.5</c:v>
                </c:pt>
                <c:pt idx="98">
                  <c:v>61</c:v>
                </c:pt>
                <c:pt idx="99">
                  <c:v>60.5</c:v>
                </c:pt>
                <c:pt idx="100">
                  <c:v>60</c:v>
                </c:pt>
                <c:pt idx="101">
                  <c:v>59.5</c:v>
                </c:pt>
                <c:pt idx="102">
                  <c:v>59</c:v>
                </c:pt>
                <c:pt idx="103">
                  <c:v>58.5</c:v>
                </c:pt>
                <c:pt idx="104">
                  <c:v>57.999999999999993</c:v>
                </c:pt>
                <c:pt idx="105">
                  <c:v>57.499999999999993</c:v>
                </c:pt>
                <c:pt idx="106">
                  <c:v>56.999999999999993</c:v>
                </c:pt>
                <c:pt idx="107">
                  <c:v>56.499999999999993</c:v>
                </c:pt>
                <c:pt idx="108">
                  <c:v>56.000000000000007</c:v>
                </c:pt>
                <c:pt idx="109">
                  <c:v>55.500000000000007</c:v>
                </c:pt>
                <c:pt idx="110">
                  <c:v>55.000000000000007</c:v>
                </c:pt>
                <c:pt idx="111">
                  <c:v>54.500000000000007</c:v>
                </c:pt>
                <c:pt idx="112">
                  <c:v>54</c:v>
                </c:pt>
                <c:pt idx="113">
                  <c:v>53.5</c:v>
                </c:pt>
                <c:pt idx="114">
                  <c:v>53</c:v>
                </c:pt>
                <c:pt idx="115">
                  <c:v>52.5</c:v>
                </c:pt>
                <c:pt idx="116">
                  <c:v>52</c:v>
                </c:pt>
                <c:pt idx="117">
                  <c:v>51.5</c:v>
                </c:pt>
                <c:pt idx="118">
                  <c:v>51</c:v>
                </c:pt>
                <c:pt idx="119">
                  <c:v>50.5</c:v>
                </c:pt>
                <c:pt idx="120">
                  <c:v>50</c:v>
                </c:pt>
                <c:pt idx="121">
                  <c:v>49.5</c:v>
                </c:pt>
                <c:pt idx="122">
                  <c:v>49</c:v>
                </c:pt>
                <c:pt idx="123">
                  <c:v>48.5</c:v>
                </c:pt>
                <c:pt idx="124">
                  <c:v>48</c:v>
                </c:pt>
                <c:pt idx="125">
                  <c:v>47.5</c:v>
                </c:pt>
                <c:pt idx="126">
                  <c:v>47</c:v>
                </c:pt>
                <c:pt idx="127">
                  <c:v>46.5</c:v>
                </c:pt>
                <c:pt idx="128">
                  <c:v>46</c:v>
                </c:pt>
                <c:pt idx="129">
                  <c:v>45.5</c:v>
                </c:pt>
                <c:pt idx="130">
                  <c:v>45</c:v>
                </c:pt>
                <c:pt idx="131">
                  <c:v>44.5</c:v>
                </c:pt>
                <c:pt idx="132">
                  <c:v>44</c:v>
                </c:pt>
                <c:pt idx="133">
                  <c:v>43.5</c:v>
                </c:pt>
                <c:pt idx="134">
                  <c:v>43</c:v>
                </c:pt>
                <c:pt idx="135">
                  <c:v>42.5</c:v>
                </c:pt>
                <c:pt idx="136">
                  <c:v>42</c:v>
                </c:pt>
                <c:pt idx="137">
                  <c:v>41.5</c:v>
                </c:pt>
                <c:pt idx="138">
                  <c:v>41</c:v>
                </c:pt>
                <c:pt idx="139">
                  <c:v>40.5</c:v>
                </c:pt>
                <c:pt idx="140">
                  <c:v>40</c:v>
                </c:pt>
                <c:pt idx="141">
                  <c:v>39.5</c:v>
                </c:pt>
                <c:pt idx="142">
                  <c:v>39</c:v>
                </c:pt>
                <c:pt idx="143">
                  <c:v>38.5</c:v>
                </c:pt>
                <c:pt idx="145">
                  <c:v>38</c:v>
                </c:pt>
                <c:pt idx="146">
                  <c:v>37.5</c:v>
                </c:pt>
                <c:pt idx="147">
                  <c:v>37</c:v>
                </c:pt>
                <c:pt idx="148">
                  <c:v>36.5</c:v>
                </c:pt>
                <c:pt idx="149">
                  <c:v>36</c:v>
                </c:pt>
                <c:pt idx="150">
                  <c:v>35.5</c:v>
                </c:pt>
                <c:pt idx="151">
                  <c:v>35</c:v>
                </c:pt>
                <c:pt idx="152">
                  <c:v>34.5</c:v>
                </c:pt>
                <c:pt idx="153">
                  <c:v>34</c:v>
                </c:pt>
                <c:pt idx="154">
                  <c:v>33.5</c:v>
                </c:pt>
                <c:pt idx="155">
                  <c:v>33</c:v>
                </c:pt>
                <c:pt idx="156">
                  <c:v>32.5</c:v>
                </c:pt>
                <c:pt idx="157">
                  <c:v>32</c:v>
                </c:pt>
                <c:pt idx="158">
                  <c:v>31.5</c:v>
                </c:pt>
                <c:pt idx="159">
                  <c:v>31</c:v>
                </c:pt>
                <c:pt idx="160">
                  <c:v>30.5</c:v>
                </c:pt>
                <c:pt idx="161">
                  <c:v>30</c:v>
                </c:pt>
                <c:pt idx="162">
                  <c:v>29.5</c:v>
                </c:pt>
                <c:pt idx="163">
                  <c:v>28.999999999999996</c:v>
                </c:pt>
                <c:pt idx="164">
                  <c:v>28.499999999999996</c:v>
                </c:pt>
                <c:pt idx="165">
                  <c:v>28.000000000000004</c:v>
                </c:pt>
                <c:pt idx="166">
                  <c:v>27.500000000000004</c:v>
                </c:pt>
                <c:pt idx="167">
                  <c:v>27</c:v>
                </c:pt>
                <c:pt idx="168">
                  <c:v>26.5</c:v>
                </c:pt>
                <c:pt idx="169">
                  <c:v>26</c:v>
                </c:pt>
                <c:pt idx="170">
                  <c:v>25.5</c:v>
                </c:pt>
                <c:pt idx="171">
                  <c:v>25</c:v>
                </c:pt>
                <c:pt idx="172">
                  <c:v>24.5</c:v>
                </c:pt>
                <c:pt idx="173">
                  <c:v>24</c:v>
                </c:pt>
                <c:pt idx="174">
                  <c:v>23.5</c:v>
                </c:pt>
                <c:pt idx="175">
                  <c:v>23</c:v>
                </c:pt>
                <c:pt idx="176">
                  <c:v>22.5</c:v>
                </c:pt>
                <c:pt idx="177">
                  <c:v>22</c:v>
                </c:pt>
                <c:pt idx="178">
                  <c:v>21.5</c:v>
                </c:pt>
                <c:pt idx="179">
                  <c:v>21</c:v>
                </c:pt>
                <c:pt idx="180">
                  <c:v>20.5</c:v>
                </c:pt>
                <c:pt idx="181">
                  <c:v>20</c:v>
                </c:pt>
                <c:pt idx="182">
                  <c:v>19.5</c:v>
                </c:pt>
                <c:pt idx="183">
                  <c:v>19</c:v>
                </c:pt>
                <c:pt idx="184">
                  <c:v>18.5</c:v>
                </c:pt>
                <c:pt idx="185">
                  <c:v>18</c:v>
                </c:pt>
                <c:pt idx="186">
                  <c:v>17.5</c:v>
                </c:pt>
                <c:pt idx="187">
                  <c:v>17</c:v>
                </c:pt>
                <c:pt idx="188">
                  <c:v>16.5</c:v>
                </c:pt>
                <c:pt idx="189">
                  <c:v>16</c:v>
                </c:pt>
                <c:pt idx="190">
                  <c:v>15.5</c:v>
                </c:pt>
                <c:pt idx="191">
                  <c:v>15</c:v>
                </c:pt>
                <c:pt idx="192">
                  <c:v>14.499999999999998</c:v>
                </c:pt>
                <c:pt idx="193">
                  <c:v>14.000000000000002</c:v>
                </c:pt>
                <c:pt idx="194">
                  <c:v>13.5</c:v>
                </c:pt>
                <c:pt idx="195">
                  <c:v>13</c:v>
                </c:pt>
                <c:pt idx="196">
                  <c:v>12.5</c:v>
                </c:pt>
                <c:pt idx="197">
                  <c:v>12</c:v>
                </c:pt>
                <c:pt idx="198">
                  <c:v>11.5</c:v>
                </c:pt>
                <c:pt idx="199">
                  <c:v>11</c:v>
                </c:pt>
                <c:pt idx="200">
                  <c:v>10.5</c:v>
                </c:pt>
                <c:pt idx="201">
                  <c:v>10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E-EBF8-488D-AB9A-490C010A158F}"/>
            </c:ext>
          </c:extLst>
        </c:ser>
        <c:ser>
          <c:idx val="11"/>
          <c:order val="9"/>
          <c:tx>
            <c:strRef>
              <c:f>'HULP-velden'!$AO$16</c:f>
              <c:strCache>
                <c:ptCount val="1"/>
                <c:pt idx="0">
                  <c:v>BPK-Lijn +2</c:v>
                </c:pt>
              </c:strCache>
            </c:strRef>
          </c:tx>
          <c:spPr>
            <a:ln w="38100">
              <a:solidFill>
                <a:schemeClr val="accent2">
                  <a:lumMod val="60000"/>
                  <a:lumOff val="40000"/>
                </a:schemeClr>
              </a:solidFill>
            </a:ln>
          </c:spPr>
          <c:marker>
            <c:symbol val="none"/>
          </c:marker>
          <c:xVal>
            <c:numRef>
              <c:f>'HULP-velden'!$AO$22:$AO$223</c:f>
              <c:numCache>
                <c:formatCode>_(* #,##0.00_);_(* \(#,##0.00\);_(* "-"??_);_(@_)</c:formatCode>
                <c:ptCount val="202"/>
                <c:pt idx="0">
                  <c:v>120</c:v>
                </c:pt>
                <c:pt idx="1">
                  <c:v>119.5</c:v>
                </c:pt>
                <c:pt idx="2">
                  <c:v>119</c:v>
                </c:pt>
                <c:pt idx="3">
                  <c:v>118.5</c:v>
                </c:pt>
                <c:pt idx="4">
                  <c:v>118</c:v>
                </c:pt>
                <c:pt idx="5">
                  <c:v>117.5</c:v>
                </c:pt>
                <c:pt idx="6">
                  <c:v>117</c:v>
                </c:pt>
                <c:pt idx="7">
                  <c:v>116.5</c:v>
                </c:pt>
                <c:pt idx="8">
                  <c:v>115.99999999999999</c:v>
                </c:pt>
                <c:pt idx="9">
                  <c:v>115.5</c:v>
                </c:pt>
                <c:pt idx="10">
                  <c:v>114.99999999999999</c:v>
                </c:pt>
                <c:pt idx="11">
                  <c:v>114.5</c:v>
                </c:pt>
                <c:pt idx="12">
                  <c:v>113.99999999999999</c:v>
                </c:pt>
                <c:pt idx="13">
                  <c:v>113.5</c:v>
                </c:pt>
                <c:pt idx="14">
                  <c:v>112.99999999999999</c:v>
                </c:pt>
                <c:pt idx="15">
                  <c:v>112.5</c:v>
                </c:pt>
                <c:pt idx="16">
                  <c:v>112.00000000000001</c:v>
                </c:pt>
                <c:pt idx="17">
                  <c:v>111.5</c:v>
                </c:pt>
                <c:pt idx="18">
                  <c:v>111.00000000000001</c:v>
                </c:pt>
                <c:pt idx="19">
                  <c:v>110.5</c:v>
                </c:pt>
                <c:pt idx="20">
                  <c:v>110.00000000000001</c:v>
                </c:pt>
                <c:pt idx="21">
                  <c:v>109.5</c:v>
                </c:pt>
                <c:pt idx="22">
                  <c:v>109.00000000000001</c:v>
                </c:pt>
                <c:pt idx="23">
                  <c:v>108.5</c:v>
                </c:pt>
                <c:pt idx="24">
                  <c:v>108</c:v>
                </c:pt>
                <c:pt idx="25">
                  <c:v>107.5</c:v>
                </c:pt>
                <c:pt idx="26">
                  <c:v>107</c:v>
                </c:pt>
                <c:pt idx="27">
                  <c:v>106.5</c:v>
                </c:pt>
                <c:pt idx="28">
                  <c:v>106</c:v>
                </c:pt>
                <c:pt idx="29">
                  <c:v>105.5</c:v>
                </c:pt>
                <c:pt idx="30">
                  <c:v>105</c:v>
                </c:pt>
                <c:pt idx="31">
                  <c:v>104.5</c:v>
                </c:pt>
                <c:pt idx="32">
                  <c:v>104</c:v>
                </c:pt>
                <c:pt idx="33">
                  <c:v>103.49999999999999</c:v>
                </c:pt>
                <c:pt idx="34">
                  <c:v>103</c:v>
                </c:pt>
                <c:pt idx="35">
                  <c:v>102.49999999999999</c:v>
                </c:pt>
                <c:pt idx="36">
                  <c:v>102</c:v>
                </c:pt>
                <c:pt idx="37">
                  <c:v>101.49999999999999</c:v>
                </c:pt>
                <c:pt idx="38">
                  <c:v>101</c:v>
                </c:pt>
                <c:pt idx="39">
                  <c:v>100.49999999999999</c:v>
                </c:pt>
                <c:pt idx="40">
                  <c:v>100</c:v>
                </c:pt>
                <c:pt idx="41">
                  <c:v>99.5</c:v>
                </c:pt>
                <c:pt idx="42">
                  <c:v>99</c:v>
                </c:pt>
                <c:pt idx="43">
                  <c:v>98.5</c:v>
                </c:pt>
                <c:pt idx="44">
                  <c:v>98</c:v>
                </c:pt>
                <c:pt idx="45">
                  <c:v>97.5</c:v>
                </c:pt>
                <c:pt idx="46">
                  <c:v>97</c:v>
                </c:pt>
                <c:pt idx="47">
                  <c:v>96.5</c:v>
                </c:pt>
                <c:pt idx="48">
                  <c:v>96</c:v>
                </c:pt>
                <c:pt idx="49">
                  <c:v>95.5</c:v>
                </c:pt>
                <c:pt idx="50">
                  <c:v>95</c:v>
                </c:pt>
                <c:pt idx="51">
                  <c:v>94.5</c:v>
                </c:pt>
                <c:pt idx="52">
                  <c:v>94</c:v>
                </c:pt>
                <c:pt idx="53">
                  <c:v>93.5</c:v>
                </c:pt>
                <c:pt idx="54">
                  <c:v>93</c:v>
                </c:pt>
                <c:pt idx="55">
                  <c:v>92.5</c:v>
                </c:pt>
                <c:pt idx="56">
                  <c:v>92</c:v>
                </c:pt>
                <c:pt idx="57">
                  <c:v>91.5</c:v>
                </c:pt>
                <c:pt idx="58">
                  <c:v>91</c:v>
                </c:pt>
                <c:pt idx="59">
                  <c:v>90.5</c:v>
                </c:pt>
                <c:pt idx="60">
                  <c:v>90</c:v>
                </c:pt>
                <c:pt idx="61">
                  <c:v>89.5</c:v>
                </c:pt>
                <c:pt idx="62">
                  <c:v>89</c:v>
                </c:pt>
                <c:pt idx="63">
                  <c:v>88.5</c:v>
                </c:pt>
                <c:pt idx="64">
                  <c:v>88</c:v>
                </c:pt>
                <c:pt idx="65">
                  <c:v>87.5</c:v>
                </c:pt>
                <c:pt idx="66">
                  <c:v>87</c:v>
                </c:pt>
                <c:pt idx="67">
                  <c:v>86.5</c:v>
                </c:pt>
                <c:pt idx="68">
                  <c:v>86</c:v>
                </c:pt>
                <c:pt idx="69">
                  <c:v>85.5</c:v>
                </c:pt>
                <c:pt idx="70">
                  <c:v>85</c:v>
                </c:pt>
                <c:pt idx="71">
                  <c:v>84.5</c:v>
                </c:pt>
                <c:pt idx="72">
                  <c:v>84</c:v>
                </c:pt>
                <c:pt idx="73">
                  <c:v>83.5</c:v>
                </c:pt>
                <c:pt idx="74">
                  <c:v>83</c:v>
                </c:pt>
                <c:pt idx="75">
                  <c:v>82.5</c:v>
                </c:pt>
                <c:pt idx="76">
                  <c:v>82</c:v>
                </c:pt>
                <c:pt idx="77">
                  <c:v>81.5</c:v>
                </c:pt>
                <c:pt idx="78">
                  <c:v>81</c:v>
                </c:pt>
                <c:pt idx="79">
                  <c:v>80.5</c:v>
                </c:pt>
                <c:pt idx="80">
                  <c:v>80</c:v>
                </c:pt>
                <c:pt idx="81">
                  <c:v>79.5</c:v>
                </c:pt>
                <c:pt idx="82">
                  <c:v>79</c:v>
                </c:pt>
                <c:pt idx="83">
                  <c:v>78.5</c:v>
                </c:pt>
                <c:pt idx="84">
                  <c:v>78</c:v>
                </c:pt>
                <c:pt idx="85">
                  <c:v>77.5</c:v>
                </c:pt>
                <c:pt idx="86">
                  <c:v>77</c:v>
                </c:pt>
                <c:pt idx="87">
                  <c:v>76.5</c:v>
                </c:pt>
                <c:pt idx="88">
                  <c:v>76</c:v>
                </c:pt>
                <c:pt idx="89">
                  <c:v>75.5</c:v>
                </c:pt>
                <c:pt idx="90">
                  <c:v>75</c:v>
                </c:pt>
                <c:pt idx="91">
                  <c:v>74.5</c:v>
                </c:pt>
                <c:pt idx="92">
                  <c:v>74</c:v>
                </c:pt>
                <c:pt idx="93">
                  <c:v>73.5</c:v>
                </c:pt>
                <c:pt idx="94">
                  <c:v>73</c:v>
                </c:pt>
                <c:pt idx="95">
                  <c:v>72.5</c:v>
                </c:pt>
                <c:pt idx="96">
                  <c:v>72</c:v>
                </c:pt>
                <c:pt idx="97">
                  <c:v>71.5</c:v>
                </c:pt>
                <c:pt idx="98">
                  <c:v>71</c:v>
                </c:pt>
                <c:pt idx="99">
                  <c:v>70.5</c:v>
                </c:pt>
                <c:pt idx="100">
                  <c:v>70</c:v>
                </c:pt>
                <c:pt idx="101">
                  <c:v>69.5</c:v>
                </c:pt>
                <c:pt idx="102">
                  <c:v>69</c:v>
                </c:pt>
                <c:pt idx="103">
                  <c:v>68.5</c:v>
                </c:pt>
                <c:pt idx="104">
                  <c:v>68</c:v>
                </c:pt>
                <c:pt idx="105">
                  <c:v>67.5</c:v>
                </c:pt>
                <c:pt idx="106">
                  <c:v>67</c:v>
                </c:pt>
                <c:pt idx="107">
                  <c:v>66.5</c:v>
                </c:pt>
                <c:pt idx="108">
                  <c:v>66</c:v>
                </c:pt>
                <c:pt idx="109">
                  <c:v>65.5</c:v>
                </c:pt>
                <c:pt idx="110">
                  <c:v>65</c:v>
                </c:pt>
                <c:pt idx="111">
                  <c:v>64.5</c:v>
                </c:pt>
                <c:pt idx="112">
                  <c:v>64</c:v>
                </c:pt>
                <c:pt idx="113">
                  <c:v>63.5</c:v>
                </c:pt>
                <c:pt idx="114">
                  <c:v>63</c:v>
                </c:pt>
                <c:pt idx="115">
                  <c:v>62.5</c:v>
                </c:pt>
                <c:pt idx="116">
                  <c:v>62</c:v>
                </c:pt>
                <c:pt idx="117">
                  <c:v>61.5</c:v>
                </c:pt>
                <c:pt idx="118">
                  <c:v>61</c:v>
                </c:pt>
                <c:pt idx="119">
                  <c:v>60.5</c:v>
                </c:pt>
                <c:pt idx="120">
                  <c:v>60</c:v>
                </c:pt>
                <c:pt idx="121">
                  <c:v>59.5</c:v>
                </c:pt>
                <c:pt idx="122">
                  <c:v>59</c:v>
                </c:pt>
                <c:pt idx="123">
                  <c:v>58.5</c:v>
                </c:pt>
                <c:pt idx="124">
                  <c:v>57.999999999999993</c:v>
                </c:pt>
                <c:pt idx="125">
                  <c:v>57.499999999999993</c:v>
                </c:pt>
                <c:pt idx="126">
                  <c:v>56.999999999999993</c:v>
                </c:pt>
                <c:pt idx="127">
                  <c:v>56.499999999999993</c:v>
                </c:pt>
                <c:pt idx="128">
                  <c:v>56.000000000000007</c:v>
                </c:pt>
                <c:pt idx="129">
                  <c:v>55.500000000000007</c:v>
                </c:pt>
                <c:pt idx="130">
                  <c:v>55.000000000000007</c:v>
                </c:pt>
                <c:pt idx="131">
                  <c:v>54.500000000000007</c:v>
                </c:pt>
                <c:pt idx="132">
                  <c:v>54</c:v>
                </c:pt>
                <c:pt idx="133">
                  <c:v>53.5</c:v>
                </c:pt>
                <c:pt idx="134">
                  <c:v>53</c:v>
                </c:pt>
                <c:pt idx="135">
                  <c:v>52.5</c:v>
                </c:pt>
                <c:pt idx="136">
                  <c:v>52</c:v>
                </c:pt>
                <c:pt idx="137">
                  <c:v>51.5</c:v>
                </c:pt>
                <c:pt idx="138">
                  <c:v>51</c:v>
                </c:pt>
                <c:pt idx="139">
                  <c:v>50.5</c:v>
                </c:pt>
                <c:pt idx="140">
                  <c:v>50</c:v>
                </c:pt>
                <c:pt idx="141">
                  <c:v>49.5</c:v>
                </c:pt>
                <c:pt idx="142">
                  <c:v>49</c:v>
                </c:pt>
                <c:pt idx="143">
                  <c:v>48.5</c:v>
                </c:pt>
                <c:pt idx="145">
                  <c:v>48</c:v>
                </c:pt>
                <c:pt idx="146">
                  <c:v>47.5</c:v>
                </c:pt>
                <c:pt idx="147">
                  <c:v>47</c:v>
                </c:pt>
                <c:pt idx="148">
                  <c:v>46.5</c:v>
                </c:pt>
                <c:pt idx="149">
                  <c:v>46</c:v>
                </c:pt>
                <c:pt idx="150">
                  <c:v>45.5</c:v>
                </c:pt>
                <c:pt idx="151">
                  <c:v>45</c:v>
                </c:pt>
                <c:pt idx="152">
                  <c:v>44.5</c:v>
                </c:pt>
                <c:pt idx="153">
                  <c:v>44</c:v>
                </c:pt>
                <c:pt idx="154">
                  <c:v>43.5</c:v>
                </c:pt>
                <c:pt idx="155">
                  <c:v>43</c:v>
                </c:pt>
                <c:pt idx="156">
                  <c:v>42.5</c:v>
                </c:pt>
                <c:pt idx="157">
                  <c:v>42</c:v>
                </c:pt>
                <c:pt idx="158">
                  <c:v>41.5</c:v>
                </c:pt>
                <c:pt idx="159">
                  <c:v>41</c:v>
                </c:pt>
                <c:pt idx="160">
                  <c:v>40.5</c:v>
                </c:pt>
                <c:pt idx="161">
                  <c:v>40</c:v>
                </c:pt>
                <c:pt idx="162">
                  <c:v>39.5</c:v>
                </c:pt>
                <c:pt idx="163">
                  <c:v>39</c:v>
                </c:pt>
                <c:pt idx="164">
                  <c:v>38.5</c:v>
                </c:pt>
                <c:pt idx="165">
                  <c:v>38</c:v>
                </c:pt>
                <c:pt idx="166">
                  <c:v>37.5</c:v>
                </c:pt>
                <c:pt idx="167">
                  <c:v>37</c:v>
                </c:pt>
                <c:pt idx="168">
                  <c:v>36.5</c:v>
                </c:pt>
                <c:pt idx="169">
                  <c:v>36</c:v>
                </c:pt>
                <c:pt idx="170">
                  <c:v>35.5</c:v>
                </c:pt>
                <c:pt idx="171">
                  <c:v>35</c:v>
                </c:pt>
                <c:pt idx="172">
                  <c:v>34.5</c:v>
                </c:pt>
                <c:pt idx="173">
                  <c:v>34</c:v>
                </c:pt>
                <c:pt idx="174">
                  <c:v>33.5</c:v>
                </c:pt>
                <c:pt idx="175">
                  <c:v>33</c:v>
                </c:pt>
                <c:pt idx="176">
                  <c:v>32.5</c:v>
                </c:pt>
                <c:pt idx="177">
                  <c:v>32</c:v>
                </c:pt>
                <c:pt idx="178">
                  <c:v>31.5</c:v>
                </c:pt>
                <c:pt idx="179">
                  <c:v>31</c:v>
                </c:pt>
                <c:pt idx="180">
                  <c:v>30.5</c:v>
                </c:pt>
                <c:pt idx="181">
                  <c:v>30</c:v>
                </c:pt>
                <c:pt idx="182">
                  <c:v>29.5</c:v>
                </c:pt>
                <c:pt idx="183">
                  <c:v>28.999999999999996</c:v>
                </c:pt>
                <c:pt idx="184">
                  <c:v>28.499999999999996</c:v>
                </c:pt>
                <c:pt idx="185">
                  <c:v>28.000000000000004</c:v>
                </c:pt>
                <c:pt idx="186">
                  <c:v>27.500000000000004</c:v>
                </c:pt>
                <c:pt idx="187">
                  <c:v>27</c:v>
                </c:pt>
                <c:pt idx="188">
                  <c:v>26.5</c:v>
                </c:pt>
                <c:pt idx="189">
                  <c:v>26</c:v>
                </c:pt>
                <c:pt idx="190">
                  <c:v>25.5</c:v>
                </c:pt>
                <c:pt idx="191">
                  <c:v>25</c:v>
                </c:pt>
                <c:pt idx="192">
                  <c:v>24.5</c:v>
                </c:pt>
                <c:pt idx="193">
                  <c:v>24</c:v>
                </c:pt>
                <c:pt idx="194">
                  <c:v>23.5</c:v>
                </c:pt>
                <c:pt idx="195">
                  <c:v>23</c:v>
                </c:pt>
                <c:pt idx="196">
                  <c:v>22.5</c:v>
                </c:pt>
                <c:pt idx="197">
                  <c:v>22</c:v>
                </c:pt>
                <c:pt idx="198">
                  <c:v>21.5</c:v>
                </c:pt>
                <c:pt idx="199">
                  <c:v>21</c:v>
                </c:pt>
                <c:pt idx="200">
                  <c:v>20.5</c:v>
                </c:pt>
                <c:pt idx="201">
                  <c:v>20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0F-EBF8-488D-AB9A-490C010A158F}"/>
            </c:ext>
          </c:extLst>
        </c:ser>
        <c:ser>
          <c:idx val="5"/>
          <c:order val="10"/>
          <c:tx>
            <c:strRef>
              <c:f>'HULP-velden'!$AP$16</c:f>
              <c:strCache>
                <c:ptCount val="1"/>
                <c:pt idx="0">
                  <c:v>BPK-Lijn +3</c:v>
                </c:pt>
              </c:strCache>
            </c:strRef>
          </c:tx>
          <c:spPr>
            <a:ln w="38100">
              <a:solidFill>
                <a:schemeClr val="accent2">
                  <a:lumMod val="60000"/>
                  <a:lumOff val="40000"/>
                </a:schemeClr>
              </a:solidFill>
            </a:ln>
          </c:spPr>
          <c:marker>
            <c:symbol val="none"/>
          </c:marker>
          <c:xVal>
            <c:numRef>
              <c:f>'HULP-velden'!$AP$22:$AP$223</c:f>
              <c:numCache>
                <c:formatCode>_(* #,##0.00_);_(* \(#,##0.00\);_(* "-"??_);_(@_)</c:formatCode>
                <c:ptCount val="202"/>
                <c:pt idx="0">
                  <c:v>130</c:v>
                </c:pt>
                <c:pt idx="1">
                  <c:v>129.5</c:v>
                </c:pt>
                <c:pt idx="2">
                  <c:v>129</c:v>
                </c:pt>
                <c:pt idx="3">
                  <c:v>128.5</c:v>
                </c:pt>
                <c:pt idx="4">
                  <c:v>128</c:v>
                </c:pt>
                <c:pt idx="5">
                  <c:v>127.49999999999999</c:v>
                </c:pt>
                <c:pt idx="6">
                  <c:v>127</c:v>
                </c:pt>
                <c:pt idx="7">
                  <c:v>126.49999999999999</c:v>
                </c:pt>
                <c:pt idx="8">
                  <c:v>126</c:v>
                </c:pt>
                <c:pt idx="9">
                  <c:v>125.49999999999999</c:v>
                </c:pt>
                <c:pt idx="10">
                  <c:v>125</c:v>
                </c:pt>
                <c:pt idx="11">
                  <c:v>124.50000000000001</c:v>
                </c:pt>
                <c:pt idx="12">
                  <c:v>124</c:v>
                </c:pt>
                <c:pt idx="13">
                  <c:v>123.50000000000001</c:v>
                </c:pt>
                <c:pt idx="14">
                  <c:v>123</c:v>
                </c:pt>
                <c:pt idx="15">
                  <c:v>122.50000000000001</c:v>
                </c:pt>
                <c:pt idx="16">
                  <c:v>122</c:v>
                </c:pt>
                <c:pt idx="17">
                  <c:v>121.50000000000001</c:v>
                </c:pt>
                <c:pt idx="18">
                  <c:v>121</c:v>
                </c:pt>
                <c:pt idx="19">
                  <c:v>120.5</c:v>
                </c:pt>
                <c:pt idx="20">
                  <c:v>120</c:v>
                </c:pt>
                <c:pt idx="21">
                  <c:v>119.5</c:v>
                </c:pt>
                <c:pt idx="22">
                  <c:v>119</c:v>
                </c:pt>
                <c:pt idx="23">
                  <c:v>118.5</c:v>
                </c:pt>
                <c:pt idx="24">
                  <c:v>118</c:v>
                </c:pt>
                <c:pt idx="25">
                  <c:v>117.5</c:v>
                </c:pt>
                <c:pt idx="26">
                  <c:v>117</c:v>
                </c:pt>
                <c:pt idx="27">
                  <c:v>116.5</c:v>
                </c:pt>
                <c:pt idx="28">
                  <c:v>115.99999999999999</c:v>
                </c:pt>
                <c:pt idx="29">
                  <c:v>115.5</c:v>
                </c:pt>
                <c:pt idx="30">
                  <c:v>114.99999999999999</c:v>
                </c:pt>
                <c:pt idx="31">
                  <c:v>114.5</c:v>
                </c:pt>
                <c:pt idx="32">
                  <c:v>113.99999999999999</c:v>
                </c:pt>
                <c:pt idx="33">
                  <c:v>113.5</c:v>
                </c:pt>
                <c:pt idx="34">
                  <c:v>112.99999999999999</c:v>
                </c:pt>
                <c:pt idx="35">
                  <c:v>112.5</c:v>
                </c:pt>
                <c:pt idx="36">
                  <c:v>112.00000000000001</c:v>
                </c:pt>
                <c:pt idx="37">
                  <c:v>111.5</c:v>
                </c:pt>
                <c:pt idx="38">
                  <c:v>111.00000000000001</c:v>
                </c:pt>
                <c:pt idx="39">
                  <c:v>110.5</c:v>
                </c:pt>
                <c:pt idx="40">
                  <c:v>110.00000000000001</c:v>
                </c:pt>
                <c:pt idx="41">
                  <c:v>109.5</c:v>
                </c:pt>
                <c:pt idx="42">
                  <c:v>109.00000000000001</c:v>
                </c:pt>
                <c:pt idx="43">
                  <c:v>108.5</c:v>
                </c:pt>
                <c:pt idx="44">
                  <c:v>108</c:v>
                </c:pt>
                <c:pt idx="45">
                  <c:v>107.5</c:v>
                </c:pt>
                <c:pt idx="46">
                  <c:v>107</c:v>
                </c:pt>
                <c:pt idx="47">
                  <c:v>106.5</c:v>
                </c:pt>
                <c:pt idx="48">
                  <c:v>106</c:v>
                </c:pt>
                <c:pt idx="49">
                  <c:v>105.5</c:v>
                </c:pt>
                <c:pt idx="50">
                  <c:v>105</c:v>
                </c:pt>
                <c:pt idx="51">
                  <c:v>104.5</c:v>
                </c:pt>
                <c:pt idx="52">
                  <c:v>104</c:v>
                </c:pt>
                <c:pt idx="53">
                  <c:v>103.49999999999999</c:v>
                </c:pt>
                <c:pt idx="54">
                  <c:v>103</c:v>
                </c:pt>
                <c:pt idx="55">
                  <c:v>102.49999999999999</c:v>
                </c:pt>
                <c:pt idx="56">
                  <c:v>102</c:v>
                </c:pt>
                <c:pt idx="57">
                  <c:v>101.49999999999999</c:v>
                </c:pt>
                <c:pt idx="58">
                  <c:v>101</c:v>
                </c:pt>
                <c:pt idx="59">
                  <c:v>100.49999999999999</c:v>
                </c:pt>
                <c:pt idx="60">
                  <c:v>100</c:v>
                </c:pt>
                <c:pt idx="61">
                  <c:v>99.5</c:v>
                </c:pt>
                <c:pt idx="62">
                  <c:v>99</c:v>
                </c:pt>
                <c:pt idx="63">
                  <c:v>98.5</c:v>
                </c:pt>
                <c:pt idx="64">
                  <c:v>98</c:v>
                </c:pt>
                <c:pt idx="65">
                  <c:v>97.5</c:v>
                </c:pt>
                <c:pt idx="66">
                  <c:v>97</c:v>
                </c:pt>
                <c:pt idx="67">
                  <c:v>96.5</c:v>
                </c:pt>
                <c:pt idx="68">
                  <c:v>96</c:v>
                </c:pt>
                <c:pt idx="69">
                  <c:v>95.5</c:v>
                </c:pt>
                <c:pt idx="70">
                  <c:v>95</c:v>
                </c:pt>
                <c:pt idx="71">
                  <c:v>94.5</c:v>
                </c:pt>
                <c:pt idx="72">
                  <c:v>94</c:v>
                </c:pt>
                <c:pt idx="73">
                  <c:v>93.5</c:v>
                </c:pt>
                <c:pt idx="74">
                  <c:v>93</c:v>
                </c:pt>
                <c:pt idx="75">
                  <c:v>92.5</c:v>
                </c:pt>
                <c:pt idx="76">
                  <c:v>92</c:v>
                </c:pt>
                <c:pt idx="77">
                  <c:v>91.5</c:v>
                </c:pt>
                <c:pt idx="78">
                  <c:v>91</c:v>
                </c:pt>
                <c:pt idx="79">
                  <c:v>90.5</c:v>
                </c:pt>
                <c:pt idx="80">
                  <c:v>90</c:v>
                </c:pt>
                <c:pt idx="81">
                  <c:v>89.5</c:v>
                </c:pt>
                <c:pt idx="82">
                  <c:v>89</c:v>
                </c:pt>
                <c:pt idx="83">
                  <c:v>88.5</c:v>
                </c:pt>
                <c:pt idx="84">
                  <c:v>88</c:v>
                </c:pt>
                <c:pt idx="85">
                  <c:v>87.5</c:v>
                </c:pt>
                <c:pt idx="86">
                  <c:v>87</c:v>
                </c:pt>
                <c:pt idx="87">
                  <c:v>86.5</c:v>
                </c:pt>
                <c:pt idx="88">
                  <c:v>86</c:v>
                </c:pt>
                <c:pt idx="89">
                  <c:v>85.5</c:v>
                </c:pt>
                <c:pt idx="90">
                  <c:v>85</c:v>
                </c:pt>
                <c:pt idx="91">
                  <c:v>84.5</c:v>
                </c:pt>
                <c:pt idx="92">
                  <c:v>84</c:v>
                </c:pt>
                <c:pt idx="93">
                  <c:v>83.5</c:v>
                </c:pt>
                <c:pt idx="94">
                  <c:v>83</c:v>
                </c:pt>
                <c:pt idx="95">
                  <c:v>82.5</c:v>
                </c:pt>
                <c:pt idx="96">
                  <c:v>82</c:v>
                </c:pt>
                <c:pt idx="97">
                  <c:v>81.5</c:v>
                </c:pt>
                <c:pt idx="98">
                  <c:v>81</c:v>
                </c:pt>
                <c:pt idx="99">
                  <c:v>80.5</c:v>
                </c:pt>
                <c:pt idx="100">
                  <c:v>80</c:v>
                </c:pt>
                <c:pt idx="101">
                  <c:v>79.5</c:v>
                </c:pt>
                <c:pt idx="102">
                  <c:v>79</c:v>
                </c:pt>
                <c:pt idx="103">
                  <c:v>78.5</c:v>
                </c:pt>
                <c:pt idx="104">
                  <c:v>78</c:v>
                </c:pt>
                <c:pt idx="105">
                  <c:v>77.5</c:v>
                </c:pt>
                <c:pt idx="106">
                  <c:v>77</c:v>
                </c:pt>
                <c:pt idx="107">
                  <c:v>76.5</c:v>
                </c:pt>
                <c:pt idx="108">
                  <c:v>76</c:v>
                </c:pt>
                <c:pt idx="109">
                  <c:v>75.5</c:v>
                </c:pt>
                <c:pt idx="110">
                  <c:v>75</c:v>
                </c:pt>
                <c:pt idx="111">
                  <c:v>74.5</c:v>
                </c:pt>
                <c:pt idx="112">
                  <c:v>74</c:v>
                </c:pt>
                <c:pt idx="113">
                  <c:v>73.5</c:v>
                </c:pt>
                <c:pt idx="114">
                  <c:v>73</c:v>
                </c:pt>
                <c:pt idx="115">
                  <c:v>72.5</c:v>
                </c:pt>
                <c:pt idx="116">
                  <c:v>72</c:v>
                </c:pt>
                <c:pt idx="117">
                  <c:v>71.5</c:v>
                </c:pt>
                <c:pt idx="118">
                  <c:v>71</c:v>
                </c:pt>
                <c:pt idx="119">
                  <c:v>70.5</c:v>
                </c:pt>
                <c:pt idx="120">
                  <c:v>70</c:v>
                </c:pt>
                <c:pt idx="121">
                  <c:v>69.5</c:v>
                </c:pt>
                <c:pt idx="122">
                  <c:v>69</c:v>
                </c:pt>
                <c:pt idx="123">
                  <c:v>68.5</c:v>
                </c:pt>
                <c:pt idx="124">
                  <c:v>68</c:v>
                </c:pt>
                <c:pt idx="125">
                  <c:v>67.5</c:v>
                </c:pt>
                <c:pt idx="126">
                  <c:v>67</c:v>
                </c:pt>
                <c:pt idx="127">
                  <c:v>66.5</c:v>
                </c:pt>
                <c:pt idx="128">
                  <c:v>66</c:v>
                </c:pt>
                <c:pt idx="129">
                  <c:v>65.5</c:v>
                </c:pt>
                <c:pt idx="130">
                  <c:v>65</c:v>
                </c:pt>
                <c:pt idx="131">
                  <c:v>64.5</c:v>
                </c:pt>
                <c:pt idx="132">
                  <c:v>64</c:v>
                </c:pt>
                <c:pt idx="133">
                  <c:v>63.5</c:v>
                </c:pt>
                <c:pt idx="134">
                  <c:v>63</c:v>
                </c:pt>
                <c:pt idx="135">
                  <c:v>62.5</c:v>
                </c:pt>
                <c:pt idx="136">
                  <c:v>62</c:v>
                </c:pt>
                <c:pt idx="137">
                  <c:v>61.5</c:v>
                </c:pt>
                <c:pt idx="138">
                  <c:v>61</c:v>
                </c:pt>
                <c:pt idx="139">
                  <c:v>60.5</c:v>
                </c:pt>
                <c:pt idx="140">
                  <c:v>60</c:v>
                </c:pt>
                <c:pt idx="141">
                  <c:v>59.5</c:v>
                </c:pt>
                <c:pt idx="142">
                  <c:v>59</c:v>
                </c:pt>
                <c:pt idx="143">
                  <c:v>58.5</c:v>
                </c:pt>
                <c:pt idx="145">
                  <c:v>57.999999999999993</c:v>
                </c:pt>
                <c:pt idx="146">
                  <c:v>57.499999999999993</c:v>
                </c:pt>
                <c:pt idx="147">
                  <c:v>56.999999999999993</c:v>
                </c:pt>
                <c:pt idx="148">
                  <c:v>56.499999999999993</c:v>
                </c:pt>
                <c:pt idx="149">
                  <c:v>56.000000000000007</c:v>
                </c:pt>
                <c:pt idx="150">
                  <c:v>55.500000000000007</c:v>
                </c:pt>
                <c:pt idx="151">
                  <c:v>55.000000000000007</c:v>
                </c:pt>
                <c:pt idx="152">
                  <c:v>54.500000000000007</c:v>
                </c:pt>
                <c:pt idx="153">
                  <c:v>54</c:v>
                </c:pt>
                <c:pt idx="154">
                  <c:v>53.5</c:v>
                </c:pt>
                <c:pt idx="155">
                  <c:v>53</c:v>
                </c:pt>
                <c:pt idx="156">
                  <c:v>52.5</c:v>
                </c:pt>
                <c:pt idx="157">
                  <c:v>52</c:v>
                </c:pt>
                <c:pt idx="158">
                  <c:v>51.5</c:v>
                </c:pt>
                <c:pt idx="159">
                  <c:v>51</c:v>
                </c:pt>
                <c:pt idx="160">
                  <c:v>50.5</c:v>
                </c:pt>
                <c:pt idx="161">
                  <c:v>50</c:v>
                </c:pt>
                <c:pt idx="162">
                  <c:v>49.5</c:v>
                </c:pt>
                <c:pt idx="163">
                  <c:v>49</c:v>
                </c:pt>
                <c:pt idx="164">
                  <c:v>48.5</c:v>
                </c:pt>
                <c:pt idx="165">
                  <c:v>48</c:v>
                </c:pt>
                <c:pt idx="166">
                  <c:v>47.5</c:v>
                </c:pt>
                <c:pt idx="167">
                  <c:v>47</c:v>
                </c:pt>
                <c:pt idx="168">
                  <c:v>46.5</c:v>
                </c:pt>
                <c:pt idx="169">
                  <c:v>46</c:v>
                </c:pt>
                <c:pt idx="170">
                  <c:v>45.5</c:v>
                </c:pt>
                <c:pt idx="171">
                  <c:v>45</c:v>
                </c:pt>
                <c:pt idx="172">
                  <c:v>44.5</c:v>
                </c:pt>
                <c:pt idx="173">
                  <c:v>44</c:v>
                </c:pt>
                <c:pt idx="174">
                  <c:v>43.5</c:v>
                </c:pt>
                <c:pt idx="175">
                  <c:v>43</c:v>
                </c:pt>
                <c:pt idx="176">
                  <c:v>42.5</c:v>
                </c:pt>
                <c:pt idx="177">
                  <c:v>42</c:v>
                </c:pt>
                <c:pt idx="178">
                  <c:v>41.5</c:v>
                </c:pt>
                <c:pt idx="179">
                  <c:v>41</c:v>
                </c:pt>
                <c:pt idx="180">
                  <c:v>40.5</c:v>
                </c:pt>
                <c:pt idx="181">
                  <c:v>40</c:v>
                </c:pt>
                <c:pt idx="182">
                  <c:v>39.5</c:v>
                </c:pt>
                <c:pt idx="183">
                  <c:v>39</c:v>
                </c:pt>
                <c:pt idx="184">
                  <c:v>38.5</c:v>
                </c:pt>
                <c:pt idx="185">
                  <c:v>38</c:v>
                </c:pt>
                <c:pt idx="186">
                  <c:v>37.5</c:v>
                </c:pt>
                <c:pt idx="187">
                  <c:v>37</c:v>
                </c:pt>
                <c:pt idx="188">
                  <c:v>36.5</c:v>
                </c:pt>
                <c:pt idx="189">
                  <c:v>36</c:v>
                </c:pt>
                <c:pt idx="190">
                  <c:v>35.5</c:v>
                </c:pt>
                <c:pt idx="191">
                  <c:v>35</c:v>
                </c:pt>
                <c:pt idx="192">
                  <c:v>34.5</c:v>
                </c:pt>
                <c:pt idx="193">
                  <c:v>34</c:v>
                </c:pt>
                <c:pt idx="194">
                  <c:v>33.5</c:v>
                </c:pt>
                <c:pt idx="195">
                  <c:v>33</c:v>
                </c:pt>
                <c:pt idx="196">
                  <c:v>32.5</c:v>
                </c:pt>
                <c:pt idx="197">
                  <c:v>32</c:v>
                </c:pt>
                <c:pt idx="198">
                  <c:v>31.5</c:v>
                </c:pt>
                <c:pt idx="199">
                  <c:v>31</c:v>
                </c:pt>
                <c:pt idx="200">
                  <c:v>30.5</c:v>
                </c:pt>
                <c:pt idx="201">
                  <c:v>30</c:v>
                </c:pt>
              </c:numCache>
            </c:numRef>
          </c:xVal>
          <c:yVal>
            <c:numRef>
              <c:f>'HULP-velden'!$AE$22:$AE$223</c:f>
              <c:numCache>
                <c:formatCode>_("€"* #,##0.00_);_("€"* \(#,##0.00\);_("€"* "-"??_);_(@_)</c:formatCode>
                <c:ptCount val="202"/>
                <c:pt idx="0">
                  <c:v>500000</c:v>
                </c:pt>
                <c:pt idx="1">
                  <c:v>499000</c:v>
                </c:pt>
                <c:pt idx="2">
                  <c:v>498000</c:v>
                </c:pt>
                <c:pt idx="3">
                  <c:v>497000</c:v>
                </c:pt>
                <c:pt idx="4">
                  <c:v>496000</c:v>
                </c:pt>
                <c:pt idx="5">
                  <c:v>495000</c:v>
                </c:pt>
                <c:pt idx="6">
                  <c:v>494000</c:v>
                </c:pt>
                <c:pt idx="7">
                  <c:v>493000</c:v>
                </c:pt>
                <c:pt idx="8">
                  <c:v>492000</c:v>
                </c:pt>
                <c:pt idx="9">
                  <c:v>491000</c:v>
                </c:pt>
                <c:pt idx="10">
                  <c:v>490000</c:v>
                </c:pt>
                <c:pt idx="11">
                  <c:v>489000</c:v>
                </c:pt>
                <c:pt idx="12">
                  <c:v>488000</c:v>
                </c:pt>
                <c:pt idx="13">
                  <c:v>487000</c:v>
                </c:pt>
                <c:pt idx="14">
                  <c:v>486000</c:v>
                </c:pt>
                <c:pt idx="15">
                  <c:v>485000</c:v>
                </c:pt>
                <c:pt idx="16">
                  <c:v>484000</c:v>
                </c:pt>
                <c:pt idx="17">
                  <c:v>483000</c:v>
                </c:pt>
                <c:pt idx="18">
                  <c:v>482000</c:v>
                </c:pt>
                <c:pt idx="19">
                  <c:v>481000</c:v>
                </c:pt>
                <c:pt idx="20">
                  <c:v>480000</c:v>
                </c:pt>
                <c:pt idx="21">
                  <c:v>479000</c:v>
                </c:pt>
                <c:pt idx="22">
                  <c:v>478000</c:v>
                </c:pt>
                <c:pt idx="23">
                  <c:v>477000</c:v>
                </c:pt>
                <c:pt idx="24">
                  <c:v>476000</c:v>
                </c:pt>
                <c:pt idx="25">
                  <c:v>475000</c:v>
                </c:pt>
                <c:pt idx="26">
                  <c:v>474000</c:v>
                </c:pt>
                <c:pt idx="27">
                  <c:v>473000</c:v>
                </c:pt>
                <c:pt idx="28">
                  <c:v>472000</c:v>
                </c:pt>
                <c:pt idx="29">
                  <c:v>471000</c:v>
                </c:pt>
                <c:pt idx="30">
                  <c:v>470000</c:v>
                </c:pt>
                <c:pt idx="31">
                  <c:v>469000</c:v>
                </c:pt>
                <c:pt idx="32">
                  <c:v>468000</c:v>
                </c:pt>
                <c:pt idx="33">
                  <c:v>467000</c:v>
                </c:pt>
                <c:pt idx="34">
                  <c:v>466000</c:v>
                </c:pt>
                <c:pt idx="35">
                  <c:v>465000</c:v>
                </c:pt>
                <c:pt idx="36">
                  <c:v>464000</c:v>
                </c:pt>
                <c:pt idx="37">
                  <c:v>463000</c:v>
                </c:pt>
                <c:pt idx="38">
                  <c:v>462000</c:v>
                </c:pt>
                <c:pt idx="39">
                  <c:v>461000</c:v>
                </c:pt>
                <c:pt idx="40">
                  <c:v>460000</c:v>
                </c:pt>
                <c:pt idx="41">
                  <c:v>459000</c:v>
                </c:pt>
                <c:pt idx="42">
                  <c:v>458000</c:v>
                </c:pt>
                <c:pt idx="43">
                  <c:v>457000</c:v>
                </c:pt>
                <c:pt idx="44">
                  <c:v>456000</c:v>
                </c:pt>
                <c:pt idx="45">
                  <c:v>455000</c:v>
                </c:pt>
                <c:pt idx="46">
                  <c:v>454000</c:v>
                </c:pt>
                <c:pt idx="47">
                  <c:v>453000</c:v>
                </c:pt>
                <c:pt idx="48">
                  <c:v>452000</c:v>
                </c:pt>
                <c:pt idx="49">
                  <c:v>451000</c:v>
                </c:pt>
                <c:pt idx="50">
                  <c:v>450000</c:v>
                </c:pt>
                <c:pt idx="51">
                  <c:v>449000</c:v>
                </c:pt>
                <c:pt idx="52">
                  <c:v>448000</c:v>
                </c:pt>
                <c:pt idx="53">
                  <c:v>447000</c:v>
                </c:pt>
                <c:pt idx="54">
                  <c:v>446000</c:v>
                </c:pt>
                <c:pt idx="55">
                  <c:v>445000</c:v>
                </c:pt>
                <c:pt idx="56">
                  <c:v>444000</c:v>
                </c:pt>
                <c:pt idx="57">
                  <c:v>443000</c:v>
                </c:pt>
                <c:pt idx="58">
                  <c:v>442000</c:v>
                </c:pt>
                <c:pt idx="59">
                  <c:v>441000</c:v>
                </c:pt>
                <c:pt idx="60">
                  <c:v>440000</c:v>
                </c:pt>
                <c:pt idx="61">
                  <c:v>439000</c:v>
                </c:pt>
                <c:pt idx="62">
                  <c:v>438000</c:v>
                </c:pt>
                <c:pt idx="63">
                  <c:v>437000</c:v>
                </c:pt>
                <c:pt idx="64">
                  <c:v>436000</c:v>
                </c:pt>
                <c:pt idx="65">
                  <c:v>435000</c:v>
                </c:pt>
                <c:pt idx="66">
                  <c:v>434000</c:v>
                </c:pt>
                <c:pt idx="67">
                  <c:v>433000</c:v>
                </c:pt>
                <c:pt idx="68">
                  <c:v>432000</c:v>
                </c:pt>
                <c:pt idx="69">
                  <c:v>431000</c:v>
                </c:pt>
                <c:pt idx="70">
                  <c:v>430000</c:v>
                </c:pt>
                <c:pt idx="71">
                  <c:v>429000</c:v>
                </c:pt>
                <c:pt idx="72">
                  <c:v>428000</c:v>
                </c:pt>
                <c:pt idx="73">
                  <c:v>427000</c:v>
                </c:pt>
                <c:pt idx="74">
                  <c:v>426000</c:v>
                </c:pt>
                <c:pt idx="75">
                  <c:v>425000</c:v>
                </c:pt>
                <c:pt idx="76">
                  <c:v>424000</c:v>
                </c:pt>
                <c:pt idx="77">
                  <c:v>423000</c:v>
                </c:pt>
                <c:pt idx="78">
                  <c:v>422000</c:v>
                </c:pt>
                <c:pt idx="79">
                  <c:v>421000</c:v>
                </c:pt>
                <c:pt idx="80">
                  <c:v>420000</c:v>
                </c:pt>
                <c:pt idx="81">
                  <c:v>419000</c:v>
                </c:pt>
                <c:pt idx="82">
                  <c:v>418000</c:v>
                </c:pt>
                <c:pt idx="83">
                  <c:v>417000</c:v>
                </c:pt>
                <c:pt idx="84">
                  <c:v>416000</c:v>
                </c:pt>
                <c:pt idx="85">
                  <c:v>415000</c:v>
                </c:pt>
                <c:pt idx="86">
                  <c:v>414000</c:v>
                </c:pt>
                <c:pt idx="87">
                  <c:v>413000</c:v>
                </c:pt>
                <c:pt idx="88">
                  <c:v>412000</c:v>
                </c:pt>
                <c:pt idx="89">
                  <c:v>411000</c:v>
                </c:pt>
                <c:pt idx="90">
                  <c:v>410000</c:v>
                </c:pt>
                <c:pt idx="91">
                  <c:v>409000</c:v>
                </c:pt>
                <c:pt idx="92">
                  <c:v>408000</c:v>
                </c:pt>
                <c:pt idx="93">
                  <c:v>407000</c:v>
                </c:pt>
                <c:pt idx="94">
                  <c:v>406000</c:v>
                </c:pt>
                <c:pt idx="95">
                  <c:v>405000</c:v>
                </c:pt>
                <c:pt idx="96">
                  <c:v>404000</c:v>
                </c:pt>
                <c:pt idx="97">
                  <c:v>403000</c:v>
                </c:pt>
                <c:pt idx="98">
                  <c:v>402000</c:v>
                </c:pt>
                <c:pt idx="99">
                  <c:v>401000</c:v>
                </c:pt>
                <c:pt idx="100">
                  <c:v>400000</c:v>
                </c:pt>
                <c:pt idx="101">
                  <c:v>399000</c:v>
                </c:pt>
                <c:pt idx="102">
                  <c:v>398000</c:v>
                </c:pt>
                <c:pt idx="103">
                  <c:v>397000</c:v>
                </c:pt>
                <c:pt idx="104">
                  <c:v>396000</c:v>
                </c:pt>
                <c:pt idx="105">
                  <c:v>395000</c:v>
                </c:pt>
                <c:pt idx="106">
                  <c:v>394000</c:v>
                </c:pt>
                <c:pt idx="107">
                  <c:v>393000</c:v>
                </c:pt>
                <c:pt idx="108">
                  <c:v>392000</c:v>
                </c:pt>
                <c:pt idx="109">
                  <c:v>391000</c:v>
                </c:pt>
                <c:pt idx="110">
                  <c:v>390000</c:v>
                </c:pt>
                <c:pt idx="111">
                  <c:v>389000</c:v>
                </c:pt>
                <c:pt idx="112">
                  <c:v>388000</c:v>
                </c:pt>
                <c:pt idx="113">
                  <c:v>387000</c:v>
                </c:pt>
                <c:pt idx="114">
                  <c:v>386000</c:v>
                </c:pt>
                <c:pt idx="115">
                  <c:v>385000</c:v>
                </c:pt>
                <c:pt idx="116">
                  <c:v>384000</c:v>
                </c:pt>
                <c:pt idx="117">
                  <c:v>383000</c:v>
                </c:pt>
                <c:pt idx="118">
                  <c:v>382000</c:v>
                </c:pt>
                <c:pt idx="119">
                  <c:v>381000</c:v>
                </c:pt>
                <c:pt idx="120">
                  <c:v>380000</c:v>
                </c:pt>
                <c:pt idx="121">
                  <c:v>379000</c:v>
                </c:pt>
                <c:pt idx="122">
                  <c:v>378000</c:v>
                </c:pt>
                <c:pt idx="123">
                  <c:v>377000</c:v>
                </c:pt>
                <c:pt idx="124">
                  <c:v>376000</c:v>
                </c:pt>
                <c:pt idx="125">
                  <c:v>375000</c:v>
                </c:pt>
                <c:pt idx="126">
                  <c:v>374000</c:v>
                </c:pt>
                <c:pt idx="127">
                  <c:v>373000</c:v>
                </c:pt>
                <c:pt idx="128">
                  <c:v>372000</c:v>
                </c:pt>
                <c:pt idx="129">
                  <c:v>371000</c:v>
                </c:pt>
                <c:pt idx="130">
                  <c:v>370000</c:v>
                </c:pt>
                <c:pt idx="131">
                  <c:v>369000</c:v>
                </c:pt>
                <c:pt idx="132">
                  <c:v>368000</c:v>
                </c:pt>
                <c:pt idx="133">
                  <c:v>367000</c:v>
                </c:pt>
                <c:pt idx="134">
                  <c:v>366000</c:v>
                </c:pt>
                <c:pt idx="135">
                  <c:v>365000</c:v>
                </c:pt>
                <c:pt idx="136">
                  <c:v>364000</c:v>
                </c:pt>
                <c:pt idx="137">
                  <c:v>363000</c:v>
                </c:pt>
                <c:pt idx="138">
                  <c:v>362000</c:v>
                </c:pt>
                <c:pt idx="139">
                  <c:v>361000</c:v>
                </c:pt>
                <c:pt idx="140">
                  <c:v>360000</c:v>
                </c:pt>
                <c:pt idx="141">
                  <c:v>359000</c:v>
                </c:pt>
                <c:pt idx="142">
                  <c:v>358000</c:v>
                </c:pt>
                <c:pt idx="143">
                  <c:v>357000</c:v>
                </c:pt>
                <c:pt idx="145">
                  <c:v>356000</c:v>
                </c:pt>
                <c:pt idx="146">
                  <c:v>355000</c:v>
                </c:pt>
                <c:pt idx="147">
                  <c:v>354000</c:v>
                </c:pt>
                <c:pt idx="148">
                  <c:v>353000</c:v>
                </c:pt>
                <c:pt idx="149">
                  <c:v>352000</c:v>
                </c:pt>
                <c:pt idx="150">
                  <c:v>351000</c:v>
                </c:pt>
                <c:pt idx="151">
                  <c:v>350000</c:v>
                </c:pt>
                <c:pt idx="152">
                  <c:v>349000</c:v>
                </c:pt>
                <c:pt idx="153">
                  <c:v>348000</c:v>
                </c:pt>
                <c:pt idx="154">
                  <c:v>347000</c:v>
                </c:pt>
                <c:pt idx="155">
                  <c:v>346000</c:v>
                </c:pt>
                <c:pt idx="156">
                  <c:v>345000</c:v>
                </c:pt>
                <c:pt idx="157">
                  <c:v>344000</c:v>
                </c:pt>
                <c:pt idx="158">
                  <c:v>343000</c:v>
                </c:pt>
                <c:pt idx="159">
                  <c:v>342000</c:v>
                </c:pt>
                <c:pt idx="160">
                  <c:v>341000</c:v>
                </c:pt>
                <c:pt idx="161">
                  <c:v>340000</c:v>
                </c:pt>
                <c:pt idx="162">
                  <c:v>339000</c:v>
                </c:pt>
                <c:pt idx="163">
                  <c:v>338000</c:v>
                </c:pt>
                <c:pt idx="164">
                  <c:v>337000</c:v>
                </c:pt>
                <c:pt idx="165">
                  <c:v>336000</c:v>
                </c:pt>
                <c:pt idx="166">
                  <c:v>335000</c:v>
                </c:pt>
                <c:pt idx="167">
                  <c:v>334000</c:v>
                </c:pt>
                <c:pt idx="168">
                  <c:v>333000</c:v>
                </c:pt>
                <c:pt idx="169">
                  <c:v>332000</c:v>
                </c:pt>
                <c:pt idx="170">
                  <c:v>331000</c:v>
                </c:pt>
                <c:pt idx="171">
                  <c:v>330000</c:v>
                </c:pt>
                <c:pt idx="172">
                  <c:v>329000</c:v>
                </c:pt>
                <c:pt idx="173">
                  <c:v>328000</c:v>
                </c:pt>
                <c:pt idx="174">
                  <c:v>327000</c:v>
                </c:pt>
                <c:pt idx="175">
                  <c:v>326000</c:v>
                </c:pt>
                <c:pt idx="176">
                  <c:v>325000</c:v>
                </c:pt>
                <c:pt idx="177">
                  <c:v>324000</c:v>
                </c:pt>
                <c:pt idx="178">
                  <c:v>323000</c:v>
                </c:pt>
                <c:pt idx="179">
                  <c:v>322000</c:v>
                </c:pt>
                <c:pt idx="180">
                  <c:v>321000</c:v>
                </c:pt>
                <c:pt idx="181">
                  <c:v>320000</c:v>
                </c:pt>
                <c:pt idx="182">
                  <c:v>319000</c:v>
                </c:pt>
                <c:pt idx="183">
                  <c:v>318000</c:v>
                </c:pt>
                <c:pt idx="184">
                  <c:v>317000</c:v>
                </c:pt>
                <c:pt idx="185">
                  <c:v>316000</c:v>
                </c:pt>
                <c:pt idx="186">
                  <c:v>315000</c:v>
                </c:pt>
                <c:pt idx="187">
                  <c:v>314000</c:v>
                </c:pt>
                <c:pt idx="188">
                  <c:v>313000</c:v>
                </c:pt>
                <c:pt idx="189">
                  <c:v>312000</c:v>
                </c:pt>
                <c:pt idx="190">
                  <c:v>311000</c:v>
                </c:pt>
                <c:pt idx="191">
                  <c:v>310000</c:v>
                </c:pt>
                <c:pt idx="192">
                  <c:v>309000</c:v>
                </c:pt>
                <c:pt idx="193">
                  <c:v>308000</c:v>
                </c:pt>
                <c:pt idx="194">
                  <c:v>307000</c:v>
                </c:pt>
                <c:pt idx="195">
                  <c:v>306000</c:v>
                </c:pt>
                <c:pt idx="196">
                  <c:v>305000</c:v>
                </c:pt>
                <c:pt idx="197">
                  <c:v>304000</c:v>
                </c:pt>
                <c:pt idx="198">
                  <c:v>303000</c:v>
                </c:pt>
                <c:pt idx="199">
                  <c:v>302000</c:v>
                </c:pt>
                <c:pt idx="200">
                  <c:v>301000</c:v>
                </c:pt>
                <c:pt idx="201">
                  <c:v>300000</c:v>
                </c:pt>
              </c:numCache>
            </c:numRef>
          </c:yVal>
          <c:smooth val="1"/>
          <c:extLst>
            <c:ext xmlns:c16="http://schemas.microsoft.com/office/drawing/2014/chart" uri="{C3380CC4-5D6E-409C-BE32-E72D297353CC}">
              <c16:uniqueId val="{00000010-EBF8-488D-AB9A-490C010A158F}"/>
            </c:ext>
          </c:extLst>
        </c:ser>
        <c:ser>
          <c:idx val="13"/>
          <c:order val="11"/>
          <c:tx>
            <c:v>Qknockout</c:v>
          </c:tx>
          <c:spPr>
            <a:ln w="38100">
              <a:solidFill>
                <a:srgbClr val="FF0000"/>
              </a:solidFill>
              <a:prstDash val="sysDash"/>
            </a:ln>
          </c:spPr>
          <c:marker>
            <c:symbol val="none"/>
          </c:marker>
          <c:xVal>
            <c:numRef>
              <c:f>'HULP-velden'!$C$26:$D$26</c:f>
              <c:numCache>
                <c:formatCode>General</c:formatCode>
                <c:ptCount val="2"/>
                <c:pt idx="0">
                  <c:v>-1000</c:v>
                </c:pt>
                <c:pt idx="1">
                  <c:v>-1000</c:v>
                </c:pt>
              </c:numCache>
            </c:numRef>
          </c:xVal>
          <c:yVal>
            <c:numRef>
              <c:f>'HULP-velden'!$C$21:$D$21</c:f>
              <c:numCache>
                <c:formatCode>"€"\ #,##0.00</c:formatCode>
                <c:ptCount val="2"/>
                <c:pt idx="0">
                  <c:v>0</c:v>
                </c:pt>
                <c:pt idx="1">
                  <c:v>520000</c:v>
                </c:pt>
              </c:numCache>
            </c:numRef>
          </c:yVal>
          <c:smooth val="0"/>
          <c:extLst>
            <c:ext xmlns:c16="http://schemas.microsoft.com/office/drawing/2014/chart" uri="{C3380CC4-5D6E-409C-BE32-E72D297353CC}">
              <c16:uniqueId val="{00000011-EBF8-488D-AB9A-490C010A158F}"/>
            </c:ext>
          </c:extLst>
        </c:ser>
        <c:ser>
          <c:idx val="2"/>
          <c:order val="13"/>
          <c:tx>
            <c:v>Punten bij Qmin</c:v>
          </c:tx>
          <c:marker>
            <c:symbol val="none"/>
          </c:marker>
          <c:dLbls>
            <c:dLbl>
              <c:idx val="0"/>
              <c:layout>
                <c:manualLayout>
                  <c:x val="-3.2012513455872173E-2"/>
                  <c:y val="5.7777325191880766E-2"/>
                </c:manualLayout>
              </c:layout>
              <c:showLegendKey val="0"/>
              <c:showVal val="0"/>
              <c:showCatName val="1"/>
              <c:showSerName val="0"/>
              <c:showPercent val="0"/>
              <c:showBubbleSize val="0"/>
              <c:extLst>
                <c:ext xmlns:c15="http://schemas.microsoft.com/office/drawing/2012/chart" uri="{CE6537A1-D6FC-4f65-9D91-7224C49458BB}">
                  <c15:layout>
                    <c:manualLayout>
                      <c:w val="3.1525923969887591E-2"/>
                      <c:h val="3.8707077228397918E-2"/>
                    </c:manualLayout>
                  </c15:layout>
                </c:ext>
                <c:ext xmlns:c16="http://schemas.microsoft.com/office/drawing/2014/chart" uri="{C3380CC4-5D6E-409C-BE32-E72D297353CC}">
                  <c16:uniqueId val="{00000012-EBF8-488D-AB9A-490C010A158F}"/>
                </c:ext>
              </c:extLst>
            </c:dLbl>
            <c:spPr>
              <a:noFill/>
              <a:ln>
                <a:noFill/>
              </a:ln>
              <a:effectLst/>
            </c:spPr>
            <c:txPr>
              <a:bodyPr wrap="square" lIns="38100" tIns="19050" rIns="38100" bIns="19050" anchor="ctr">
                <a:spAutoFit/>
              </a:bodyPr>
              <a:lstStyle/>
              <a:p>
                <a:pPr>
                  <a:defRPr sz="800" b="1"/>
                </a:pPr>
                <a:endParaRPr lang="nl-NL"/>
              </a:p>
            </c:txPr>
            <c:showLegendKey val="0"/>
            <c:showVal val="0"/>
            <c:showCatName val="1"/>
            <c:showSerName val="0"/>
            <c:showPercent val="0"/>
            <c:showBubbleSize val="0"/>
            <c:showLeaderLines val="0"/>
            <c:extLst>
              <c:ext xmlns:c15="http://schemas.microsoft.com/office/drawing/2012/chart" uri="{CE6537A1-D6FC-4f65-9D91-7224C49458BB}">
                <c15:showLeaderLines val="0"/>
              </c:ext>
            </c:extLst>
          </c:dLbls>
          <c:xVal>
            <c:numRef>
              <c:f>'HULP-velden'!$C$28</c:f>
              <c:numCache>
                <c:formatCode>General</c:formatCode>
                <c:ptCount val="1"/>
                <c:pt idx="0">
                  <c:v>0</c:v>
                </c:pt>
              </c:numCache>
            </c:numRef>
          </c:xVal>
          <c:yVal>
            <c:numRef>
              <c:f>'HULP-velden'!$D$104</c:f>
              <c:numCache>
                <c:formatCode>_("€"* #,##0.00_);_("€"* \(#,##0.00\);_("€"* "-"??_);_(@_)</c:formatCode>
                <c:ptCount val="1"/>
                <c:pt idx="0">
                  <c:v>280000</c:v>
                </c:pt>
              </c:numCache>
            </c:numRef>
          </c:yVal>
          <c:smooth val="0"/>
          <c:extLst>
            <c:ext xmlns:c16="http://schemas.microsoft.com/office/drawing/2014/chart" uri="{C3380CC4-5D6E-409C-BE32-E72D297353CC}">
              <c16:uniqueId val="{00000013-EBF8-488D-AB9A-490C010A158F}"/>
            </c:ext>
          </c:extLst>
        </c:ser>
        <c:ser>
          <c:idx val="3"/>
          <c:order val="14"/>
          <c:tx>
            <c:v>Punten bij Qmax</c:v>
          </c:tx>
          <c:marker>
            <c:symbol val="none"/>
          </c:marker>
          <c:dLbls>
            <c:dLbl>
              <c:idx val="0"/>
              <c:layout>
                <c:manualLayout>
                  <c:x val="-8.2888621530384475E-3"/>
                  <c:y val="5.8365275657442033E-2"/>
                </c:manualLayout>
              </c:layout>
              <c:tx>
                <c:rich>
                  <a:bodyPr wrap="square" lIns="38100" tIns="19050" rIns="38100" bIns="19050" anchor="ctr">
                    <a:spAutoFit/>
                  </a:bodyPr>
                  <a:lstStyle/>
                  <a:p>
                    <a:pPr>
                      <a:defRPr sz="800" b="1"/>
                    </a:pPr>
                    <a:fld id="{BEA46307-11A6-4D28-BED5-9F292FA28CD4}" type="CELLRANGE">
                      <a:rPr lang="en-US"/>
                      <a:pPr>
                        <a:defRPr sz="800" b="1"/>
                      </a:pPr>
                      <a:t>[CELLRANGE]</a:t>
                    </a:fld>
                    <a:endParaRPr lang="nl-NL"/>
                  </a:p>
                </c:rich>
              </c:tx>
              <c:spPr>
                <a:noFill/>
                <a:ln>
                  <a:noFill/>
                </a:ln>
                <a:effectLst/>
              </c:spPr>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EBF8-488D-AB9A-490C010A158F}"/>
                </c:ext>
              </c:extLst>
            </c:dLbl>
            <c:spPr>
              <a:noFill/>
              <a:ln>
                <a:noFill/>
              </a:ln>
              <a:effectLst/>
            </c:spPr>
            <c:txPr>
              <a:bodyPr wrap="square" lIns="38100" tIns="19050" rIns="38100" bIns="19050" anchor="ctr">
                <a:spAutoFit/>
              </a:bodyPr>
              <a:lstStyle/>
              <a:p>
                <a:pPr>
                  <a:defRPr sz="800"/>
                </a:pPr>
                <a:endParaRPr lang="nl-NL"/>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'HULP-velden'!$C$20</c:f>
              <c:numCache>
                <c:formatCode>#,##0</c:formatCode>
                <c:ptCount val="1"/>
                <c:pt idx="0">
                  <c:v>100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'HULP-velden'!$C$6</c15:f>
                <c15:dlblRangeCache>
                  <c:ptCount val="1"/>
                  <c:pt idx="0">
                    <c:v>500</c:v>
                  </c:pt>
                </c15:dlblRangeCache>
              </c15:datalabelsRange>
            </c:ext>
            <c:ext xmlns:c16="http://schemas.microsoft.com/office/drawing/2014/chart" uri="{C3380CC4-5D6E-409C-BE32-E72D297353CC}">
              <c16:uniqueId val="{00000015-EBF8-488D-AB9A-490C010A158F}"/>
            </c:ext>
          </c:extLst>
        </c:ser>
        <c:ser>
          <c:idx val="18"/>
          <c:order val="15"/>
          <c:tx>
            <c:v>LAQ</c:v>
          </c:tx>
          <c:marker>
            <c:symbol val="none"/>
          </c:marker>
          <c:dLbls>
            <c:dLbl>
              <c:idx val="0"/>
              <c:layout>
                <c:manualLayout>
                  <c:x val="-7.4500970568115124E-2"/>
                  <c:y val="5.2472228063159078E-2"/>
                </c:manualLayout>
              </c:layout>
              <c:tx>
                <c:rich>
                  <a:bodyPr/>
                  <a:lstStyle/>
                  <a:p>
                    <a:fld id="{A6978C08-992A-428C-A439-9A2BD498ED7E}" type="CELLRANGE">
                      <a:rPr lang="en-US"/>
                      <a:pPr/>
                      <a:t>[CELLRANGE]</a:t>
                    </a:fld>
                    <a:endParaRPr lang="nl-NL"/>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EBF8-488D-AB9A-490C010A158F}"/>
                </c:ext>
              </c:extLst>
            </c:dLbl>
            <c:spPr>
              <a:noFill/>
              <a:ln>
                <a:noFill/>
              </a:ln>
              <a:effectLst/>
            </c:spPr>
            <c:txPr>
              <a:bodyPr wrap="square" lIns="38100" tIns="19050" rIns="38100" bIns="19050" anchor="ctr">
                <a:spAutoFit/>
              </a:bodyPr>
              <a:lstStyle/>
              <a:p>
                <a:pPr>
                  <a:defRPr sz="800">
                    <a:solidFill>
                      <a:srgbClr val="FF0000"/>
                    </a:solidFill>
                  </a:defRPr>
                </a:pPr>
                <a:endParaRPr lang="nl-NL"/>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'HULP-velden'!$C$26</c:f>
              <c:numCache>
                <c:formatCode>General</c:formatCode>
                <c:ptCount val="1"/>
                <c:pt idx="0">
                  <c:v>-1000</c:v>
                </c:pt>
              </c:numCache>
            </c:numRef>
          </c:xVal>
          <c:yVal>
            <c:numRef>
              <c:f>'HULP-velden'!$D$104</c:f>
              <c:numCache>
                <c:formatCode>_("€"* #,##0.00_);_("€"* \(#,##0.00\);_("€"* "-"??_);_(@_)</c:formatCode>
                <c:ptCount val="1"/>
                <c:pt idx="0">
                  <c:v>280000</c:v>
                </c:pt>
              </c:numCache>
            </c:numRef>
          </c:yVal>
          <c:smooth val="0"/>
          <c:extLst>
            <c:ext xmlns:c15="http://schemas.microsoft.com/office/drawing/2012/chart" uri="{02D57815-91ED-43cb-92C2-25804820EDAC}">
              <c15:datalabelsRange>
                <c15:f>'HULP-velden'!$G$15</c15:f>
                <c15:dlblRangeCache>
                  <c:ptCount val="1"/>
                  <c:pt idx="0">
                    <c:v>LAQ = </c:v>
                  </c:pt>
                </c15:dlblRangeCache>
              </c15:datalabelsRange>
            </c:ext>
            <c:ext xmlns:c16="http://schemas.microsoft.com/office/drawing/2014/chart" uri="{C3380CC4-5D6E-409C-BE32-E72D297353CC}">
              <c16:uniqueId val="{00000017-EBF8-488D-AB9A-490C010A158F}"/>
            </c:ext>
          </c:extLst>
        </c:ser>
        <c:ser>
          <c:idx val="19"/>
          <c:order val="16"/>
          <c:tx>
            <c:v>Plafondprijs</c:v>
          </c:tx>
          <c:marker>
            <c:symbol val="none"/>
          </c:marker>
          <c:dLbls>
            <c:dLbl>
              <c:idx val="0"/>
              <c:layout>
                <c:manualLayout>
                  <c:x val="7.9552311291131161E-3"/>
                  <c:y val="2.6533899247797525E-2"/>
                </c:manualLayout>
              </c:layout>
              <c:tx>
                <c:rich>
                  <a:bodyPr wrap="square" lIns="38100" tIns="19050" rIns="38100" bIns="19050" anchor="ctr" anchorCtr="0">
                    <a:spAutoFit/>
                  </a:bodyPr>
                  <a:lstStyle/>
                  <a:p>
                    <a:pPr algn="l">
                      <a:defRPr b="0">
                        <a:solidFill>
                          <a:srgbClr val="FF0000"/>
                        </a:solidFill>
                      </a:defRPr>
                    </a:pPr>
                    <a:fld id="{0B7F5C1F-9DD5-4785-88CD-C45E3623393E}" type="CELLRANGE">
                      <a:rPr lang="en-US"/>
                      <a:pPr algn="l">
                        <a:defRPr b="0">
                          <a:solidFill>
                            <a:srgbClr val="FF0000"/>
                          </a:solidFill>
                        </a:defRPr>
                      </a:pPr>
                      <a:t>[CELLRANGE]</a:t>
                    </a:fld>
                    <a:endParaRPr lang="nl-NL"/>
                  </a:p>
                </c:rich>
              </c:tx>
              <c:spPr>
                <a:noFill/>
                <a:ln>
                  <a:noFill/>
                </a:ln>
                <a:effectLst/>
              </c:spPr>
              <c:showLegendKey val="0"/>
              <c:showVal val="0"/>
              <c:showCatName val="0"/>
              <c:showSerName val="0"/>
              <c:showPercent val="0"/>
              <c:showBubbleSize val="0"/>
              <c:extLst>
                <c:ext xmlns:c15="http://schemas.microsoft.com/office/drawing/2012/chart" uri="{CE6537A1-D6FC-4f65-9D91-7224C49458BB}">
                  <c15:layout>
                    <c:manualLayout>
                      <c:w val="0.30562194603991177"/>
                      <c:h val="5.4540084824499145E-2"/>
                    </c:manualLayout>
                  </c15:layout>
                  <c15:dlblFieldTable/>
                  <c15:showDataLabelsRange val="1"/>
                </c:ext>
                <c:ext xmlns:c16="http://schemas.microsoft.com/office/drawing/2014/chart" uri="{C3380CC4-5D6E-409C-BE32-E72D297353CC}">
                  <c16:uniqueId val="{00000018-EBF8-488D-AB9A-490C010A158F}"/>
                </c:ext>
              </c:extLst>
            </c:dLbl>
            <c:spPr>
              <a:noFill/>
              <a:ln>
                <a:noFill/>
              </a:ln>
              <a:effectLst/>
            </c:spPr>
            <c:txPr>
              <a:bodyPr wrap="square" lIns="38100" tIns="19050" rIns="38100" bIns="19050" anchor="ctr">
                <a:spAutoFit/>
              </a:bodyPr>
              <a:lstStyle/>
              <a:p>
                <a:pPr>
                  <a:defRPr>
                    <a:solidFill>
                      <a:srgbClr val="FF0000"/>
                    </a:solidFill>
                  </a:defRPr>
                </a:pPr>
                <a:endParaRPr lang="nl-NL"/>
              </a:p>
            </c:txPr>
            <c:showLegendKey val="0"/>
            <c:showVal val="1"/>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Lit>
              <c:formatCode>General</c:formatCode>
              <c:ptCount val="1"/>
              <c:pt idx="0">
                <c:v>0</c:v>
              </c:pt>
            </c:numLit>
          </c:xVal>
          <c:yVal>
            <c:numRef>
              <c:f>'HULP-velden'!$D$24</c:f>
              <c:numCache>
                <c:formatCode>_("€"* #,##0.00_);_("€"* \(#,##0.00\);_("€"* "-"??_);_(@_)</c:formatCode>
                <c:ptCount val="1"/>
                <c:pt idx="0">
                  <c:v>-100000</c:v>
                </c:pt>
              </c:numCache>
            </c:numRef>
          </c:yVal>
          <c:smooth val="0"/>
          <c:extLst>
            <c:ext xmlns:c15="http://schemas.microsoft.com/office/drawing/2012/chart" uri="{02D57815-91ED-43cb-92C2-25804820EDAC}">
              <c15:datalabelsRange>
                <c15:f>'HULP-velden'!$G$16</c15:f>
                <c15:dlblRangeCache>
                  <c:ptCount val="1"/>
                  <c:pt idx="0">
                    <c:v>Plafondprijs; -€ 100</c:v>
                  </c:pt>
                </c15:dlblRangeCache>
              </c15:datalabelsRange>
            </c:ext>
            <c:ext xmlns:c16="http://schemas.microsoft.com/office/drawing/2014/chart" uri="{C3380CC4-5D6E-409C-BE32-E72D297353CC}">
              <c16:uniqueId val="{00000019-EBF8-488D-AB9A-490C010A158F}"/>
            </c:ext>
          </c:extLst>
        </c:ser>
        <c:ser>
          <c:idx val="12"/>
          <c:order val="17"/>
          <c:tx>
            <c:strRef>
              <c:f>'Info BD'!$D$19</c:f>
              <c:strCache>
                <c:ptCount val="1"/>
                <c:pt idx="0">
                  <c:v>1</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'HULP-velden'!$G$41</c:f>
              <c:numCache>
                <c:formatCode>General</c:formatCode>
                <c:ptCount val="1"/>
                <c:pt idx="0">
                  <c:v>67.600000000000009</c:v>
                </c:pt>
              </c:numCache>
            </c:numRef>
          </c:xVal>
          <c:yVal>
            <c:numRef>
              <c:f>'Info BD'!$I$19</c:f>
              <c:numCache>
                <c:formatCode>_("€"* #,##0.00_);_("€"* \(#,##0.00\);_("€"* "-"??_);_(@_)</c:formatCode>
                <c:ptCount val="1"/>
                <c:pt idx="0">
                  <c:v>385000</c:v>
                </c:pt>
              </c:numCache>
            </c:numRef>
          </c:yVal>
          <c:smooth val="0"/>
          <c:extLst>
            <c:ext xmlns:c16="http://schemas.microsoft.com/office/drawing/2014/chart" uri="{C3380CC4-5D6E-409C-BE32-E72D297353CC}">
              <c16:uniqueId val="{0000001A-EBF8-488D-AB9A-490C010A158F}"/>
            </c:ext>
          </c:extLst>
        </c:ser>
        <c:ser>
          <c:idx val="15"/>
          <c:order val="18"/>
          <c:tx>
            <c:strRef>
              <c:f>'Info BD'!$D$20</c:f>
              <c:strCache>
                <c:ptCount val="1"/>
                <c:pt idx="0">
                  <c:v>2</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'HULP-velden'!$G$42</c:f>
              <c:numCache>
                <c:formatCode>General</c:formatCode>
                <c:ptCount val="1"/>
                <c:pt idx="0">
                  <c:v>72.599999999999994</c:v>
                </c:pt>
              </c:numCache>
            </c:numRef>
          </c:xVal>
          <c:yVal>
            <c:numRef>
              <c:f>'Info BD'!$I$20</c:f>
              <c:numCache>
                <c:formatCode>_("€"* #,##0.00_);_("€"* \(#,##0.00\);_("€"* "-"??_);_(@_)</c:formatCode>
                <c:ptCount val="1"/>
                <c:pt idx="0">
                  <c:v>360000</c:v>
                </c:pt>
              </c:numCache>
            </c:numRef>
          </c:yVal>
          <c:smooth val="0"/>
          <c:extLst>
            <c:ext xmlns:c16="http://schemas.microsoft.com/office/drawing/2014/chart" uri="{C3380CC4-5D6E-409C-BE32-E72D297353CC}">
              <c16:uniqueId val="{0000001B-EBF8-488D-AB9A-490C010A158F}"/>
            </c:ext>
          </c:extLst>
        </c:ser>
        <c:ser>
          <c:idx val="16"/>
          <c:order val="19"/>
          <c:tx>
            <c:strRef>
              <c:f>'Info BD'!$D$21</c:f>
              <c:strCache>
                <c:ptCount val="1"/>
                <c:pt idx="0">
                  <c:v>3</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'HULP-velden'!$G$43</c:f>
              <c:numCache>
                <c:formatCode>General</c:formatCode>
                <c:ptCount val="1"/>
                <c:pt idx="0">
                  <c:v>90</c:v>
                </c:pt>
              </c:numCache>
            </c:numRef>
          </c:xVal>
          <c:yVal>
            <c:numRef>
              <c:f>'Info BD'!$I$21</c:f>
              <c:numCache>
                <c:formatCode>_("€"* #,##0.00_);_("€"* \(#,##0.00\);_("€"* "-"??_);_(@_)</c:formatCode>
                <c:ptCount val="1"/>
                <c:pt idx="0">
                  <c:v>405000</c:v>
                </c:pt>
              </c:numCache>
            </c:numRef>
          </c:yVal>
          <c:smooth val="0"/>
          <c:extLst>
            <c:ext xmlns:c16="http://schemas.microsoft.com/office/drawing/2014/chart" uri="{C3380CC4-5D6E-409C-BE32-E72D297353CC}">
              <c16:uniqueId val="{0000001C-EBF8-488D-AB9A-490C010A158F}"/>
            </c:ext>
          </c:extLst>
        </c:ser>
        <c:ser>
          <c:idx val="17"/>
          <c:order val="20"/>
          <c:tx>
            <c:strRef>
              <c:f>'Info BD'!$D$22</c:f>
              <c:strCache>
                <c:ptCount val="1"/>
                <c:pt idx="0">
                  <c:v>4</c:v>
                </c:pt>
              </c:strCache>
            </c:strRef>
          </c:tx>
          <c:marker>
            <c:symbol val="circle"/>
            <c:size val="12"/>
            <c:spPr>
              <a:solidFill>
                <a:srgbClr val="00C8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'HULP-velden'!$G$44</c:f>
              <c:numCache>
                <c:formatCode>General</c:formatCode>
                <c:ptCount val="1"/>
                <c:pt idx="0">
                  <c:v>85</c:v>
                </c:pt>
              </c:numCache>
            </c:numRef>
          </c:xVal>
          <c:yVal>
            <c:numRef>
              <c:f>'Info BD'!$I$22</c:f>
              <c:numCache>
                <c:formatCode>_("€"* #,##0.00_);_("€"* \(#,##0.00\);_("€"* "-"??_);_(@_)</c:formatCode>
                <c:ptCount val="1"/>
                <c:pt idx="0">
                  <c:v>379000</c:v>
                </c:pt>
              </c:numCache>
            </c:numRef>
          </c:yVal>
          <c:smooth val="0"/>
          <c:extLst>
            <c:ext xmlns:c16="http://schemas.microsoft.com/office/drawing/2014/chart" uri="{C3380CC4-5D6E-409C-BE32-E72D297353CC}">
              <c16:uniqueId val="{0000001D-EBF8-488D-AB9A-490C010A158F}"/>
            </c:ext>
          </c:extLst>
        </c:ser>
        <c:ser>
          <c:idx val="21"/>
          <c:order val="21"/>
          <c:tx>
            <c:strRef>
              <c:f>'Info BD'!$D$23</c:f>
              <c:strCache>
                <c:ptCount val="1"/>
                <c:pt idx="0">
                  <c:v>5</c:v>
                </c:pt>
              </c:strCache>
            </c:strRef>
          </c:tx>
          <c:marker>
            <c:symbol val="circle"/>
            <c:size val="12"/>
            <c:spPr>
              <a:solidFill>
                <a:srgbClr val="FFFF00"/>
              </a:solidFill>
              <a:ln>
                <a:noFill/>
              </a:ln>
            </c:spPr>
          </c:marker>
          <c:dLbls>
            <c:spPr>
              <a:noFill/>
              <a:ln>
                <a:noFill/>
              </a:ln>
              <a:effectLst/>
            </c:spPr>
            <c:txPr>
              <a:bodyPr wrap="square" lIns="38100" tIns="19050" rIns="38100" bIns="19050" anchor="ctr">
                <a:spAutoFit/>
              </a:bodyPr>
              <a:lstStyle/>
              <a:p>
                <a:pPr>
                  <a:defRPr sz="800" b="1"/>
                </a:pPr>
                <a:endParaRPr lang="nl-NL"/>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'HULP-velden'!$G$45</c:f>
              <c:numCache>
                <c:formatCode>General</c:formatCode>
                <c:ptCount val="1"/>
                <c:pt idx="0">
                  <c:v>77.600000000000009</c:v>
                </c:pt>
              </c:numCache>
            </c:numRef>
          </c:xVal>
          <c:yVal>
            <c:numRef>
              <c:f>'Info BD'!$I$23</c:f>
              <c:numCache>
                <c:formatCode>_("€"* #,##0.00_);_("€"* \(#,##0.00\);_("€"* "-"??_);_(@_)</c:formatCode>
                <c:ptCount val="1"/>
                <c:pt idx="0">
                  <c:v>400000</c:v>
                </c:pt>
              </c:numCache>
            </c:numRef>
          </c:yVal>
          <c:smooth val="0"/>
          <c:extLst>
            <c:ext xmlns:c16="http://schemas.microsoft.com/office/drawing/2014/chart" uri="{C3380CC4-5D6E-409C-BE32-E72D297353CC}">
              <c16:uniqueId val="{0000001E-EBF8-488D-AB9A-490C010A158F}"/>
            </c:ext>
          </c:extLst>
        </c:ser>
        <c:ser>
          <c:idx val="4"/>
          <c:order val="22"/>
          <c:tx>
            <c:v>Bovengrens</c:v>
          </c:tx>
          <c:marker>
            <c:symbol val="none"/>
          </c:marker>
          <c:dPt>
            <c:idx val="1"/>
            <c:bubble3D val="0"/>
            <c:spPr>
              <a:ln w="38100">
                <a:solidFill>
                  <a:schemeClr val="tx1"/>
                </a:solidFill>
                <a:prstDash val="dash"/>
              </a:ln>
            </c:spPr>
            <c:extLst>
              <c:ext xmlns:c16="http://schemas.microsoft.com/office/drawing/2014/chart" uri="{C3380CC4-5D6E-409C-BE32-E72D297353CC}">
                <c16:uniqueId val="{00000020-EBF8-488D-AB9A-490C010A158F}"/>
              </c:ext>
            </c:extLst>
          </c:dPt>
          <c:dLbls>
            <c:dLbl>
              <c:idx val="0"/>
              <c:layout>
                <c:manualLayout>
                  <c:x val="9.0201269573004523E-3"/>
                  <c:y val="-2.3877454136956959E-2"/>
                </c:manualLayout>
              </c:layout>
              <c:tx>
                <c:rich>
                  <a:bodyPr wrap="square" lIns="38100" tIns="19050" rIns="38100" bIns="19050" anchor="ctr" anchorCtr="0">
                    <a:spAutoFit/>
                  </a:bodyPr>
                  <a:lstStyle/>
                  <a:p>
                    <a:pPr algn="l">
                      <a:defRPr sz="800"/>
                    </a:pPr>
                    <a:fld id="{7B9EB564-C5AC-46B2-8E2D-5852AA94863F}" type="SERIESNAME">
                      <a:rPr lang="en-US" sz="800" b="0"/>
                      <a:pPr algn="l">
                        <a:defRPr sz="800"/>
                      </a:pPr>
                      <a:t>[REEKSNAAM]</a:t>
                    </a:fld>
                    <a:r>
                      <a:rPr lang="en-US" sz="800" b="1" baseline="0"/>
                      <a:t>; </a:t>
                    </a:r>
                    <a:fld id="{1B753527-AC25-42D7-96F8-D5A5A895AD80}" type="YVALUE">
                      <a:rPr lang="en-US" sz="800" b="0" baseline="0"/>
                      <a:pPr algn="l">
                        <a:defRPr sz="800"/>
                      </a:pPr>
                      <a:t>[Y-WAARDE]</a:t>
                    </a:fld>
                    <a:endParaRPr lang="en-US" sz="800" b="1" baseline="0"/>
                  </a:p>
                </c:rich>
              </c:tx>
              <c:numFmt formatCode="&quot;€&quot;\ #,##0" sourceLinked="0"/>
              <c:spPr>
                <a:noFill/>
                <a:ln>
                  <a:noFill/>
                </a:ln>
                <a:effectLst/>
              </c:spPr>
              <c:showLegendKey val="0"/>
              <c:showVal val="1"/>
              <c:showCatName val="0"/>
              <c:showSerName val="1"/>
              <c:showPercent val="0"/>
              <c:showBubbleSize val="0"/>
              <c:extLst>
                <c:ext xmlns:c15="http://schemas.microsoft.com/office/drawing/2012/chart" uri="{CE6537A1-D6FC-4f65-9D91-7224C49458BB}">
                  <c15:layout>
                    <c:manualLayout>
                      <c:w val="0.40583547761927363"/>
                      <c:h val="5.4540084824499145E-2"/>
                    </c:manualLayout>
                  </c15:layout>
                  <c15:dlblFieldTable/>
                  <c15:showDataLabelsRange val="0"/>
                </c:ext>
                <c:ext xmlns:c16="http://schemas.microsoft.com/office/drawing/2014/chart" uri="{C3380CC4-5D6E-409C-BE32-E72D297353CC}">
                  <c16:uniqueId val="{00000021-EBF8-488D-AB9A-490C010A158F}"/>
                </c:ext>
              </c:extLst>
            </c:dLbl>
            <c:dLbl>
              <c:idx val="1"/>
              <c:delete val="1"/>
              <c:extLst>
                <c:ext xmlns:c15="http://schemas.microsoft.com/office/drawing/2012/chart" uri="{CE6537A1-D6FC-4f65-9D91-7224C49458BB}"/>
                <c:ext xmlns:c16="http://schemas.microsoft.com/office/drawing/2014/chart" uri="{C3380CC4-5D6E-409C-BE32-E72D297353CC}">
                  <c16:uniqueId val="{00000020-EBF8-488D-AB9A-490C010A158F}"/>
                </c:ext>
              </c:extLst>
            </c:dLbl>
            <c:spPr>
              <a:noFill/>
              <a:ln>
                <a:noFill/>
              </a:ln>
              <a:effectLst/>
            </c:spPr>
            <c:txPr>
              <a:bodyPr wrap="square" lIns="38100" tIns="19050" rIns="38100" bIns="19050" anchor="ctr" anchorCtr="0">
                <a:spAutoFit/>
              </a:bodyPr>
              <a:lstStyle/>
              <a:p>
                <a:pPr algn="l">
                  <a:defRPr sz="800"/>
                </a:pPr>
                <a:endParaRPr lang="nl-NL"/>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xVal>
            <c:numRef>
              <c:f>'HULP-velden'!$C$35:$D$35</c:f>
              <c:numCache>
                <c:formatCode>General</c:formatCode>
                <c:ptCount val="2"/>
                <c:pt idx="0">
                  <c:v>0</c:v>
                </c:pt>
                <c:pt idx="1">
                  <c:v>100</c:v>
                </c:pt>
              </c:numCache>
            </c:numRef>
          </c:xVal>
          <c:yVal>
            <c:numRef>
              <c:f>'HULP-velden'!$C$17:$D$17</c:f>
              <c:numCache>
                <c:formatCode>_("€"* #,##0.00_);_("€"* \(#,##0.00\);_("€"* "-"??_);_(@_)</c:formatCode>
                <c:ptCount val="2"/>
                <c:pt idx="0">
                  <c:v>500000</c:v>
                </c:pt>
                <c:pt idx="1">
                  <c:v>500000</c:v>
                </c:pt>
              </c:numCache>
            </c:numRef>
          </c:yVal>
          <c:smooth val="0"/>
          <c:extLst>
            <c:ext xmlns:c16="http://schemas.microsoft.com/office/drawing/2014/chart" uri="{C3380CC4-5D6E-409C-BE32-E72D297353CC}">
              <c16:uniqueId val="{00000022-EBF8-488D-AB9A-490C010A158F}"/>
            </c:ext>
          </c:extLst>
        </c:ser>
        <c:ser>
          <c:idx val="22"/>
          <c:order val="23"/>
          <c:tx>
            <c:v>Ondergrens</c:v>
          </c:tx>
          <c:marker>
            <c:symbol val="none"/>
          </c:marker>
          <c:dPt>
            <c:idx val="1"/>
            <c:bubble3D val="0"/>
            <c:spPr>
              <a:ln w="25400">
                <a:solidFill>
                  <a:schemeClr val="tx1"/>
                </a:solidFill>
                <a:prstDash val="sysDash"/>
              </a:ln>
            </c:spPr>
            <c:extLst>
              <c:ext xmlns:c16="http://schemas.microsoft.com/office/drawing/2014/chart" uri="{C3380CC4-5D6E-409C-BE32-E72D297353CC}">
                <c16:uniqueId val="{00000024-EBF8-488D-AB9A-490C010A158F}"/>
              </c:ext>
            </c:extLst>
          </c:dPt>
          <c:dLbls>
            <c:dLbl>
              <c:idx val="0"/>
              <c:layout>
                <c:manualLayout>
                  <c:x val="5.0111027266983603E-3"/>
                  <c:y val="2.5867320319807475E-2"/>
                </c:manualLayout>
              </c:layout>
              <c:tx>
                <c:rich>
                  <a:bodyPr wrap="square" lIns="38100" tIns="19050" rIns="38100" bIns="19050" anchor="ctr" anchorCtr="0">
                    <a:noAutofit/>
                  </a:bodyPr>
                  <a:lstStyle/>
                  <a:p>
                    <a:pPr algn="l">
                      <a:defRPr sz="800" b="1"/>
                    </a:pPr>
                    <a:fld id="{6EBB692F-CE11-4B80-8049-6332A53B8E9C}" type="SERIESNAME">
                      <a:rPr lang="en-US" sz="800" b="0"/>
                      <a:pPr algn="l">
                        <a:defRPr sz="800" b="1"/>
                      </a:pPr>
                      <a:t>[REEKSNAAM]</a:t>
                    </a:fld>
                    <a:r>
                      <a:rPr lang="en-US" sz="800" b="0" baseline="0"/>
                      <a:t>; </a:t>
                    </a:r>
                    <a:fld id="{9E192DA8-A13D-46C4-8861-7681DA3A4C7F}" type="YVALUE">
                      <a:rPr lang="en-US" sz="800" b="0" baseline="0"/>
                      <a:pPr algn="l">
                        <a:defRPr sz="800" b="1"/>
                      </a:pPr>
                      <a:t>[Y-WAARDE]</a:t>
                    </a:fld>
                    <a:endParaRPr lang="en-US" sz="800" b="0" baseline="0"/>
                  </a:p>
                </c:rich>
              </c:tx>
              <c:numFmt formatCode="&quot;€&quot;\ #,##0" sourceLinked="0"/>
              <c:spPr>
                <a:noFill/>
                <a:ln>
                  <a:noFill/>
                </a:ln>
                <a:effectLst/>
              </c:spPr>
              <c:showLegendKey val="0"/>
              <c:showVal val="1"/>
              <c:showCatName val="0"/>
              <c:showSerName val="1"/>
              <c:showPercent val="0"/>
              <c:showBubbleSize val="0"/>
              <c:extLst>
                <c:ext xmlns:c15="http://schemas.microsoft.com/office/drawing/2012/chart" uri="{CE6537A1-D6FC-4f65-9D91-7224C49458BB}">
                  <c15:layout>
                    <c:manualLayout>
                      <c:w val="0.28892468880561994"/>
                      <c:h val="3.4234378206966135E-2"/>
                    </c:manualLayout>
                  </c15:layout>
                  <c15:dlblFieldTable/>
                  <c15:showDataLabelsRange val="0"/>
                </c:ext>
                <c:ext xmlns:c16="http://schemas.microsoft.com/office/drawing/2014/chart" uri="{C3380CC4-5D6E-409C-BE32-E72D297353CC}">
                  <c16:uniqueId val="{00000025-EBF8-488D-AB9A-490C010A158F}"/>
                </c:ext>
              </c:extLst>
            </c:dLbl>
            <c:dLbl>
              <c:idx val="1"/>
              <c:delete val="1"/>
              <c:extLst>
                <c:ext xmlns:c15="http://schemas.microsoft.com/office/drawing/2012/chart" uri="{CE6537A1-D6FC-4f65-9D91-7224C49458BB}"/>
                <c:ext xmlns:c16="http://schemas.microsoft.com/office/drawing/2014/chart" uri="{C3380CC4-5D6E-409C-BE32-E72D297353CC}">
                  <c16:uniqueId val="{00000024-EBF8-488D-AB9A-490C010A158F}"/>
                </c:ext>
              </c:extLst>
            </c:dLbl>
            <c:numFmt formatCode="&quot;€&quot;\ #,##0" sourceLinked="0"/>
            <c:spPr>
              <a:noFill/>
              <a:ln>
                <a:noFill/>
              </a:ln>
              <a:effectLst/>
            </c:spPr>
            <c:txPr>
              <a:bodyPr wrap="square" lIns="38100" tIns="19050" rIns="38100" bIns="19050" anchor="ctr">
                <a:spAutoFit/>
              </a:bodyPr>
              <a:lstStyle/>
              <a:p>
                <a:pPr>
                  <a:defRPr sz="800" b="1"/>
                </a:pPr>
                <a:endParaRPr lang="nl-NL"/>
              </a:p>
            </c:txPr>
            <c:showLegendKey val="0"/>
            <c:showVal val="1"/>
            <c:showCatName val="0"/>
            <c:showSerName val="1"/>
            <c:showPercent val="0"/>
            <c:showBubbleSize val="0"/>
            <c:showLeaderLines val="0"/>
            <c:extLst>
              <c:ext xmlns:c15="http://schemas.microsoft.com/office/drawing/2012/chart" uri="{CE6537A1-D6FC-4f65-9D91-7224C49458BB}">
                <c15:showLeaderLines val="1"/>
              </c:ext>
            </c:extLst>
          </c:dLbls>
          <c:xVal>
            <c:numRef>
              <c:f>'HULP-velden'!$C$35:$D$35</c:f>
              <c:numCache>
                <c:formatCode>General</c:formatCode>
                <c:ptCount val="2"/>
                <c:pt idx="0">
                  <c:v>0</c:v>
                </c:pt>
                <c:pt idx="1">
                  <c:v>100</c:v>
                </c:pt>
              </c:numCache>
            </c:numRef>
          </c:xVal>
          <c:yVal>
            <c:numRef>
              <c:f>'HULP-velden'!$C$25:$D$25</c:f>
              <c:numCache>
                <c:formatCode>_("€"* #,##0.00_);_("€"* \(#,##0.00\);_("€"* "-"??_);_(@_)</c:formatCode>
                <c:ptCount val="2"/>
                <c:pt idx="0">
                  <c:v>300000</c:v>
                </c:pt>
                <c:pt idx="1">
                  <c:v>300000</c:v>
                </c:pt>
              </c:numCache>
            </c:numRef>
          </c:yVal>
          <c:smooth val="0"/>
          <c:extLst>
            <c:ext xmlns:c16="http://schemas.microsoft.com/office/drawing/2014/chart" uri="{C3380CC4-5D6E-409C-BE32-E72D297353CC}">
              <c16:uniqueId val="{00000026-EBF8-488D-AB9A-490C010A158F}"/>
            </c:ext>
          </c:extLst>
        </c:ser>
        <c:dLbls>
          <c:showLegendKey val="0"/>
          <c:showVal val="0"/>
          <c:showCatName val="0"/>
          <c:showSerName val="0"/>
          <c:showPercent val="0"/>
          <c:showBubbleSize val="0"/>
        </c:dLbls>
        <c:axId val="622482064"/>
        <c:axId val="622487944"/>
        <c:extLst>
          <c:ext xmlns:c15="http://schemas.microsoft.com/office/drawing/2012/chart" uri="{02D57815-91ED-43cb-92C2-25804820EDAC}">
            <c15:filteredScatterSeries>
              <c15:ser>
                <c:idx val="1"/>
                <c:order val="12"/>
                <c:tx>
                  <c:v>Qmin</c:v>
                </c:tx>
                <c:marker>
                  <c:symbol val="none"/>
                </c:marker>
                <c:dPt>
                  <c:idx val="1"/>
                  <c:bubble3D val="0"/>
                  <c:spPr>
                    <a:ln w="41275">
                      <a:solidFill>
                        <a:srgbClr val="0070C0"/>
                      </a:solidFill>
                    </a:ln>
                  </c:spPr>
                  <c:extLst>
                    <c:ext xmlns:c16="http://schemas.microsoft.com/office/drawing/2014/chart" uri="{C3380CC4-5D6E-409C-BE32-E72D297353CC}">
                      <c16:uniqueId val="{00000028-EBF8-488D-AB9A-490C010A158F}"/>
                    </c:ext>
                  </c:extLst>
                </c:dPt>
                <c:xVal>
                  <c:numRef>
                    <c:extLst>
                      <c:ext uri="{02D57815-91ED-43cb-92C2-25804820EDAC}">
                        <c15:formulaRef>
                          <c15:sqref>'HULP-velden'!$C$28:$D$28</c15:sqref>
                        </c15:formulaRef>
                      </c:ext>
                    </c:extLst>
                    <c:numCache>
                      <c:formatCode>General</c:formatCode>
                      <c:ptCount val="2"/>
                      <c:pt idx="0">
                        <c:v>0</c:v>
                      </c:pt>
                      <c:pt idx="1">
                        <c:v>0</c:v>
                      </c:pt>
                    </c:numCache>
                  </c:numRef>
                </c:xVal>
                <c:yVal>
                  <c:numRef>
                    <c:extLst>
                      <c:ext uri="{02D57815-91ED-43cb-92C2-25804820EDAC}">
                        <c15:formulaRef>
                          <c15:sqref>'HULP-velden'!$C$21:$D$21</c15:sqref>
                        </c15:formulaRef>
                      </c:ext>
                    </c:extLst>
                    <c:numCache>
                      <c:formatCode>"€"\ #,##0.00</c:formatCode>
                      <c:ptCount val="2"/>
                      <c:pt idx="0">
                        <c:v>0</c:v>
                      </c:pt>
                      <c:pt idx="1">
                        <c:v>520000</c:v>
                      </c:pt>
                    </c:numCache>
                  </c:numRef>
                </c:yVal>
                <c:smooth val="0"/>
                <c:extLst>
                  <c:ext xmlns:c16="http://schemas.microsoft.com/office/drawing/2014/chart" uri="{C3380CC4-5D6E-409C-BE32-E72D297353CC}">
                    <c16:uniqueId val="{00000029-EBF8-488D-AB9A-490C010A158F}"/>
                  </c:ext>
                </c:extLst>
              </c15:ser>
            </c15:filteredScatterSeries>
          </c:ext>
        </c:extLst>
      </c:scatterChart>
      <c:valAx>
        <c:axId val="622482064"/>
        <c:scaling>
          <c:orientation val="minMax"/>
          <c:max val="100"/>
          <c:min val="0"/>
        </c:scaling>
        <c:delete val="0"/>
        <c:axPos val="b"/>
        <c:numFmt formatCode="#,##0" sourceLinked="0"/>
        <c:majorTickMark val="in"/>
        <c:minorTickMark val="none"/>
        <c:tickLblPos val="nextTo"/>
        <c:spPr>
          <a:noFill/>
          <a:ln>
            <a:solidFill>
              <a:schemeClr val="tx1"/>
            </a:solidFill>
          </a:ln>
        </c:spPr>
        <c:txPr>
          <a:bodyPr/>
          <a:lstStyle/>
          <a:p>
            <a:pPr>
              <a:defRPr sz="800"/>
            </a:pPr>
            <a:endParaRPr lang="nl-NL"/>
          </a:p>
        </c:txPr>
        <c:crossAx val="622487944"/>
        <c:crosses val="autoZero"/>
        <c:crossBetween val="midCat"/>
        <c:majorUnit val="25"/>
      </c:valAx>
      <c:valAx>
        <c:axId val="622487944"/>
        <c:scaling>
          <c:orientation val="minMax"/>
          <c:max val="520000"/>
          <c:min val="280000"/>
        </c:scaling>
        <c:delete val="0"/>
        <c:axPos val="l"/>
        <c:numFmt formatCode="&quot;€&quot;\ #,##0" sourceLinked="0"/>
        <c:majorTickMark val="in"/>
        <c:minorTickMark val="none"/>
        <c:tickLblPos val="nextTo"/>
        <c:spPr>
          <a:ln>
            <a:solidFill>
              <a:schemeClr val="tx1"/>
            </a:solidFill>
          </a:ln>
        </c:spPr>
        <c:txPr>
          <a:bodyPr/>
          <a:lstStyle/>
          <a:p>
            <a:pPr>
              <a:defRPr sz="800"/>
            </a:pPr>
            <a:endParaRPr lang="nl-NL"/>
          </a:p>
        </c:txPr>
        <c:crossAx val="622482064"/>
        <c:crosses val="autoZero"/>
        <c:crossBetween val="midCat"/>
        <c:majorUnit val="20000"/>
        <c:dispUnits>
          <c:builtInUnit val="thousands"/>
        </c:dispUnits>
      </c:valAx>
      <c:spPr>
        <a:noFill/>
        <a:ln>
          <a:noFill/>
        </a:ln>
      </c:spPr>
    </c:plotArea>
    <c:plotVisOnly val="1"/>
    <c:dispBlanksAs val="gap"/>
    <c:showDLblsOverMax val="0"/>
  </c:chart>
  <c:spPr>
    <a:solidFill>
      <a:srgbClr val="8FCAE7"/>
    </a:solidFill>
    <a:ln>
      <a:solidFill>
        <a:schemeClr val="tx1"/>
      </a:solidFill>
    </a:ln>
  </c:spPr>
  <c:printSettings>
    <c:headerFooter/>
    <c:pageMargins b="0.75" l="0.7" r="0.7" t="0.75" header="0.3" footer="0.3"/>
    <c:pageSetup orientation="portrait"/>
  </c:printSettings>
  <c:userShapes r:id="rId1"/>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hyperlink" Target="http://www.pianoo.nl" TargetMode="External"/></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xml"/><Relationship Id="rId1" Type="http://schemas.openxmlformats.org/officeDocument/2006/relationships/image" Target="../media/image5.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chart" Target="../charts/chart2.xml"/><Relationship Id="rId4"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image" Target="../media/image1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chart" Target="../charts/chart7.xml"/><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oneCellAnchor>
    <xdr:from>
      <xdr:col>3</xdr:col>
      <xdr:colOff>2168830</xdr:colOff>
      <xdr:row>20</xdr:row>
      <xdr:rowOff>49100</xdr:rowOff>
    </xdr:from>
    <xdr:ext cx="424277" cy="551920"/>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3842141" y="7171397"/>
          <a:ext cx="424277" cy="551920"/>
        </a:xfrm>
        <a:prstGeom prst="rect">
          <a:avLst/>
        </a:prstGeom>
      </xdr:spPr>
    </xdr:pic>
    <xdr:clientData/>
  </xdr:oneCellAnchor>
  <xdr:twoCellAnchor>
    <xdr:from>
      <xdr:col>4</xdr:col>
      <xdr:colOff>6052609</xdr:colOff>
      <xdr:row>1</xdr:row>
      <xdr:rowOff>90663</xdr:rowOff>
    </xdr:from>
    <xdr:to>
      <xdr:col>4</xdr:col>
      <xdr:colOff>7373054</xdr:colOff>
      <xdr:row>2</xdr:row>
      <xdr:rowOff>134760</xdr:rowOff>
    </xdr:to>
    <xdr:sp macro="" textlink="">
      <xdr:nvSpPr>
        <xdr:cNvPr id="5" name="Tekstvak 4">
          <a:extLst>
            <a:ext uri="{FF2B5EF4-FFF2-40B4-BE49-F238E27FC236}">
              <a16:creationId xmlns:a16="http://schemas.microsoft.com/office/drawing/2014/main" id="{00000000-0008-0000-0000-000005000000}"/>
            </a:ext>
          </a:extLst>
        </xdr:cNvPr>
        <xdr:cNvSpPr txBox="1"/>
      </xdr:nvSpPr>
      <xdr:spPr>
        <a:xfrm>
          <a:off x="9763549" y="357363"/>
          <a:ext cx="0" cy="310797"/>
        </a:xfrm>
        <a:prstGeom prst="rect">
          <a:avLst/>
        </a:prstGeom>
        <a:solidFill>
          <a:srgbClr val="8FCAE7"/>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solidFill>
                <a:schemeClr val="tx1"/>
              </a:solidFill>
            </a:rPr>
            <a:t>Versie</a:t>
          </a:r>
          <a:r>
            <a:rPr lang="nl-NL" sz="1100" baseline="0">
              <a:solidFill>
                <a:schemeClr val="tx1"/>
              </a:solidFill>
            </a:rPr>
            <a:t> 2.0 Build 93</a:t>
          </a:r>
          <a:endParaRPr lang="nl-NL" sz="1100">
            <a:solidFill>
              <a:schemeClr val="tx1"/>
            </a:solidFill>
          </a:endParaRPr>
        </a:p>
      </xdr:txBody>
    </xdr:sp>
    <xdr:clientData/>
  </xdr:twoCellAnchor>
  <xdr:twoCellAnchor>
    <xdr:from>
      <xdr:col>6</xdr:col>
      <xdr:colOff>2900406</xdr:colOff>
      <xdr:row>1</xdr:row>
      <xdr:rowOff>73399</xdr:rowOff>
    </xdr:from>
    <xdr:to>
      <xdr:col>8</xdr:col>
      <xdr:colOff>5178</xdr:colOff>
      <xdr:row>3</xdr:row>
      <xdr:rowOff>223108</xdr:rowOff>
    </xdr:to>
    <xdr:sp macro="" textlink="">
      <xdr:nvSpPr>
        <xdr:cNvPr id="11" name="Tekstvak 10">
          <a:extLst>
            <a:ext uri="{FF2B5EF4-FFF2-40B4-BE49-F238E27FC236}">
              <a16:creationId xmlns:a16="http://schemas.microsoft.com/office/drawing/2014/main" id="{00000000-0008-0000-0000-00000B000000}"/>
            </a:ext>
          </a:extLst>
        </xdr:cNvPr>
        <xdr:cNvSpPr txBox="1"/>
      </xdr:nvSpPr>
      <xdr:spPr>
        <a:xfrm>
          <a:off x="11670271" y="339413"/>
          <a:ext cx="4535988" cy="681736"/>
        </a:xfrm>
        <a:prstGeom prst="rect">
          <a:avLst/>
        </a:prstGeom>
        <a:solidFill>
          <a:srgbClr val="8FCAE7"/>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lang="nl-NL" sz="1100" b="1" baseline="0">
              <a:solidFill>
                <a:schemeClr val="dk1"/>
              </a:solidFill>
              <a:effectLst/>
              <a:latin typeface="+mn-lt"/>
              <a:ea typeface="+mn-ea"/>
              <a:cs typeface="+mn-cs"/>
            </a:rPr>
            <a:t>Tool Gewogen Factor Methode versie 1.0 </a:t>
          </a:r>
          <a:r>
            <a:rPr lang="nl-NL" sz="900" b="1" i="1" baseline="0">
              <a:solidFill>
                <a:schemeClr val="dk1"/>
              </a:solidFill>
              <a:effectLst/>
              <a:latin typeface="+mn-lt"/>
              <a:ea typeface="+mn-ea"/>
              <a:cs typeface="+mn-cs"/>
            </a:rPr>
            <a:t>(build 57, 09-2026) </a:t>
          </a:r>
        </a:p>
        <a:p>
          <a:pPr marL="0" marR="0" lvl="0" indent="0" algn="r" defTabSz="914400" eaLnBrk="1" fontAlgn="auto" latinLnBrk="0" hangingPunct="1">
            <a:lnSpc>
              <a:spcPct val="100000"/>
            </a:lnSpc>
            <a:spcBef>
              <a:spcPts val="0"/>
            </a:spcBef>
            <a:spcAft>
              <a:spcPts val="0"/>
            </a:spcAft>
            <a:buClrTx/>
            <a:buSzTx/>
            <a:buFontTx/>
            <a:buNone/>
            <a:tabLst/>
            <a:defRPr/>
          </a:pPr>
          <a:endParaRPr lang="nl-NL" sz="1100">
            <a:solidFill>
              <a:sysClr val="windowText" lastClr="000000"/>
            </a:solidFill>
          </a:endParaRPr>
        </a:p>
        <a:p>
          <a:pPr algn="r"/>
          <a:r>
            <a:rPr lang="nl-NL" sz="1100">
              <a:solidFill>
                <a:sysClr val="windowText" lastClr="000000"/>
              </a:solidFill>
            </a:rPr>
            <a:t>©</a:t>
          </a:r>
          <a:r>
            <a:rPr lang="nl-NL" sz="1100" baseline="0">
              <a:solidFill>
                <a:sysClr val="windowText" lastClr="000000"/>
              </a:solidFill>
            </a:rPr>
            <a:t> 2021-2026 Directie Inkoop Belastingdienst</a:t>
          </a:r>
        </a:p>
      </xdr:txBody>
    </xdr:sp>
    <xdr:clientData/>
  </xdr:twoCellAnchor>
  <xdr:twoCellAnchor>
    <xdr:from>
      <xdr:col>1</xdr:col>
      <xdr:colOff>562930</xdr:colOff>
      <xdr:row>19</xdr:row>
      <xdr:rowOff>317898</xdr:rowOff>
    </xdr:from>
    <xdr:to>
      <xdr:col>3</xdr:col>
      <xdr:colOff>1206635</xdr:colOff>
      <xdr:row>21</xdr:row>
      <xdr:rowOff>235426</xdr:rowOff>
    </xdr:to>
    <xdr:sp macro="[0]!Naar_Dashboard" textlink="">
      <xdr:nvSpPr>
        <xdr:cNvPr id="13" name="Rechthoek 12">
          <a:extLst>
            <a:ext uri="{FF2B5EF4-FFF2-40B4-BE49-F238E27FC236}">
              <a16:creationId xmlns:a16="http://schemas.microsoft.com/office/drawing/2014/main" id="{00000000-0008-0000-0000-00000D000000}"/>
            </a:ext>
          </a:extLst>
        </xdr:cNvPr>
        <xdr:cNvSpPr/>
      </xdr:nvSpPr>
      <xdr:spPr>
        <a:xfrm>
          <a:off x="811781" y="7088371"/>
          <a:ext cx="2068165" cy="458136"/>
        </a:xfrm>
        <a:prstGeom prst="rect">
          <a:avLst/>
        </a:prstGeom>
        <a:solidFill>
          <a:srgbClr val="FFFF99"/>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600">
              <a:solidFill>
                <a:schemeClr val="tx1"/>
              </a:solidFill>
            </a:rPr>
            <a:t>Starten</a:t>
          </a:r>
        </a:p>
      </xdr:txBody>
    </xdr:sp>
    <xdr:clientData/>
  </xdr:twoCellAnchor>
  <xdr:twoCellAnchor>
    <xdr:from>
      <xdr:col>1</xdr:col>
      <xdr:colOff>3039438</xdr:colOff>
      <xdr:row>3</xdr:row>
      <xdr:rowOff>162674</xdr:rowOff>
    </xdr:from>
    <xdr:to>
      <xdr:col>1</xdr:col>
      <xdr:colOff>4058292</xdr:colOff>
      <xdr:row>4</xdr:row>
      <xdr:rowOff>205483</xdr:rowOff>
    </xdr:to>
    <xdr:sp macro="" textlink="">
      <xdr:nvSpPr>
        <xdr:cNvPr id="8" name="Rechthoek 7">
          <a:extLst>
            <a:ext uri="{FF2B5EF4-FFF2-40B4-BE49-F238E27FC236}">
              <a16:creationId xmlns:a16="http://schemas.microsoft.com/office/drawing/2014/main" id="{00000000-0008-0000-0000-000008000000}"/>
            </a:ext>
          </a:extLst>
        </xdr:cNvPr>
        <xdr:cNvSpPr/>
      </xdr:nvSpPr>
      <xdr:spPr>
        <a:xfrm>
          <a:off x="3296292" y="958921"/>
          <a:ext cx="1018854" cy="57364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6</xdr:col>
      <xdr:colOff>3115699</xdr:colOff>
      <xdr:row>3</xdr:row>
      <xdr:rowOff>143561</xdr:rowOff>
    </xdr:from>
    <xdr:to>
      <xdr:col>7</xdr:col>
      <xdr:colOff>2461893</xdr:colOff>
      <xdr:row>12</xdr:row>
      <xdr:rowOff>19384</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11997118" y="941602"/>
          <a:ext cx="3259167" cy="3256768"/>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6</xdr:col>
      <xdr:colOff>3581544</xdr:colOff>
      <xdr:row>11</xdr:row>
      <xdr:rowOff>317450</xdr:rowOff>
    </xdr:from>
    <xdr:to>
      <xdr:col>7</xdr:col>
      <xdr:colOff>2951321</xdr:colOff>
      <xdr:row>19</xdr:row>
      <xdr:rowOff>340194</xdr:rowOff>
    </xdr:to>
    <xdr:pic>
      <xdr:nvPicPr>
        <xdr:cNvPr id="7" name="Afbeelding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stretch>
          <a:fillRect/>
        </a:stretch>
      </xdr:blipFill>
      <xdr:spPr>
        <a:xfrm>
          <a:off x="12462963" y="3887180"/>
          <a:ext cx="3282750" cy="3300717"/>
        </a:xfrm>
        <a:prstGeom prst="roundRect">
          <a:avLst>
            <a:gd name="adj" fmla="val 16667"/>
          </a:avLst>
        </a:prstGeom>
        <a:ln>
          <a:noFill/>
        </a:ln>
        <a:effectLst>
          <a:outerShdw blurRad="152400" dist="12000" dir="900000" sy="98000" kx="110000" ky="200000" algn="tl" rotWithShape="0">
            <a:srgbClr val="000000">
              <a:alpha val="30000"/>
            </a:srgbClr>
          </a:outerShdw>
        </a:effectLst>
        <a:scene3d>
          <a:camera prst="perspectiveRelaxed">
            <a:rot lat="19800000" lon="1200000" rev="20820000"/>
          </a:camera>
          <a:lightRig rig="threePt" dir="t"/>
        </a:scene3d>
        <a:sp3d contourW="6350" prstMaterial="matte">
          <a:bevelT w="101600" h="101600"/>
          <a:contourClr>
            <a:srgbClr val="969696"/>
          </a:contourClr>
        </a:sp3d>
      </xdr:spPr>
    </xdr:pic>
    <xdr:clientData/>
  </xdr:twoCellAnchor>
  <xdr:twoCellAnchor editAs="oneCell">
    <xdr:from>
      <xdr:col>5</xdr:col>
      <xdr:colOff>249143</xdr:colOff>
      <xdr:row>17</xdr:row>
      <xdr:rowOff>421078</xdr:rowOff>
    </xdr:from>
    <xdr:to>
      <xdr:col>5</xdr:col>
      <xdr:colOff>1417309</xdr:colOff>
      <xdr:row>18</xdr:row>
      <xdr:rowOff>299801</xdr:rowOff>
    </xdr:to>
    <xdr:pic>
      <xdr:nvPicPr>
        <xdr:cNvPr id="2" name="Afbeelding 1">
          <a:hlinkClick xmlns:r="http://schemas.openxmlformats.org/officeDocument/2006/relationships" r:id="rId4"/>
          <a:extLst>
            <a:ext uri="{FF2B5EF4-FFF2-40B4-BE49-F238E27FC236}">
              <a16:creationId xmlns:a16="http://schemas.microsoft.com/office/drawing/2014/main" id="{4F3FFF42-0476-72E2-CA17-911C618B7866}"/>
            </a:ext>
          </a:extLst>
        </xdr:cNvPr>
        <xdr:cNvPicPr>
          <a:picLocks noChangeAspect="1"/>
        </xdr:cNvPicPr>
      </xdr:nvPicPr>
      <xdr:blipFill>
        <a:blip xmlns:r="http://schemas.openxmlformats.org/officeDocument/2006/relationships" r:embed="rId5"/>
        <a:stretch>
          <a:fillRect/>
        </a:stretch>
      </xdr:blipFill>
      <xdr:spPr>
        <a:xfrm>
          <a:off x="6084278" y="6590875"/>
          <a:ext cx="1168166" cy="3163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42</xdr:row>
      <xdr:rowOff>0</xdr:rowOff>
    </xdr:from>
    <xdr:to>
      <xdr:col>2</xdr:col>
      <xdr:colOff>0</xdr:colOff>
      <xdr:row>42</xdr:row>
      <xdr:rowOff>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926580" y="12115800"/>
          <a:ext cx="0" cy="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xdr:col>
      <xdr:colOff>238361</xdr:colOff>
      <xdr:row>1</xdr:row>
      <xdr:rowOff>141112</xdr:rowOff>
    </xdr:from>
    <xdr:to>
      <xdr:col>7</xdr:col>
      <xdr:colOff>989383</xdr:colOff>
      <xdr:row>3</xdr:row>
      <xdr:rowOff>158313</xdr:rowOff>
    </xdr:to>
    <xdr:sp macro="[0]!OpslaanTBVPrijzenformulier" textlink="">
      <xdr:nvSpPr>
        <xdr:cNvPr id="6" name="Rechthoek 5">
          <a:extLst>
            <a:ext uri="{FF2B5EF4-FFF2-40B4-BE49-F238E27FC236}">
              <a16:creationId xmlns:a16="http://schemas.microsoft.com/office/drawing/2014/main" id="{00000000-0008-0000-0100-000006000000}"/>
            </a:ext>
          </a:extLst>
        </xdr:cNvPr>
        <xdr:cNvSpPr/>
      </xdr:nvSpPr>
      <xdr:spPr>
        <a:xfrm>
          <a:off x="11278702" y="409544"/>
          <a:ext cx="2309658" cy="554064"/>
        </a:xfrm>
        <a:prstGeom prst="rect">
          <a:avLst/>
        </a:prstGeom>
        <a:solidFill>
          <a:srgbClr val="FFFF99"/>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rPr>
            <a:t>T.b.v.</a:t>
          </a: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 Prijzenformulier</a:t>
          </a:r>
          <a:endPar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xdr:from>
      <xdr:col>4</xdr:col>
      <xdr:colOff>192304</xdr:colOff>
      <xdr:row>1</xdr:row>
      <xdr:rowOff>143472</xdr:rowOff>
    </xdr:from>
    <xdr:to>
      <xdr:col>5</xdr:col>
      <xdr:colOff>17564</xdr:colOff>
      <xdr:row>3</xdr:row>
      <xdr:rowOff>164523</xdr:rowOff>
    </xdr:to>
    <xdr:sp macro="[0]!OPSLAAN_UITGANGSPUNTEN" textlink="">
      <xdr:nvSpPr>
        <xdr:cNvPr id="10" name="Rechthoek 9">
          <a:extLst>
            <a:ext uri="{FF2B5EF4-FFF2-40B4-BE49-F238E27FC236}">
              <a16:creationId xmlns:a16="http://schemas.microsoft.com/office/drawing/2014/main" id="{00000000-0008-0000-0100-00000A000000}"/>
            </a:ext>
          </a:extLst>
        </xdr:cNvPr>
        <xdr:cNvSpPr/>
      </xdr:nvSpPr>
      <xdr:spPr>
        <a:xfrm>
          <a:off x="8851395" y="411904"/>
          <a:ext cx="2206510" cy="557914"/>
        </a:xfrm>
        <a:prstGeom prst="rect">
          <a:avLst/>
        </a:prstGeom>
        <a:solidFill>
          <a:srgbClr val="FFFF99"/>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Opslaan uitgangspunten</a:t>
          </a:r>
          <a:endPar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1</xdr:col>
      <xdr:colOff>6379348</xdr:colOff>
      <xdr:row>2</xdr:row>
      <xdr:rowOff>16009</xdr:rowOff>
    </xdr:from>
    <xdr:to>
      <xdr:col>3</xdr:col>
      <xdr:colOff>344452</xdr:colOff>
      <xdr:row>3</xdr:row>
      <xdr:rowOff>2131</xdr:rowOff>
    </xdr:to>
    <xdr:pic>
      <xdr:nvPicPr>
        <xdr:cNvPr id="3" name="Afbeelding 2"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6627478" y="544286"/>
          <a:ext cx="302664" cy="263186"/>
        </a:xfrm>
        <a:prstGeom prst="rect">
          <a:avLst/>
        </a:prstGeom>
      </xdr:spPr>
    </xdr:pic>
    <xdr:clientData/>
  </xdr:twoCellAnchor>
  <xdr:twoCellAnchor>
    <xdr:from>
      <xdr:col>7</xdr:col>
      <xdr:colOff>1206002</xdr:colOff>
      <xdr:row>1</xdr:row>
      <xdr:rowOff>141034</xdr:rowOff>
    </xdr:from>
    <xdr:to>
      <xdr:col>10</xdr:col>
      <xdr:colOff>833452</xdr:colOff>
      <xdr:row>3</xdr:row>
      <xdr:rowOff>158235</xdr:rowOff>
    </xdr:to>
    <xdr:sp macro="[0]!OpslaanTBVEvaluatieformulier" textlink="">
      <xdr:nvSpPr>
        <xdr:cNvPr id="5" name="Rechthoek 4">
          <a:extLst>
            <a:ext uri="{FF2B5EF4-FFF2-40B4-BE49-F238E27FC236}">
              <a16:creationId xmlns:a16="http://schemas.microsoft.com/office/drawing/2014/main" id="{00000000-0008-0000-0100-000005000000}"/>
            </a:ext>
          </a:extLst>
        </xdr:cNvPr>
        <xdr:cNvSpPr/>
      </xdr:nvSpPr>
      <xdr:spPr>
        <a:xfrm>
          <a:off x="13804979" y="409466"/>
          <a:ext cx="2303109" cy="554064"/>
        </a:xfrm>
        <a:prstGeom prst="rect">
          <a:avLst/>
        </a:prstGeom>
        <a:solidFill>
          <a:srgbClr val="FFFF99"/>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rPr>
            <a:t>T.b.v.</a:t>
          </a: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 Evaluatieformulier</a:t>
          </a:r>
          <a:endPar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xdr:from>
      <xdr:col>1</xdr:col>
      <xdr:colOff>6350</xdr:colOff>
      <xdr:row>5</xdr:row>
      <xdr:rowOff>0</xdr:rowOff>
    </xdr:from>
    <xdr:to>
      <xdr:col>1</xdr:col>
      <xdr:colOff>6356350</xdr:colOff>
      <xdr:row>23</xdr:row>
      <xdr:rowOff>6350</xdr:rowOff>
    </xdr:to>
    <xdr:graphicFrame macro="">
      <xdr:nvGraphicFramePr>
        <xdr:cNvPr id="7" name="Grafiek1">
          <a:extLst>
            <a:ext uri="{FF2B5EF4-FFF2-40B4-BE49-F238E27FC236}">
              <a16:creationId xmlns:a16="http://schemas.microsoft.com/office/drawing/2014/main" id="{00000000-0008-0000-0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0</xdr:colOff>
      <xdr:row>5</xdr:row>
      <xdr:rowOff>60613</xdr:rowOff>
    </xdr:from>
    <xdr:to>
      <xdr:col>10</xdr:col>
      <xdr:colOff>592727</xdr:colOff>
      <xdr:row>6</xdr:row>
      <xdr:rowOff>280798</xdr:rowOff>
    </xdr:to>
    <xdr:pic>
      <xdr:nvPicPr>
        <xdr:cNvPr id="8" name="Machtsformule">
          <a:extLst>
            <a:ext uri="{FF2B5EF4-FFF2-40B4-BE49-F238E27FC236}">
              <a16:creationId xmlns:a16="http://schemas.microsoft.com/office/drawing/2014/main" id="{C014B42F-319B-4405-A41E-287BC2598F32}"/>
            </a:ext>
          </a:extLst>
        </xdr:cNvPr>
        <xdr:cNvPicPr>
          <a:picLocks noChangeAspect="1"/>
        </xdr:cNvPicPr>
      </xdr:nvPicPr>
      <xdr:blipFill rotWithShape="1">
        <a:blip xmlns:r="http://schemas.openxmlformats.org/officeDocument/2006/relationships" r:embed="rId3"/>
        <a:srcRect r="36795"/>
        <a:stretch/>
      </xdr:blipFill>
      <xdr:spPr>
        <a:xfrm>
          <a:off x="12598977" y="1402772"/>
          <a:ext cx="3268386" cy="575208"/>
        </a:xfrm>
        <a:prstGeom prst="rect">
          <a:avLst/>
        </a:prstGeom>
      </xdr:spPr>
    </xdr:pic>
    <xdr:clientData fPrintsWithSheet="0"/>
  </xdr:twoCellAnchor>
  <xdr:twoCellAnchor editAs="oneCell">
    <xdr:from>
      <xdr:col>7</xdr:col>
      <xdr:colOff>0</xdr:colOff>
      <xdr:row>5</xdr:row>
      <xdr:rowOff>0</xdr:rowOff>
    </xdr:from>
    <xdr:to>
      <xdr:col>9</xdr:col>
      <xdr:colOff>954871</xdr:colOff>
      <xdr:row>6</xdr:row>
      <xdr:rowOff>342821</xdr:rowOff>
    </xdr:to>
    <xdr:pic>
      <xdr:nvPicPr>
        <xdr:cNvPr id="11" name="Wortelformule" hidden="1">
          <a:extLst>
            <a:ext uri="{FF2B5EF4-FFF2-40B4-BE49-F238E27FC236}">
              <a16:creationId xmlns:a16="http://schemas.microsoft.com/office/drawing/2014/main" id="{DCD99D49-5451-47AA-AA25-C9B0D09492A9}"/>
            </a:ext>
          </a:extLst>
        </xdr:cNvPr>
        <xdr:cNvPicPr>
          <a:picLocks noChangeAspect="1"/>
        </xdr:cNvPicPr>
      </xdr:nvPicPr>
      <xdr:blipFill rotWithShape="1">
        <a:blip xmlns:r="http://schemas.openxmlformats.org/officeDocument/2006/relationships" r:embed="rId4"/>
        <a:srcRect r="50004"/>
        <a:stretch/>
      </xdr:blipFill>
      <xdr:spPr>
        <a:xfrm>
          <a:off x="12598977" y="1342159"/>
          <a:ext cx="2588219" cy="697844"/>
        </a:xfrm>
        <a:prstGeom prst="rect">
          <a:avLst/>
        </a:prstGeom>
      </xdr:spPr>
    </xdr:pic>
    <xdr:clientData/>
  </xdr:twoCellAnchor>
  <xdr:twoCellAnchor editAs="oneCell">
    <xdr:from>
      <xdr:col>6</xdr:col>
      <xdr:colOff>493568</xdr:colOff>
      <xdr:row>10</xdr:row>
      <xdr:rowOff>95250</xdr:rowOff>
    </xdr:from>
    <xdr:to>
      <xdr:col>6</xdr:col>
      <xdr:colOff>683099</xdr:colOff>
      <xdr:row>10</xdr:row>
      <xdr:rowOff>269129</xdr:rowOff>
    </xdr:to>
    <xdr:pic macro="[0]!Geen_geheel_getal">
      <xdr:nvPicPr>
        <xdr:cNvPr id="9" name="Afbeelding 8" hidden="1">
          <a:extLst>
            <a:ext uri="{FF2B5EF4-FFF2-40B4-BE49-F238E27FC236}">
              <a16:creationId xmlns:a16="http://schemas.microsoft.com/office/drawing/2014/main" id="{93267CD7-2487-322A-D755-384678E24AE7}"/>
            </a:ext>
          </a:extLst>
        </xdr:cNvPr>
        <xdr:cNvPicPr>
          <a:picLocks noChangeAspect="1"/>
        </xdr:cNvPicPr>
      </xdr:nvPicPr>
      <xdr:blipFill>
        <a:blip xmlns:r="http://schemas.openxmlformats.org/officeDocument/2006/relationships" r:embed="rId5"/>
        <a:stretch>
          <a:fillRect/>
        </a:stretch>
      </xdr:blipFill>
      <xdr:spPr>
        <a:xfrm>
          <a:off x="12313227" y="3212523"/>
          <a:ext cx="180000" cy="180000"/>
        </a:xfrm>
        <a:prstGeom prst="rect">
          <a:avLst/>
        </a:prstGeom>
      </xdr:spPr>
    </xdr:pic>
    <xdr:clientData/>
  </xdr:twoCellAnchor>
  <xdr:twoCellAnchor editAs="oneCell">
    <xdr:from>
      <xdr:col>6</xdr:col>
      <xdr:colOff>510885</xdr:colOff>
      <xdr:row>15</xdr:row>
      <xdr:rowOff>95251</xdr:rowOff>
    </xdr:from>
    <xdr:to>
      <xdr:col>6</xdr:col>
      <xdr:colOff>688165</xdr:colOff>
      <xdr:row>15</xdr:row>
      <xdr:rowOff>269130</xdr:rowOff>
    </xdr:to>
    <xdr:pic macro="[0]!Melding_n_waarde">
      <xdr:nvPicPr>
        <xdr:cNvPr id="12" name="Afbeelding 11">
          <a:extLst>
            <a:ext uri="{FF2B5EF4-FFF2-40B4-BE49-F238E27FC236}">
              <a16:creationId xmlns:a16="http://schemas.microsoft.com/office/drawing/2014/main" id="{AC6F818C-0E60-D22D-FCC2-1EB09A0F641F}"/>
            </a:ext>
          </a:extLst>
        </xdr:cNvPr>
        <xdr:cNvPicPr>
          <a:picLocks noChangeAspect="1"/>
        </xdr:cNvPicPr>
      </xdr:nvPicPr>
      <xdr:blipFill>
        <a:blip xmlns:r="http://schemas.openxmlformats.org/officeDocument/2006/relationships" r:embed="rId6"/>
        <a:stretch>
          <a:fillRect/>
        </a:stretch>
      </xdr:blipFill>
      <xdr:spPr>
        <a:xfrm>
          <a:off x="12330544" y="4987637"/>
          <a:ext cx="180000" cy="180000"/>
        </a:xfrm>
        <a:prstGeom prst="rect">
          <a:avLst/>
        </a:prstGeom>
      </xdr:spPr>
    </xdr:pic>
    <xdr:clientData/>
  </xdr:twoCellAnchor>
  <xdr:twoCellAnchor editAs="oneCell">
    <xdr:from>
      <xdr:col>6</xdr:col>
      <xdr:colOff>512791</xdr:colOff>
      <xdr:row>21</xdr:row>
      <xdr:rowOff>76747</xdr:rowOff>
    </xdr:from>
    <xdr:to>
      <xdr:col>6</xdr:col>
      <xdr:colOff>701641</xdr:colOff>
      <xdr:row>21</xdr:row>
      <xdr:rowOff>250626</xdr:rowOff>
    </xdr:to>
    <xdr:pic macro="[0]!LAQ_Toelichting">
      <xdr:nvPicPr>
        <xdr:cNvPr id="4" name="Afbeelding 3">
          <a:extLst>
            <a:ext uri="{FF2B5EF4-FFF2-40B4-BE49-F238E27FC236}">
              <a16:creationId xmlns:a16="http://schemas.microsoft.com/office/drawing/2014/main" id="{A9ADA99C-A84E-4AA7-817B-3EBC623F9C2F}"/>
            </a:ext>
          </a:extLst>
        </xdr:cNvPr>
        <xdr:cNvPicPr>
          <a:picLocks noChangeAspect="1"/>
        </xdr:cNvPicPr>
      </xdr:nvPicPr>
      <xdr:blipFill>
        <a:blip xmlns:r="http://schemas.openxmlformats.org/officeDocument/2006/relationships" r:embed="rId6"/>
        <a:stretch>
          <a:fillRect/>
        </a:stretch>
      </xdr:blipFill>
      <xdr:spPr>
        <a:xfrm>
          <a:off x="12831791" y="7075354"/>
          <a:ext cx="188850" cy="173879"/>
        </a:xfrm>
        <a:prstGeom prst="rect">
          <a:avLst/>
        </a:prstGeom>
      </xdr:spPr>
    </xdr:pic>
    <xdr:clientData/>
  </xdr:twoCellAnchor>
</xdr:wsDr>
</file>

<file path=xl/drawings/drawing3.xml><?xml version="1.0" encoding="utf-8"?>
<c:userShapes xmlns:c="http://schemas.openxmlformats.org/drawingml/2006/chart">
  <cdr:relSizeAnchor xmlns:cdr="http://schemas.openxmlformats.org/drawingml/2006/chartDrawing">
    <cdr:from>
      <cdr:x>0.74021</cdr:x>
      <cdr:y>0.85926</cdr:y>
    </cdr:from>
    <cdr:to>
      <cdr:x>0.965</cdr:x>
      <cdr:y>0.94532</cdr:y>
    </cdr:to>
    <cdr:sp macro="" textlink="">
      <cdr:nvSpPr>
        <cdr:cNvPr id="2" name="Rechthoek 1"/>
        <cdr:cNvSpPr/>
      </cdr:nvSpPr>
      <cdr:spPr>
        <a:xfrm xmlns:a="http://schemas.openxmlformats.org/drawingml/2006/main">
          <a:off x="4700357" y="5407210"/>
          <a:ext cx="1427393" cy="541562"/>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Kwaliteit in</a:t>
          </a:r>
          <a:br>
            <a:rPr lang="nl-NL" sz="1100" b="1" u="none" baseline="0">
              <a:solidFill>
                <a:schemeClr val="tx1"/>
              </a:solidFill>
            </a:rPr>
          </a:br>
          <a:r>
            <a:rPr lang="nl-NL" sz="1100" b="1" u="none" baseline="0">
              <a:solidFill>
                <a:schemeClr val="tx1"/>
              </a:solidFill>
            </a:rPr>
            <a:t>procenten  &amp; punten</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cdr:x>
      <cdr:y>0.92827</cdr:y>
    </cdr:from>
    <cdr:to>
      <cdr:x>0.1195</cdr:x>
      <cdr:y>0.9792</cdr:y>
    </cdr:to>
    <cdr:sp macro="" textlink="">
      <cdr:nvSpPr>
        <cdr:cNvPr id="3" name="Rechthoek 2">
          <a:extLst xmlns:a="http://schemas.openxmlformats.org/drawingml/2006/main">
            <a:ext uri="{FF2B5EF4-FFF2-40B4-BE49-F238E27FC236}">
              <a16:creationId xmlns:a16="http://schemas.microsoft.com/office/drawing/2014/main" id="{B7A1EBDD-65EC-A6DB-40E3-593DBFFEAFAE}"/>
            </a:ext>
          </a:extLst>
        </cdr:cNvPr>
        <cdr:cNvSpPr/>
      </cdr:nvSpPr>
      <cdr:spPr>
        <a:xfrm xmlns:a="http://schemas.openxmlformats.org/drawingml/2006/main">
          <a:off x="0" y="5955522"/>
          <a:ext cx="758825" cy="32675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0" u="none" baseline="0">
              <a:solidFill>
                <a:schemeClr val="tx1"/>
              </a:solidFill>
            </a:rPr>
            <a:t>Procenten -</a:t>
          </a:r>
          <a:endParaRPr lang="nl-NL" sz="900" b="0" u="none">
            <a:solidFill>
              <a:schemeClr val="tx1"/>
            </a:solidFill>
          </a:endParaRPr>
        </a:p>
      </cdr:txBody>
    </cdr:sp>
  </cdr:relSizeAnchor>
  <cdr:relSizeAnchor xmlns:cdr="http://schemas.openxmlformats.org/drawingml/2006/chartDrawing">
    <cdr:from>
      <cdr:x>0</cdr:x>
      <cdr:y>0.95764</cdr:y>
    </cdr:from>
    <cdr:to>
      <cdr:x>0.1415</cdr:x>
      <cdr:y>0.9941</cdr:y>
    </cdr:to>
    <cdr:sp macro="" textlink="">
      <cdr:nvSpPr>
        <cdr:cNvPr id="4" name="Rechthoek 3">
          <a:extLst xmlns:a="http://schemas.openxmlformats.org/drawingml/2006/main">
            <a:ext uri="{FF2B5EF4-FFF2-40B4-BE49-F238E27FC236}">
              <a16:creationId xmlns:a16="http://schemas.microsoft.com/office/drawing/2014/main" id="{A13FFE7E-69D8-4D15-814F-A94FCA81EAB7}"/>
            </a:ext>
          </a:extLst>
        </cdr:cNvPr>
        <cdr:cNvSpPr/>
      </cdr:nvSpPr>
      <cdr:spPr>
        <a:xfrm xmlns:a="http://schemas.openxmlformats.org/drawingml/2006/main">
          <a:off x="0" y="5670551"/>
          <a:ext cx="898525" cy="215899"/>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1" u="none" baseline="0">
              <a:solidFill>
                <a:schemeClr val="tx1"/>
              </a:solidFill>
            </a:rPr>
            <a:t>Punten -</a:t>
          </a:r>
          <a:endParaRPr lang="nl-NL" sz="900" b="1" u="none">
            <a:solidFill>
              <a:schemeClr val="tx1"/>
            </a:solidFill>
          </a:endParaRPr>
        </a:p>
      </cdr:txBody>
    </cdr:sp>
  </cdr:relSizeAnchor>
  <cdr:relSizeAnchor xmlns:cdr="http://schemas.openxmlformats.org/drawingml/2006/chartDrawing">
    <cdr:from>
      <cdr:x>0.09133</cdr:x>
      <cdr:y>0.85234</cdr:y>
    </cdr:from>
    <cdr:to>
      <cdr:x>0.15112</cdr:x>
      <cdr:y>0.90213</cdr:y>
    </cdr:to>
    <cdr:sp macro="" textlink="">
      <cdr:nvSpPr>
        <cdr:cNvPr id="6" name="Tekstvak 10">
          <a:extLst xmlns:a="http://schemas.openxmlformats.org/drawingml/2006/main">
            <a:ext uri="{FF2B5EF4-FFF2-40B4-BE49-F238E27FC236}">
              <a16:creationId xmlns:a16="http://schemas.microsoft.com/office/drawing/2014/main" id="{F4BB494B-78B8-64B8-FA2E-B6B3B29C6556}"/>
            </a:ext>
          </a:extLst>
        </cdr:cNvPr>
        <cdr:cNvSpPr txBox="1"/>
      </cdr:nvSpPr>
      <cdr:spPr>
        <a:xfrm xmlns:a="http://schemas.openxmlformats.org/drawingml/2006/main" rot="2004005">
          <a:off x="579967" y="5363633"/>
          <a:ext cx="379666" cy="313306"/>
        </a:xfrm>
        <a:prstGeom xmlns:a="http://schemas.openxmlformats.org/drawingml/2006/main" prst="rect">
          <a:avLst/>
        </a:prstGeom>
        <a:solidFill xmlns:a="http://schemas.openxmlformats.org/drawingml/2006/main">
          <a:schemeClr val="lt1">
            <a:alpha val="4000"/>
          </a:schemeClr>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endParaRPr lang="nl-NL" sz="1600" b="0">
            <a:solidFill>
              <a:schemeClr val="tx1"/>
            </a:solidFill>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2</xdr:col>
      <xdr:colOff>0</xdr:colOff>
      <xdr:row>42</xdr:row>
      <xdr:rowOff>0</xdr:rowOff>
    </xdr:from>
    <xdr:to>
      <xdr:col>2</xdr:col>
      <xdr:colOff>0</xdr:colOff>
      <xdr:row>42</xdr:row>
      <xdr:rowOff>0</xdr:rowOff>
    </xdr:to>
    <xdr:sp macro="" textlink="">
      <xdr:nvSpPr>
        <xdr:cNvPr id="2" name="Rechthoek 1">
          <a:extLst>
            <a:ext uri="{FF2B5EF4-FFF2-40B4-BE49-F238E27FC236}">
              <a16:creationId xmlns:a16="http://schemas.microsoft.com/office/drawing/2014/main" id="{00000000-0008-0000-0200-000002000000}"/>
            </a:ext>
          </a:extLst>
        </xdr:cNvPr>
        <xdr:cNvSpPr/>
      </xdr:nvSpPr>
      <xdr:spPr>
        <a:xfrm>
          <a:off x="6629400" y="14287500"/>
          <a:ext cx="0" cy="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xdr:col>
      <xdr:colOff>6350</xdr:colOff>
      <xdr:row>5</xdr:row>
      <xdr:rowOff>0</xdr:rowOff>
    </xdr:from>
    <xdr:to>
      <xdr:col>1</xdr:col>
      <xdr:colOff>6356350</xdr:colOff>
      <xdr:row>23</xdr:row>
      <xdr:rowOff>6350</xdr:rowOff>
    </xdr:to>
    <xdr:graphicFrame macro="">
      <xdr:nvGraphicFramePr>
        <xdr:cNvPr id="8" name="Grafiek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94708</xdr:colOff>
      <xdr:row>5</xdr:row>
      <xdr:rowOff>60614</xdr:rowOff>
    </xdr:from>
    <xdr:to>
      <xdr:col>10</xdr:col>
      <xdr:colOff>691945</xdr:colOff>
      <xdr:row>6</xdr:row>
      <xdr:rowOff>280799</xdr:rowOff>
    </xdr:to>
    <xdr:pic>
      <xdr:nvPicPr>
        <xdr:cNvPr id="5" name="Machtsformule">
          <a:extLst>
            <a:ext uri="{FF2B5EF4-FFF2-40B4-BE49-F238E27FC236}">
              <a16:creationId xmlns:a16="http://schemas.microsoft.com/office/drawing/2014/main" id="{323FE073-F785-4832-B3FE-82DA6D0A0F53}"/>
            </a:ext>
          </a:extLst>
        </xdr:cNvPr>
        <xdr:cNvPicPr>
          <a:picLocks noChangeAspect="1"/>
        </xdr:cNvPicPr>
      </xdr:nvPicPr>
      <xdr:blipFill rotWithShape="1">
        <a:blip xmlns:r="http://schemas.openxmlformats.org/officeDocument/2006/relationships" r:embed="rId2"/>
        <a:srcRect r="36795"/>
        <a:stretch/>
      </xdr:blipFill>
      <xdr:spPr>
        <a:xfrm>
          <a:off x="12705411" y="1400067"/>
          <a:ext cx="3286065" cy="577373"/>
        </a:xfrm>
        <a:prstGeom prst="rect">
          <a:avLst/>
        </a:prstGeom>
      </xdr:spPr>
    </xdr:pic>
    <xdr:clientData fPrintsWithSheet="0"/>
  </xdr:twoCellAnchor>
  <xdr:twoCellAnchor editAs="oneCell">
    <xdr:from>
      <xdr:col>7</xdr:col>
      <xdr:colOff>99219</xdr:colOff>
      <xdr:row>5</xdr:row>
      <xdr:rowOff>0</xdr:rowOff>
    </xdr:from>
    <xdr:to>
      <xdr:col>10</xdr:col>
      <xdr:colOff>8947</xdr:colOff>
      <xdr:row>6</xdr:row>
      <xdr:rowOff>342821</xdr:rowOff>
    </xdr:to>
    <xdr:pic>
      <xdr:nvPicPr>
        <xdr:cNvPr id="6" name="Wortelformule" hidden="1">
          <a:extLst>
            <a:ext uri="{FF2B5EF4-FFF2-40B4-BE49-F238E27FC236}">
              <a16:creationId xmlns:a16="http://schemas.microsoft.com/office/drawing/2014/main" id="{6F0BB0CA-A3D1-4A21-8529-9A6ED55189F3}"/>
            </a:ext>
          </a:extLst>
        </xdr:cNvPr>
        <xdr:cNvPicPr>
          <a:picLocks noChangeAspect="1"/>
        </xdr:cNvPicPr>
      </xdr:nvPicPr>
      <xdr:blipFill rotWithShape="1">
        <a:blip xmlns:r="http://schemas.openxmlformats.org/officeDocument/2006/relationships" r:embed="rId3"/>
        <a:srcRect r="50004"/>
        <a:stretch/>
      </xdr:blipFill>
      <xdr:spPr>
        <a:xfrm>
          <a:off x="12709922" y="1339453"/>
          <a:ext cx="2597420" cy="700009"/>
        </a:xfrm>
        <a:prstGeom prst="rect">
          <a:avLst/>
        </a:prstGeom>
      </xdr:spPr>
    </xdr:pic>
    <xdr:clientData/>
  </xdr:twoCellAnchor>
  <xdr:twoCellAnchor>
    <xdr:from>
      <xdr:col>2</xdr:col>
      <xdr:colOff>199160</xdr:colOff>
      <xdr:row>1</xdr:row>
      <xdr:rowOff>103909</xdr:rowOff>
    </xdr:from>
    <xdr:to>
      <xdr:col>4</xdr:col>
      <xdr:colOff>448715</xdr:colOff>
      <xdr:row>3</xdr:row>
      <xdr:rowOff>124960</xdr:rowOff>
    </xdr:to>
    <xdr:sp macro="[0]!Grafiek_naar_klembord" textlink="">
      <xdr:nvSpPr>
        <xdr:cNvPr id="3" name="Rechthoek 2">
          <a:extLst>
            <a:ext uri="{FF2B5EF4-FFF2-40B4-BE49-F238E27FC236}">
              <a16:creationId xmlns:a16="http://schemas.microsoft.com/office/drawing/2014/main" id="{8FB89B65-A8DD-48BA-B93A-33B537BADC0D}"/>
            </a:ext>
          </a:extLst>
        </xdr:cNvPr>
        <xdr:cNvSpPr/>
      </xdr:nvSpPr>
      <xdr:spPr>
        <a:xfrm>
          <a:off x="6901296" y="372341"/>
          <a:ext cx="2206510" cy="557914"/>
        </a:xfrm>
        <a:prstGeom prst="rect">
          <a:avLst/>
        </a:prstGeom>
        <a:solidFill>
          <a:srgbClr val="FFFF99"/>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Scoregraph kopiëren </a:t>
          </a:r>
          <a:b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b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naar klembord</a:t>
          </a:r>
          <a:endPar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4</xdr:col>
      <xdr:colOff>554183</xdr:colOff>
      <xdr:row>1</xdr:row>
      <xdr:rowOff>103909</xdr:rowOff>
    </xdr:from>
    <xdr:to>
      <xdr:col>4</xdr:col>
      <xdr:colOff>732117</xdr:colOff>
      <xdr:row>2</xdr:row>
      <xdr:rowOff>15425</xdr:rowOff>
    </xdr:to>
    <xdr:pic macro="[0]!Kopieren_Scoregraph_Klembord">
      <xdr:nvPicPr>
        <xdr:cNvPr id="4" name="Vraagteken">
          <a:extLst>
            <a:ext uri="{FF2B5EF4-FFF2-40B4-BE49-F238E27FC236}">
              <a16:creationId xmlns:a16="http://schemas.microsoft.com/office/drawing/2014/main" id="{8B1DC889-463D-FF3E-5031-B1AA47E30A64}"/>
            </a:ext>
          </a:extLst>
        </xdr:cNvPr>
        <xdr:cNvPicPr>
          <a:picLocks noChangeAspect="1"/>
        </xdr:cNvPicPr>
      </xdr:nvPicPr>
      <xdr:blipFill>
        <a:blip xmlns:r="http://schemas.openxmlformats.org/officeDocument/2006/relationships" r:embed="rId4"/>
        <a:stretch>
          <a:fillRect/>
        </a:stretch>
      </xdr:blipFill>
      <xdr:spPr>
        <a:xfrm>
          <a:off x="9213274" y="372341"/>
          <a:ext cx="176799" cy="182896"/>
        </a:xfrm>
        <a:prstGeom prst="rect">
          <a:avLst/>
        </a:prstGeom>
      </xdr:spPr>
    </xdr:pic>
    <xdr:clientData/>
  </xdr:twoCellAnchor>
</xdr:wsDr>
</file>

<file path=xl/drawings/drawing5.xml><?xml version="1.0" encoding="utf-8"?>
<c:userShapes xmlns:c="http://schemas.openxmlformats.org/drawingml/2006/chart">
  <cdr:relSizeAnchor xmlns:cdr="http://schemas.openxmlformats.org/drawingml/2006/chartDrawing">
    <cdr:from>
      <cdr:x>0.06371</cdr:x>
      <cdr:y>0.07416</cdr:y>
    </cdr:from>
    <cdr:to>
      <cdr:x>0.15971</cdr:x>
      <cdr:y>0.15945</cdr:y>
    </cdr:to>
    <cdr:sp macro="" textlink="">
      <cdr:nvSpPr>
        <cdr:cNvPr id="2" name="Rechthoek 1">
          <a:extLst xmlns:a="http://schemas.openxmlformats.org/drawingml/2006/main">
            <a:ext uri="{FF2B5EF4-FFF2-40B4-BE49-F238E27FC236}">
              <a16:creationId xmlns:a16="http://schemas.microsoft.com/office/drawing/2014/main" id="{853D2C2B-4F26-9EA2-8DC0-62FE02C76BB7}"/>
            </a:ext>
          </a:extLst>
        </cdr:cNvPr>
        <cdr:cNvSpPr/>
      </cdr:nvSpPr>
      <cdr:spPr>
        <a:xfrm xmlns:a="http://schemas.openxmlformats.org/drawingml/2006/main">
          <a:off x="404536" y="474405"/>
          <a:ext cx="609600" cy="54558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lang="nl-NL" sz="1100" b="1" u="none" baseline="0">
              <a:solidFill>
                <a:schemeClr val="tx1"/>
              </a:solidFill>
            </a:rPr>
            <a:t>Score voor Prijs</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0.75628</cdr:x>
      <cdr:y>0.89533</cdr:y>
    </cdr:from>
    <cdr:to>
      <cdr:x>0.92115</cdr:x>
      <cdr:y>0.98062</cdr:y>
    </cdr:to>
    <cdr:sp macro="" textlink="">
      <cdr:nvSpPr>
        <cdr:cNvPr id="3" name="Rechthoek 2">
          <a:extLst xmlns:a="http://schemas.openxmlformats.org/drawingml/2006/main">
            <a:ext uri="{FF2B5EF4-FFF2-40B4-BE49-F238E27FC236}">
              <a16:creationId xmlns:a16="http://schemas.microsoft.com/office/drawing/2014/main" id="{09D447D4-0334-AFC7-4C4E-C7BE520D2F36}"/>
            </a:ext>
          </a:extLst>
        </cdr:cNvPr>
        <cdr:cNvSpPr/>
      </cdr:nvSpPr>
      <cdr:spPr>
        <a:xfrm xmlns:a="http://schemas.openxmlformats.org/drawingml/2006/main">
          <a:off x="4802378" y="5727231"/>
          <a:ext cx="1046925" cy="54558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Prijs x 1.000</a:t>
          </a:r>
        </a:p>
        <a:p xmlns:a="http://schemas.openxmlformats.org/drawingml/2006/main">
          <a:pPr algn="ctr"/>
          <a:endParaRPr lang="nl-NL" sz="1100" b="1" u="none">
            <a:solidFill>
              <a:schemeClr val="tx1"/>
            </a:solidFill>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1</xdr:col>
      <xdr:colOff>6350</xdr:colOff>
      <xdr:row>5</xdr:row>
      <xdr:rowOff>0</xdr:rowOff>
    </xdr:from>
    <xdr:to>
      <xdr:col>1</xdr:col>
      <xdr:colOff>6356350</xdr:colOff>
      <xdr:row>23</xdr:row>
      <xdr:rowOff>6350</xdr:rowOff>
    </xdr:to>
    <xdr:graphicFrame macro="">
      <xdr:nvGraphicFramePr>
        <xdr:cNvPr id="3" name="Grafiek1">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1157170</xdr:colOff>
      <xdr:row>1</xdr:row>
      <xdr:rowOff>110206</xdr:rowOff>
    </xdr:from>
    <xdr:to>
      <xdr:col>5</xdr:col>
      <xdr:colOff>715300</xdr:colOff>
      <xdr:row>3</xdr:row>
      <xdr:rowOff>120395</xdr:rowOff>
    </xdr:to>
    <xdr:sp macro="[0]!Genereer_tekst_BD" textlink="">
      <xdr:nvSpPr>
        <xdr:cNvPr id="4" name="Rechthoek 3">
          <a:extLst>
            <a:ext uri="{FF2B5EF4-FFF2-40B4-BE49-F238E27FC236}">
              <a16:creationId xmlns:a16="http://schemas.microsoft.com/office/drawing/2014/main" id="{00000000-0008-0000-0300-000004000000}"/>
            </a:ext>
          </a:extLst>
        </xdr:cNvPr>
        <xdr:cNvSpPr/>
      </xdr:nvSpPr>
      <xdr:spPr>
        <a:xfrm>
          <a:off x="7958492" y="377851"/>
          <a:ext cx="2313296" cy="545478"/>
        </a:xfrm>
        <a:prstGeom prst="rect">
          <a:avLst/>
        </a:prstGeom>
        <a:solidFill>
          <a:srgbClr val="FFFF99"/>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000" b="1" i="1" baseline="0">
              <a:solidFill>
                <a:schemeClr val="tx1"/>
              </a:solidFill>
              <a:latin typeface="Verdana" panose="020B0604030504040204" pitchFamily="34" charset="0"/>
              <a:ea typeface="Verdana" panose="020B0604030504040204" pitchFamily="34" charset="0"/>
              <a:cs typeface="Verdana" panose="020B0604030504040204" pitchFamily="34" charset="0"/>
            </a:rPr>
            <a:t>Genereer tekst voor Beschrijvend Document</a:t>
          </a:r>
          <a:endParaRPr lang="nl-NL" sz="1000" b="1" i="1">
            <a:solidFill>
              <a:schemeClr val="tx1"/>
            </a:solidFill>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drawings/drawing7.xml><?xml version="1.0" encoding="utf-8"?>
<c:userShapes xmlns:c="http://schemas.openxmlformats.org/drawingml/2006/chart">
  <cdr:relSizeAnchor xmlns:cdr="http://schemas.openxmlformats.org/drawingml/2006/chartDrawing">
    <cdr:from>
      <cdr:x>0.73821</cdr:x>
      <cdr:y>0.85178</cdr:y>
    </cdr:from>
    <cdr:to>
      <cdr:x>0.97929</cdr:x>
      <cdr:y>0.93784</cdr:y>
    </cdr:to>
    <cdr:sp macro="" textlink="">
      <cdr:nvSpPr>
        <cdr:cNvPr id="2" name="Rechthoek 1"/>
        <cdr:cNvSpPr/>
      </cdr:nvSpPr>
      <cdr:spPr>
        <a:xfrm xmlns:a="http://schemas.openxmlformats.org/drawingml/2006/main">
          <a:off x="4703233" y="5360139"/>
          <a:ext cx="1535993" cy="541563"/>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Kwaliteit in</a:t>
          </a:r>
          <a:br>
            <a:rPr lang="nl-NL" sz="1100" b="1" u="none" baseline="0">
              <a:solidFill>
                <a:schemeClr val="tx1"/>
              </a:solidFill>
            </a:rPr>
          </a:br>
          <a:r>
            <a:rPr lang="nl-NL" sz="1100" b="1" u="none" baseline="0">
              <a:solidFill>
                <a:schemeClr val="tx1"/>
              </a:solidFill>
            </a:rPr>
            <a:t>procenten  &amp; punten</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cdr:x>
      <cdr:y>0.9268</cdr:y>
    </cdr:from>
    <cdr:to>
      <cdr:x>0.11977</cdr:x>
      <cdr:y>0.97445</cdr:y>
    </cdr:to>
    <cdr:sp macro="" textlink="">
      <cdr:nvSpPr>
        <cdr:cNvPr id="3" name="Rechthoek 2">
          <a:extLst xmlns:a="http://schemas.openxmlformats.org/drawingml/2006/main">
            <a:ext uri="{FF2B5EF4-FFF2-40B4-BE49-F238E27FC236}">
              <a16:creationId xmlns:a16="http://schemas.microsoft.com/office/drawing/2014/main" id="{8F5A0A27-CADB-EC8D-FECE-CC8B1617F036}"/>
            </a:ext>
          </a:extLst>
        </cdr:cNvPr>
        <cdr:cNvSpPr/>
      </cdr:nvSpPr>
      <cdr:spPr>
        <a:xfrm xmlns:a="http://schemas.openxmlformats.org/drawingml/2006/main">
          <a:off x="0" y="5915366"/>
          <a:ext cx="758825" cy="304160"/>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0" u="none" baseline="0">
              <a:solidFill>
                <a:schemeClr val="tx1"/>
              </a:solidFill>
            </a:rPr>
            <a:t>Procenten -</a:t>
          </a:r>
          <a:endParaRPr lang="nl-NL" sz="900" b="0" u="none">
            <a:solidFill>
              <a:schemeClr val="tx1"/>
            </a:solidFill>
          </a:endParaRPr>
        </a:p>
      </cdr:txBody>
    </cdr:sp>
  </cdr:relSizeAnchor>
  <cdr:relSizeAnchor xmlns:cdr="http://schemas.openxmlformats.org/drawingml/2006/chartDrawing">
    <cdr:from>
      <cdr:x>0</cdr:x>
      <cdr:y>0.96235</cdr:y>
    </cdr:from>
    <cdr:to>
      <cdr:x>0.14182</cdr:x>
      <cdr:y>0.99862</cdr:y>
    </cdr:to>
    <cdr:sp macro="" textlink="">
      <cdr:nvSpPr>
        <cdr:cNvPr id="4" name="Rechthoek 3">
          <a:extLst xmlns:a="http://schemas.openxmlformats.org/drawingml/2006/main">
            <a:ext uri="{FF2B5EF4-FFF2-40B4-BE49-F238E27FC236}">
              <a16:creationId xmlns:a16="http://schemas.microsoft.com/office/drawing/2014/main" id="{CF44A2CD-E014-3BCD-8D30-402A78A4100B}"/>
            </a:ext>
          </a:extLst>
        </cdr:cNvPr>
        <cdr:cNvSpPr/>
      </cdr:nvSpPr>
      <cdr:spPr>
        <a:xfrm xmlns:a="http://schemas.openxmlformats.org/drawingml/2006/main">
          <a:off x="0" y="6142258"/>
          <a:ext cx="898525" cy="23152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1" u="none" baseline="0">
              <a:solidFill>
                <a:schemeClr val="tx1"/>
              </a:solidFill>
            </a:rPr>
            <a:t>Punten -</a:t>
          </a:r>
          <a:endParaRPr lang="nl-NL" sz="900" b="1" u="none">
            <a:solidFill>
              <a:schemeClr val="tx1"/>
            </a:solidFill>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1</xdr:col>
      <xdr:colOff>6350</xdr:colOff>
      <xdr:row>5</xdr:row>
      <xdr:rowOff>0</xdr:rowOff>
    </xdr:from>
    <xdr:to>
      <xdr:col>1</xdr:col>
      <xdr:colOff>6356350</xdr:colOff>
      <xdr:row>23</xdr:row>
      <xdr:rowOff>6350</xdr:rowOff>
    </xdr:to>
    <xdr:graphicFrame macro="">
      <xdr:nvGraphicFramePr>
        <xdr:cNvPr id="2" name="Grafiek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0.73215</cdr:x>
      <cdr:y>0.84842</cdr:y>
    </cdr:from>
    <cdr:to>
      <cdr:x>0.97426</cdr:x>
      <cdr:y>0.93448</cdr:y>
    </cdr:to>
    <cdr:sp macro="" textlink="">
      <cdr:nvSpPr>
        <cdr:cNvPr id="2" name="Rechthoek 1"/>
        <cdr:cNvSpPr/>
      </cdr:nvSpPr>
      <cdr:spPr>
        <a:xfrm xmlns:a="http://schemas.openxmlformats.org/drawingml/2006/main">
          <a:off x="4649128" y="5398903"/>
          <a:ext cx="1537419" cy="54764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Kwaliteit in</a:t>
          </a:r>
          <a:br>
            <a:rPr lang="nl-NL" sz="1100" b="1" u="none" baseline="0">
              <a:solidFill>
                <a:schemeClr val="tx1"/>
              </a:solidFill>
            </a:rPr>
          </a:br>
          <a:r>
            <a:rPr lang="nl-NL" sz="1100" b="1" u="none" baseline="0">
              <a:solidFill>
                <a:schemeClr val="tx1"/>
              </a:solidFill>
            </a:rPr>
            <a:t>procenten  &amp; punten</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cdr:x>
      <cdr:y>0.92827</cdr:y>
    </cdr:from>
    <cdr:to>
      <cdr:x>0.1195</cdr:x>
      <cdr:y>0.9792</cdr:y>
    </cdr:to>
    <cdr:sp macro="" textlink="">
      <cdr:nvSpPr>
        <cdr:cNvPr id="3" name="Rechthoek 2">
          <a:extLst xmlns:a="http://schemas.openxmlformats.org/drawingml/2006/main">
            <a:ext uri="{FF2B5EF4-FFF2-40B4-BE49-F238E27FC236}">
              <a16:creationId xmlns:a16="http://schemas.microsoft.com/office/drawing/2014/main" id="{B7A1EBDD-65EC-A6DB-40E3-593DBFFEAFAE}"/>
            </a:ext>
          </a:extLst>
        </cdr:cNvPr>
        <cdr:cNvSpPr/>
      </cdr:nvSpPr>
      <cdr:spPr>
        <a:xfrm xmlns:a="http://schemas.openxmlformats.org/drawingml/2006/main">
          <a:off x="0" y="5955522"/>
          <a:ext cx="758825" cy="32675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0" u="none" baseline="0">
              <a:solidFill>
                <a:schemeClr val="tx1"/>
              </a:solidFill>
            </a:rPr>
            <a:t>Procenten -</a:t>
          </a:r>
          <a:endParaRPr lang="nl-NL" sz="900" b="0" u="none">
            <a:solidFill>
              <a:schemeClr val="tx1"/>
            </a:solidFill>
          </a:endParaRPr>
        </a:p>
      </cdr:txBody>
    </cdr:sp>
  </cdr:relSizeAnchor>
  <cdr:relSizeAnchor xmlns:cdr="http://schemas.openxmlformats.org/drawingml/2006/chartDrawing">
    <cdr:from>
      <cdr:x>0</cdr:x>
      <cdr:y>0.95764</cdr:y>
    </cdr:from>
    <cdr:to>
      <cdr:x>0.1415</cdr:x>
      <cdr:y>0.9941</cdr:y>
    </cdr:to>
    <cdr:sp macro="" textlink="">
      <cdr:nvSpPr>
        <cdr:cNvPr id="4" name="Rechthoek 3">
          <a:extLst xmlns:a="http://schemas.openxmlformats.org/drawingml/2006/main">
            <a:ext uri="{FF2B5EF4-FFF2-40B4-BE49-F238E27FC236}">
              <a16:creationId xmlns:a16="http://schemas.microsoft.com/office/drawing/2014/main" id="{A13FFE7E-69D8-4D15-814F-A94FCA81EAB7}"/>
            </a:ext>
          </a:extLst>
        </cdr:cNvPr>
        <cdr:cNvSpPr/>
      </cdr:nvSpPr>
      <cdr:spPr>
        <a:xfrm xmlns:a="http://schemas.openxmlformats.org/drawingml/2006/main">
          <a:off x="0" y="5670551"/>
          <a:ext cx="898525" cy="215899"/>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1" u="none" baseline="0">
              <a:solidFill>
                <a:schemeClr val="tx1"/>
              </a:solidFill>
            </a:rPr>
            <a:t>Punten -</a:t>
          </a:r>
          <a:endParaRPr lang="nl-NL" sz="900" b="1" u="none">
            <a:solidFill>
              <a:schemeClr val="tx1"/>
            </a:solidFill>
          </a:endParaRPr>
        </a:p>
      </cdr:txBody>
    </cdr:sp>
  </cdr:relSizeAnchor>
</c:userShapes>
</file>

<file path=xl/drawings/drawing10.xml><?xml version="1.0" encoding="utf-8"?>
<xdr:wsDr xmlns:xdr="http://schemas.openxmlformats.org/drawingml/2006/spreadsheetDrawing" xmlns:a="http://schemas.openxmlformats.org/drawingml/2006/main">
  <xdr:twoCellAnchor>
    <xdr:from>
      <xdr:col>1</xdr:col>
      <xdr:colOff>6350</xdr:colOff>
      <xdr:row>5</xdr:row>
      <xdr:rowOff>0</xdr:rowOff>
    </xdr:from>
    <xdr:to>
      <xdr:col>1</xdr:col>
      <xdr:colOff>6356350</xdr:colOff>
      <xdr:row>23</xdr:row>
      <xdr:rowOff>6350</xdr:rowOff>
    </xdr:to>
    <xdr:graphicFrame macro="">
      <xdr:nvGraphicFramePr>
        <xdr:cNvPr id="5" name="Grafiek1">
          <a:extLst>
            <a:ext uri="{FF2B5EF4-FFF2-40B4-BE49-F238E27FC236}">
              <a16:creationId xmlns:a16="http://schemas.microsoft.com/office/drawing/2014/main"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0.71071</cdr:x>
      <cdr:y>0.84995</cdr:y>
    </cdr:from>
    <cdr:to>
      <cdr:x>0.95708</cdr:x>
      <cdr:y>0.93601</cdr:y>
    </cdr:to>
    <cdr:sp macro="" textlink="">
      <cdr:nvSpPr>
        <cdr:cNvPr id="2" name="Rechthoek 1"/>
        <cdr:cNvSpPr/>
      </cdr:nvSpPr>
      <cdr:spPr>
        <a:xfrm xmlns:a="http://schemas.openxmlformats.org/drawingml/2006/main">
          <a:off x="4513009" y="5397183"/>
          <a:ext cx="1564449" cy="54648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Kwaliteit in</a:t>
          </a:r>
          <a:br>
            <a:rPr lang="nl-NL" sz="1100" b="1" u="none" baseline="0">
              <a:solidFill>
                <a:schemeClr val="tx1"/>
              </a:solidFill>
            </a:rPr>
          </a:br>
          <a:r>
            <a:rPr lang="nl-NL" sz="1100" b="1" u="none" baseline="0">
              <a:solidFill>
                <a:schemeClr val="tx1"/>
              </a:solidFill>
            </a:rPr>
            <a:t>procenten  &amp; punten</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cdr:x>
      <cdr:y>0.92827</cdr:y>
    </cdr:from>
    <cdr:to>
      <cdr:x>0.1195</cdr:x>
      <cdr:y>0.9792</cdr:y>
    </cdr:to>
    <cdr:sp macro="" textlink="">
      <cdr:nvSpPr>
        <cdr:cNvPr id="3" name="Rechthoek 2">
          <a:extLst xmlns:a="http://schemas.openxmlformats.org/drawingml/2006/main">
            <a:ext uri="{FF2B5EF4-FFF2-40B4-BE49-F238E27FC236}">
              <a16:creationId xmlns:a16="http://schemas.microsoft.com/office/drawing/2014/main" id="{B7A1EBDD-65EC-A6DB-40E3-593DBFFEAFAE}"/>
            </a:ext>
          </a:extLst>
        </cdr:cNvPr>
        <cdr:cNvSpPr/>
      </cdr:nvSpPr>
      <cdr:spPr>
        <a:xfrm xmlns:a="http://schemas.openxmlformats.org/drawingml/2006/main">
          <a:off x="0" y="5955522"/>
          <a:ext cx="758825" cy="32675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0" u="none" baseline="0">
              <a:solidFill>
                <a:schemeClr val="tx1"/>
              </a:solidFill>
            </a:rPr>
            <a:t>Procenten -</a:t>
          </a:r>
          <a:endParaRPr lang="nl-NL" sz="900" b="0" u="none">
            <a:solidFill>
              <a:schemeClr val="tx1"/>
            </a:solidFill>
          </a:endParaRPr>
        </a:p>
      </cdr:txBody>
    </cdr:sp>
  </cdr:relSizeAnchor>
  <cdr:relSizeAnchor xmlns:cdr="http://schemas.openxmlformats.org/drawingml/2006/chartDrawing">
    <cdr:from>
      <cdr:x>0</cdr:x>
      <cdr:y>0.95764</cdr:y>
    </cdr:from>
    <cdr:to>
      <cdr:x>0.1415</cdr:x>
      <cdr:y>0.9941</cdr:y>
    </cdr:to>
    <cdr:sp macro="" textlink="">
      <cdr:nvSpPr>
        <cdr:cNvPr id="4" name="Rechthoek 3">
          <a:extLst xmlns:a="http://schemas.openxmlformats.org/drawingml/2006/main">
            <a:ext uri="{FF2B5EF4-FFF2-40B4-BE49-F238E27FC236}">
              <a16:creationId xmlns:a16="http://schemas.microsoft.com/office/drawing/2014/main" id="{A13FFE7E-69D8-4D15-814F-A94FCA81EAB7}"/>
            </a:ext>
          </a:extLst>
        </cdr:cNvPr>
        <cdr:cNvSpPr/>
      </cdr:nvSpPr>
      <cdr:spPr>
        <a:xfrm xmlns:a="http://schemas.openxmlformats.org/drawingml/2006/main">
          <a:off x="0" y="6008630"/>
          <a:ext cx="898525" cy="228765"/>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1" u="none" baseline="0">
              <a:solidFill>
                <a:schemeClr val="tx1"/>
              </a:solidFill>
            </a:rPr>
            <a:t>Punten -</a:t>
          </a:r>
          <a:endParaRPr lang="nl-NL" sz="900" b="1" u="none">
            <a:solidFill>
              <a:schemeClr val="tx1"/>
            </a:solidFill>
          </a:endParaRPr>
        </a:p>
      </cdr:txBody>
    </cdr:sp>
  </cdr:relSizeAnchor>
</c:userShapes>
</file>

<file path=xl/drawings/drawing12.xml><?xml version="1.0" encoding="utf-8"?>
<xdr:wsDr xmlns:xdr="http://schemas.openxmlformats.org/drawingml/2006/spreadsheetDrawing" xmlns:a="http://schemas.openxmlformats.org/drawingml/2006/main">
  <xdr:twoCellAnchor>
    <xdr:from>
      <xdr:col>6</xdr:col>
      <xdr:colOff>647119</xdr:colOff>
      <xdr:row>1</xdr:row>
      <xdr:rowOff>105925</xdr:rowOff>
    </xdr:from>
    <xdr:to>
      <xdr:col>11</xdr:col>
      <xdr:colOff>106017</xdr:colOff>
      <xdr:row>3</xdr:row>
      <xdr:rowOff>95494</xdr:rowOff>
    </xdr:to>
    <xdr:sp macro="[0]!TBV_Onderzoek.TBV_Onderzoek" textlink="">
      <xdr:nvSpPr>
        <xdr:cNvPr id="2" name="Rechthoek 1">
          <a:extLst>
            <a:ext uri="{FF2B5EF4-FFF2-40B4-BE49-F238E27FC236}">
              <a16:creationId xmlns:a16="http://schemas.microsoft.com/office/drawing/2014/main" id="{00000000-0008-0000-0600-000002000000}"/>
            </a:ext>
          </a:extLst>
        </xdr:cNvPr>
        <xdr:cNvSpPr/>
      </xdr:nvSpPr>
      <xdr:spPr>
        <a:xfrm>
          <a:off x="7444505" y="376522"/>
          <a:ext cx="3647734" cy="530762"/>
        </a:xfrm>
        <a:prstGeom prst="rect">
          <a:avLst/>
        </a:prstGeom>
        <a:solidFill>
          <a:srgbClr val="FFFF99"/>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nl-NL" sz="1600">
              <a:solidFill>
                <a:schemeClr val="tx1"/>
              </a:solidFill>
            </a:rPr>
            <a:t>Versturen</a:t>
          </a:r>
          <a:r>
            <a:rPr lang="nl-NL" sz="1600" baseline="0">
              <a:solidFill>
                <a:schemeClr val="tx1"/>
              </a:solidFill>
            </a:rPr>
            <a:t> gegevens</a:t>
          </a:r>
          <a:endParaRPr lang="nl-NL" sz="16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oneCellAnchor>
    <xdr:from>
      <xdr:col>6</xdr:col>
      <xdr:colOff>2905125</xdr:colOff>
      <xdr:row>3</xdr:row>
      <xdr:rowOff>104775</xdr:rowOff>
    </xdr:from>
    <xdr:ext cx="1743075" cy="520125"/>
    <xdr:pic>
      <xdr:nvPicPr>
        <xdr:cNvPr id="3" name="Afbeelding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9667875" y="809625"/>
          <a:ext cx="1743075" cy="520125"/>
        </a:xfrm>
        <a:prstGeom prst="rect">
          <a:avLst/>
        </a:prstGeom>
      </xdr:spPr>
    </xdr:pic>
    <xdr:clientData/>
  </xdr:oneCellAnchor>
  <xdr:twoCellAnchor>
    <xdr:from>
      <xdr:col>1</xdr:col>
      <xdr:colOff>6350</xdr:colOff>
      <xdr:row>7</xdr:row>
      <xdr:rowOff>0</xdr:rowOff>
    </xdr:from>
    <xdr:to>
      <xdr:col>5</xdr:col>
      <xdr:colOff>831850</xdr:colOff>
      <xdr:row>29</xdr:row>
      <xdr:rowOff>63500</xdr:rowOff>
    </xdr:to>
    <xdr:graphicFrame macro="">
      <xdr:nvGraphicFramePr>
        <xdr:cNvPr id="2" name="Grafiek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c:userShapes xmlns:c="http://schemas.openxmlformats.org/drawingml/2006/chart">
  <cdr:relSizeAnchor xmlns:cdr="http://schemas.openxmlformats.org/drawingml/2006/chartDrawing">
    <cdr:from>
      <cdr:x>0.73894</cdr:x>
      <cdr:y>0.85246</cdr:y>
    </cdr:from>
    <cdr:to>
      <cdr:x>0.98531</cdr:x>
      <cdr:y>0.93852</cdr:y>
    </cdr:to>
    <cdr:sp macro="" textlink="">
      <cdr:nvSpPr>
        <cdr:cNvPr id="2" name="Rechthoek 1"/>
        <cdr:cNvSpPr/>
      </cdr:nvSpPr>
      <cdr:spPr>
        <a:xfrm xmlns:a="http://schemas.openxmlformats.org/drawingml/2006/main">
          <a:off x="4692269" y="5348694"/>
          <a:ext cx="1564450" cy="539976"/>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1100" b="1" u="none" baseline="0">
              <a:solidFill>
                <a:schemeClr val="tx1"/>
              </a:solidFill>
            </a:rPr>
            <a:t>Kwaliteit in</a:t>
          </a:r>
          <a:br>
            <a:rPr lang="nl-NL" sz="1100" b="1" u="none" baseline="0">
              <a:solidFill>
                <a:schemeClr val="tx1"/>
              </a:solidFill>
            </a:rPr>
          </a:br>
          <a:r>
            <a:rPr lang="nl-NL" sz="1100" b="1" u="none" baseline="0">
              <a:solidFill>
                <a:schemeClr val="tx1"/>
              </a:solidFill>
            </a:rPr>
            <a:t>procenten  &amp; punten</a:t>
          </a:r>
        </a:p>
        <a:p xmlns:a="http://schemas.openxmlformats.org/drawingml/2006/main">
          <a:pPr algn="ctr"/>
          <a:endParaRPr lang="nl-NL" sz="1100" b="1" u="none">
            <a:solidFill>
              <a:schemeClr val="tx1"/>
            </a:solidFill>
          </a:endParaRPr>
        </a:p>
      </cdr:txBody>
    </cdr:sp>
  </cdr:relSizeAnchor>
  <cdr:relSizeAnchor xmlns:cdr="http://schemas.openxmlformats.org/drawingml/2006/chartDrawing">
    <cdr:from>
      <cdr:x>0</cdr:x>
      <cdr:y>0.92827</cdr:y>
    </cdr:from>
    <cdr:to>
      <cdr:x>0.1195</cdr:x>
      <cdr:y>0.9792</cdr:y>
    </cdr:to>
    <cdr:sp macro="" textlink="">
      <cdr:nvSpPr>
        <cdr:cNvPr id="3" name="Rechthoek 2">
          <a:extLst xmlns:a="http://schemas.openxmlformats.org/drawingml/2006/main">
            <a:ext uri="{FF2B5EF4-FFF2-40B4-BE49-F238E27FC236}">
              <a16:creationId xmlns:a16="http://schemas.microsoft.com/office/drawing/2014/main" id="{B7A1EBDD-65EC-A6DB-40E3-593DBFFEAFAE}"/>
            </a:ext>
          </a:extLst>
        </cdr:cNvPr>
        <cdr:cNvSpPr/>
      </cdr:nvSpPr>
      <cdr:spPr>
        <a:xfrm xmlns:a="http://schemas.openxmlformats.org/drawingml/2006/main">
          <a:off x="0" y="5955522"/>
          <a:ext cx="758825" cy="326751"/>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0" u="none" baseline="0">
              <a:solidFill>
                <a:schemeClr val="tx1"/>
              </a:solidFill>
            </a:rPr>
            <a:t>Procenten -</a:t>
          </a:r>
          <a:endParaRPr lang="nl-NL" sz="900" b="0" u="none">
            <a:solidFill>
              <a:schemeClr val="tx1"/>
            </a:solidFill>
          </a:endParaRPr>
        </a:p>
      </cdr:txBody>
    </cdr:sp>
  </cdr:relSizeAnchor>
  <cdr:relSizeAnchor xmlns:cdr="http://schemas.openxmlformats.org/drawingml/2006/chartDrawing">
    <cdr:from>
      <cdr:x>0</cdr:x>
      <cdr:y>0.95764</cdr:y>
    </cdr:from>
    <cdr:to>
      <cdr:x>0.1415</cdr:x>
      <cdr:y>0.9941</cdr:y>
    </cdr:to>
    <cdr:sp macro="" textlink="">
      <cdr:nvSpPr>
        <cdr:cNvPr id="4" name="Rechthoek 3">
          <a:extLst xmlns:a="http://schemas.openxmlformats.org/drawingml/2006/main">
            <a:ext uri="{FF2B5EF4-FFF2-40B4-BE49-F238E27FC236}">
              <a16:creationId xmlns:a16="http://schemas.microsoft.com/office/drawing/2014/main" id="{A13FFE7E-69D8-4D15-814F-A94FCA81EAB7}"/>
            </a:ext>
          </a:extLst>
        </cdr:cNvPr>
        <cdr:cNvSpPr/>
      </cdr:nvSpPr>
      <cdr:spPr>
        <a:xfrm xmlns:a="http://schemas.openxmlformats.org/drawingml/2006/main">
          <a:off x="0" y="6008630"/>
          <a:ext cx="898525" cy="228765"/>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900" b="1" u="none" baseline="0">
              <a:solidFill>
                <a:schemeClr val="tx1"/>
              </a:solidFill>
            </a:rPr>
            <a:t>Punten -</a:t>
          </a:r>
          <a:endParaRPr lang="nl-NL" sz="900" b="1" u="none">
            <a:solidFill>
              <a:schemeClr val="tx1"/>
            </a:solidFill>
          </a:endParaRPr>
        </a:p>
      </cdr:txBody>
    </cdr:sp>
  </cdr:relSizeAnchor>
</c:userShapes>
</file>

<file path=xl/drawings/drawing15.xml><?xml version="1.0" encoding="utf-8"?>
<xdr:wsDr xmlns:xdr="http://schemas.openxmlformats.org/drawingml/2006/spreadsheetDrawing" xmlns:a="http://schemas.openxmlformats.org/drawingml/2006/main">
  <xdr:twoCellAnchor editAs="oneCell">
    <xdr:from>
      <xdr:col>61</xdr:col>
      <xdr:colOff>315982</xdr:colOff>
      <xdr:row>26</xdr:row>
      <xdr:rowOff>27491</xdr:rowOff>
    </xdr:from>
    <xdr:to>
      <xdr:col>64</xdr:col>
      <xdr:colOff>1216826</xdr:colOff>
      <xdr:row>30</xdr:row>
      <xdr:rowOff>35766</xdr:rowOff>
    </xdr:to>
    <xdr:pic>
      <xdr:nvPicPr>
        <xdr:cNvPr id="3" name="Afbeelding 1">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a:srcRect r="30808"/>
        <a:stretch/>
      </xdr:blipFill>
      <xdr:spPr>
        <a:xfrm>
          <a:off x="70991482" y="4732841"/>
          <a:ext cx="4504011" cy="717880"/>
        </a:xfrm>
        <a:prstGeom prst="rect">
          <a:avLst/>
        </a:prstGeom>
      </xdr:spPr>
    </xdr:pic>
    <xdr:clientData/>
  </xdr:twoCellAnchor>
  <xdr:twoCellAnchor>
    <xdr:from>
      <xdr:col>45</xdr:col>
      <xdr:colOff>43910</xdr:colOff>
      <xdr:row>88</xdr:row>
      <xdr:rowOff>119743</xdr:rowOff>
    </xdr:from>
    <xdr:to>
      <xdr:col>48</xdr:col>
      <xdr:colOff>867675</xdr:colOff>
      <xdr:row>110</xdr:row>
      <xdr:rowOff>162297</xdr:rowOff>
    </xdr:to>
    <xdr:graphicFrame macro="">
      <xdr:nvGraphicFramePr>
        <xdr:cNvPr id="2" name="Grafiek1">
          <a:extLst>
            <a:ext uri="{FF2B5EF4-FFF2-40B4-BE49-F238E27FC236}">
              <a16:creationId xmlns:a16="http://schemas.microsoft.com/office/drawing/2014/main" id="{3487B011-45F9-4A3B-8790-A64E50138E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61</xdr:col>
      <xdr:colOff>323848</xdr:colOff>
      <xdr:row>29</xdr:row>
      <xdr:rowOff>152176</xdr:rowOff>
    </xdr:from>
    <xdr:to>
      <xdr:col>64</xdr:col>
      <xdr:colOff>840524</xdr:colOff>
      <xdr:row>35</xdr:row>
      <xdr:rowOff>1004</xdr:rowOff>
    </xdr:to>
    <xdr:pic>
      <xdr:nvPicPr>
        <xdr:cNvPr id="5" name="Afbeelding 4">
          <a:extLst>
            <a:ext uri="{FF2B5EF4-FFF2-40B4-BE49-F238E27FC236}">
              <a16:creationId xmlns:a16="http://schemas.microsoft.com/office/drawing/2014/main" id="{D141EE92-650C-4FC1-60CD-9C04D55D8FF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0999348" y="5400451"/>
          <a:ext cx="4132092" cy="924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c:userShapes xmlns:c="http://schemas.openxmlformats.org/drawingml/2006/chart">
  <cdr:relSizeAnchor xmlns:cdr="http://schemas.openxmlformats.org/drawingml/2006/chartDrawing">
    <cdr:from>
      <cdr:x>0.73349</cdr:x>
      <cdr:y>0.85293</cdr:y>
    </cdr:from>
    <cdr:to>
      <cdr:x>0.97457</cdr:x>
      <cdr:y>0.92713</cdr:y>
    </cdr:to>
    <cdr:sp macro="" textlink="">
      <cdr:nvSpPr>
        <cdr:cNvPr id="2" name="Rechthoek 1"/>
        <cdr:cNvSpPr/>
      </cdr:nvSpPr>
      <cdr:spPr>
        <a:xfrm xmlns:a="http://schemas.openxmlformats.org/drawingml/2006/main">
          <a:off x="3266568" y="3572294"/>
          <a:ext cx="1073636" cy="310798"/>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700" b="1" u="none" baseline="0">
              <a:solidFill>
                <a:schemeClr val="tx1"/>
              </a:solidFill>
            </a:rPr>
            <a:t>Kwaliteit in</a:t>
          </a:r>
          <a:br>
            <a:rPr lang="nl-NL" sz="700" b="1" u="none" baseline="0">
              <a:solidFill>
                <a:schemeClr val="tx1"/>
              </a:solidFill>
            </a:rPr>
          </a:br>
          <a:r>
            <a:rPr lang="nl-NL" sz="700" b="1" u="none" baseline="0">
              <a:solidFill>
                <a:schemeClr val="tx1"/>
              </a:solidFill>
            </a:rPr>
            <a:t>procenten  &amp; punten</a:t>
          </a:r>
        </a:p>
        <a:p xmlns:a="http://schemas.openxmlformats.org/drawingml/2006/main">
          <a:pPr algn="ctr"/>
          <a:endParaRPr lang="nl-NL" sz="700" b="1" u="none">
            <a:solidFill>
              <a:schemeClr val="tx1"/>
            </a:solidFill>
          </a:endParaRPr>
        </a:p>
      </cdr:txBody>
    </cdr:sp>
  </cdr:relSizeAnchor>
  <cdr:relSizeAnchor xmlns:cdr="http://schemas.openxmlformats.org/drawingml/2006/chartDrawing">
    <cdr:from>
      <cdr:x>0</cdr:x>
      <cdr:y>0.95056</cdr:y>
    </cdr:from>
    <cdr:to>
      <cdr:x>0.14182</cdr:x>
      <cdr:y>0.98683</cdr:y>
    </cdr:to>
    <cdr:sp macro="" textlink="">
      <cdr:nvSpPr>
        <cdr:cNvPr id="4" name="Rechthoek 3">
          <a:extLst xmlns:a="http://schemas.openxmlformats.org/drawingml/2006/main">
            <a:ext uri="{FF2B5EF4-FFF2-40B4-BE49-F238E27FC236}">
              <a16:creationId xmlns:a16="http://schemas.microsoft.com/office/drawing/2014/main" id="{CF44A2CD-E014-3BCD-8D30-402A78A4100B}"/>
            </a:ext>
          </a:extLst>
        </cdr:cNvPr>
        <cdr:cNvSpPr/>
      </cdr:nvSpPr>
      <cdr:spPr>
        <a:xfrm xmlns:a="http://schemas.openxmlformats.org/drawingml/2006/main">
          <a:off x="0" y="3950176"/>
          <a:ext cx="631367" cy="150724"/>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800" b="1" u="none" baseline="0">
              <a:solidFill>
                <a:schemeClr val="tx1"/>
              </a:solidFill>
            </a:rPr>
            <a:t># -</a:t>
          </a:r>
          <a:endParaRPr lang="nl-NL" sz="800" b="1" u="none">
            <a:solidFill>
              <a:schemeClr val="tx1"/>
            </a:solidFill>
          </a:endParaRPr>
        </a:p>
      </cdr:txBody>
    </cdr:sp>
  </cdr:relSizeAnchor>
  <cdr:relSizeAnchor xmlns:cdr="http://schemas.openxmlformats.org/drawingml/2006/chartDrawing">
    <cdr:from>
      <cdr:x>0</cdr:x>
      <cdr:y>0.92849</cdr:y>
    </cdr:from>
    <cdr:to>
      <cdr:x>0.14182</cdr:x>
      <cdr:y>0.96476</cdr:y>
    </cdr:to>
    <cdr:sp macro="" textlink="">
      <cdr:nvSpPr>
        <cdr:cNvPr id="6" name="Rechthoek 5">
          <a:extLst xmlns:a="http://schemas.openxmlformats.org/drawingml/2006/main">
            <a:ext uri="{FF2B5EF4-FFF2-40B4-BE49-F238E27FC236}">
              <a16:creationId xmlns:a16="http://schemas.microsoft.com/office/drawing/2014/main" id="{6C0F68B4-E16C-303A-BD27-835241B59B6A}"/>
            </a:ext>
          </a:extLst>
        </cdr:cNvPr>
        <cdr:cNvSpPr/>
      </cdr:nvSpPr>
      <cdr:spPr>
        <a:xfrm xmlns:a="http://schemas.openxmlformats.org/drawingml/2006/main">
          <a:off x="0" y="3888791"/>
          <a:ext cx="631588" cy="151908"/>
        </a:xfrm>
        <a:prstGeom xmlns:a="http://schemas.openxmlformats.org/drawingml/2006/main" prst="rect">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wrap="square"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ctr"/>
          <a:r>
            <a:rPr lang="nl-NL" sz="800" b="1" u="none" baseline="0">
              <a:solidFill>
                <a:schemeClr val="tx1"/>
              </a:solidFill>
            </a:rPr>
            <a:t>% -</a:t>
          </a:r>
          <a:endParaRPr lang="nl-NL" sz="800" b="1" u="none">
            <a:solidFill>
              <a:schemeClr val="tx1"/>
            </a:solidFill>
          </a:endParaRPr>
        </a:p>
      </cdr:txBody>
    </cdr:sp>
  </cdr:relSizeAnchor>
</c:userShape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ocurement.economics@belastingdienst.n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tabColor rgb="FF8FCAE7"/>
  </sheetPr>
  <dimension ref="B1:H23"/>
  <sheetViews>
    <sheetView showGridLines="0" showRowColHeaders="0" tabSelected="1" zoomScale="111" zoomScaleNormal="111" workbookViewId="0"/>
  </sheetViews>
  <sheetFormatPr defaultColWidth="9.140625" defaultRowHeight="15" x14ac:dyDescent="0.25"/>
  <cols>
    <col min="1" max="1" width="3.7109375" customWidth="1"/>
    <col min="2" max="3" width="10.7109375" customWidth="1"/>
    <col min="4" max="4" width="40.7109375" customWidth="1"/>
    <col min="5" max="5" width="21.7109375" customWidth="1"/>
    <col min="6" max="6" width="45.7109375" customWidth="1"/>
    <col min="7" max="7" width="58.7109375" customWidth="1"/>
    <col min="8" max="8" width="50.7109375" customWidth="1"/>
    <col min="9" max="9" width="3.7109375" customWidth="1"/>
  </cols>
  <sheetData>
    <row r="1" spans="2:8" ht="21" customHeight="1" x14ac:dyDescent="0.25"/>
    <row r="2" spans="2:8" ht="21" customHeight="1" x14ac:dyDescent="0.25">
      <c r="B2" s="466" t="s">
        <v>84</v>
      </c>
      <c r="C2" s="466"/>
      <c r="D2" s="466"/>
      <c r="E2" s="66"/>
      <c r="F2" s="66"/>
      <c r="G2" s="66"/>
      <c r="H2" s="66"/>
    </row>
    <row r="3" spans="2:8" ht="21" customHeight="1" x14ac:dyDescent="0.25">
      <c r="B3" s="466"/>
      <c r="C3" s="466"/>
      <c r="D3" s="466"/>
      <c r="E3" s="116"/>
      <c r="F3" s="116"/>
      <c r="G3" s="116"/>
      <c r="H3" s="116"/>
    </row>
    <row r="4" spans="2:8" ht="21" customHeight="1" x14ac:dyDescent="0.25">
      <c r="B4" s="466"/>
      <c r="C4" s="466"/>
      <c r="D4" s="466"/>
      <c r="E4" s="116"/>
      <c r="F4" s="116"/>
      <c r="G4" s="116"/>
      <c r="H4" s="116"/>
    </row>
    <row r="5" spans="2:8" ht="27.95" customHeight="1" x14ac:dyDescent="0.3">
      <c r="B5" s="308" t="s">
        <v>355</v>
      </c>
    </row>
    <row r="6" spans="2:8" ht="10.5" customHeight="1" x14ac:dyDescent="0.25"/>
    <row r="7" spans="2:8" ht="10.5" customHeight="1" x14ac:dyDescent="0.25"/>
    <row r="8" spans="2:8" ht="40.5" customHeight="1" x14ac:dyDescent="0.25">
      <c r="B8" s="463" t="s">
        <v>345</v>
      </c>
      <c r="C8" s="463"/>
      <c r="D8" s="463"/>
      <c r="E8" s="463"/>
      <c r="F8" s="463"/>
      <c r="G8" s="463"/>
    </row>
    <row r="9" spans="2:8" ht="27.95" customHeight="1" x14ac:dyDescent="0.25">
      <c r="B9" s="463" t="s">
        <v>375</v>
      </c>
      <c r="C9" s="463"/>
      <c r="D9" s="463"/>
      <c r="E9" s="463"/>
      <c r="F9" s="463"/>
      <c r="G9" s="463"/>
    </row>
    <row r="10" spans="2:8" ht="36" customHeight="1" x14ac:dyDescent="0.25">
      <c r="B10" s="463"/>
      <c r="C10" s="463"/>
      <c r="D10" s="463"/>
      <c r="E10" s="463"/>
      <c r="F10" s="463"/>
      <c r="G10" s="463"/>
    </row>
    <row r="11" spans="2:8" ht="44.25" customHeight="1" x14ac:dyDescent="0.25">
      <c r="B11" s="463" t="s">
        <v>376</v>
      </c>
      <c r="C11" s="463"/>
      <c r="D11" s="463"/>
      <c r="E11" s="463"/>
      <c r="F11" s="463"/>
      <c r="G11" s="463"/>
    </row>
    <row r="12" spans="2:8" ht="48" customHeight="1" x14ac:dyDescent="0.25">
      <c r="B12" s="463" t="s">
        <v>370</v>
      </c>
      <c r="C12" s="463"/>
      <c r="D12" s="463"/>
      <c r="E12" s="463"/>
      <c r="F12" s="463"/>
      <c r="G12" s="463"/>
    </row>
    <row r="13" spans="2:8" ht="27.95" customHeight="1" x14ac:dyDescent="0.25">
      <c r="B13" s="463" t="s">
        <v>371</v>
      </c>
      <c r="C13" s="463"/>
      <c r="D13" s="463"/>
      <c r="E13" s="463"/>
      <c r="F13" s="463"/>
      <c r="G13" s="463"/>
    </row>
    <row r="14" spans="2:8" ht="26.25" customHeight="1" x14ac:dyDescent="0.25">
      <c r="B14" s="463" t="s">
        <v>373</v>
      </c>
      <c r="C14" s="463"/>
      <c r="D14" s="463"/>
      <c r="E14" s="463"/>
      <c r="F14" s="463"/>
      <c r="G14" s="463"/>
    </row>
    <row r="15" spans="2:8" ht="27.95" customHeight="1" x14ac:dyDescent="0.25">
      <c r="B15" s="463" t="s">
        <v>173</v>
      </c>
      <c r="C15" s="463"/>
      <c r="D15" s="463"/>
      <c r="E15" s="463"/>
      <c r="F15" s="463"/>
      <c r="G15" s="463"/>
    </row>
    <row r="16" spans="2:8" ht="41.25" customHeight="1" x14ac:dyDescent="0.25">
      <c r="B16" s="463" t="s">
        <v>372</v>
      </c>
      <c r="C16" s="463"/>
      <c r="D16" s="463"/>
      <c r="E16" s="463"/>
      <c r="F16" s="463"/>
      <c r="G16" s="463"/>
    </row>
    <row r="17" spans="2:8" ht="27.95" customHeight="1" x14ac:dyDescent="0.25">
      <c r="B17" s="463" t="s">
        <v>176</v>
      </c>
      <c r="C17" s="463"/>
      <c r="D17" s="463"/>
      <c r="E17" s="463"/>
      <c r="F17" s="463"/>
      <c r="G17" s="463"/>
    </row>
    <row r="18" spans="2:8" ht="35.1" customHeight="1" x14ac:dyDescent="0.25">
      <c r="B18" s="463"/>
      <c r="C18" s="463"/>
      <c r="D18" s="463"/>
      <c r="E18" s="463"/>
      <c r="F18" s="463"/>
      <c r="G18" s="463"/>
    </row>
    <row r="19" spans="2:8" ht="24.75" customHeight="1" x14ac:dyDescent="0.25">
      <c r="B19" s="434" t="s">
        <v>356</v>
      </c>
      <c r="C19" s="434"/>
      <c r="D19" s="434"/>
      <c r="E19" s="434"/>
      <c r="F19" s="399"/>
      <c r="G19" s="310"/>
    </row>
    <row r="20" spans="2:8" ht="27.95" customHeight="1" x14ac:dyDescent="0.25">
      <c r="B20" s="434" t="s">
        <v>377</v>
      </c>
    </row>
    <row r="21" spans="2:8" ht="15" customHeight="1" x14ac:dyDescent="0.25">
      <c r="E21" s="464" t="s">
        <v>369</v>
      </c>
      <c r="F21" s="464"/>
      <c r="G21" s="464"/>
      <c r="H21" s="464"/>
    </row>
    <row r="22" spans="2:8" ht="18.75" x14ac:dyDescent="0.25">
      <c r="E22" s="460" t="s">
        <v>374</v>
      </c>
      <c r="F22" s="460"/>
      <c r="G22" s="460"/>
      <c r="H22" s="460"/>
    </row>
    <row r="23" spans="2:8" ht="18.75" x14ac:dyDescent="0.25">
      <c r="E23" s="461" t="s">
        <v>351</v>
      </c>
      <c r="F23" s="462"/>
      <c r="G23" s="465"/>
      <c r="H23" s="465"/>
    </row>
  </sheetData>
  <sheetProtection algorithmName="SHA-512" hashValue="l3qKKVKqOJQgRgebbWiOjatW1Lnw0enUhyc2HvlL/6mdPgzCHdZwXdYaj9H3ufNOyllaT81GeW0CqFpBYE31yQ==" saltValue="h+vM6T6RbKxte7K3ra//HA==" spinCount="100000" sheet="1" objects="1" scenarios="1" selectLockedCells="1"/>
  <mergeCells count="16">
    <mergeCell ref="B2:D4"/>
    <mergeCell ref="B9:G10"/>
    <mergeCell ref="B11:G11"/>
    <mergeCell ref="B12:G12"/>
    <mergeCell ref="B13:G13"/>
    <mergeCell ref="E22:F22"/>
    <mergeCell ref="E23:F23"/>
    <mergeCell ref="B8:G8"/>
    <mergeCell ref="E21:F21"/>
    <mergeCell ref="B17:G18"/>
    <mergeCell ref="G21:H21"/>
    <mergeCell ref="G22:H22"/>
    <mergeCell ref="G23:H23"/>
    <mergeCell ref="B14:G14"/>
    <mergeCell ref="B15:G15"/>
    <mergeCell ref="B16:G16"/>
  </mergeCells>
  <hyperlinks>
    <hyperlink ref="E23" r:id="rId1" xr:uid="{0CD3AE60-4EE9-44CD-82FC-EB4141D483E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3">
    <tabColor rgb="FF8FCAE7"/>
    <pageSetUpPr fitToPage="1"/>
  </sheetPr>
  <dimension ref="A1:XES115"/>
  <sheetViews>
    <sheetView showGridLines="0" showRowColHeaders="0" showWhiteSpace="0" zoomScale="110" zoomScaleNormal="110" workbookViewId="0">
      <selection activeCell="F6" sqref="F6:G6"/>
    </sheetView>
  </sheetViews>
  <sheetFormatPr defaultColWidth="0" defaultRowHeight="15" customHeight="1" zeroHeight="1" x14ac:dyDescent="0.25"/>
  <cols>
    <col min="1" max="1" width="3.7109375" style="17" customWidth="1"/>
    <col min="2" max="2" width="95.7109375" style="17" customWidth="1"/>
    <col min="3" max="3" width="4.7109375" style="17" customWidth="1"/>
    <col min="4" max="4" width="24.7109375" style="17" customWidth="1"/>
    <col min="5" max="5" width="35.7109375" style="17" customWidth="1"/>
    <col min="6" max="7" width="11.7109375" style="17" customWidth="1"/>
    <col min="8" max="8" width="22.7109375" style="17" customWidth="1"/>
    <col min="9" max="9" width="1.7109375" style="17" customWidth="1"/>
    <col min="10" max="10" width="15.7109375" style="17" customWidth="1"/>
    <col min="11" max="11" width="16.7109375" style="17" customWidth="1"/>
    <col min="12" max="12" width="3.7109375" style="17" customWidth="1"/>
    <col min="13" max="14" width="9.140625" style="17" hidden="1" customWidth="1"/>
    <col min="15" max="21" width="19.42578125" style="17" hidden="1"/>
    <col min="22" max="23" width="13.5703125" style="17" hidden="1"/>
    <col min="24" max="16358" width="9.140625" style="17" hidden="1"/>
    <col min="16359" max="16359" width="0" style="17" hidden="1"/>
    <col min="16360" max="16366" width="9.140625" style="17" hidden="1"/>
    <col min="16367" max="16373" width="0" style="17" hidden="1"/>
    <col min="16374" max="16384" width="9.140625" style="17" hidden="1"/>
  </cols>
  <sheetData>
    <row r="1" spans="1:13" ht="21" customHeight="1" x14ac:dyDescent="0.25"/>
    <row r="2" spans="1:13" s="2" customFormat="1" ht="21" customHeight="1" x14ac:dyDescent="0.2">
      <c r="B2" s="467" t="str">
        <f>"Uitgangspunten Gewogen Factor Methode"</f>
        <v>Uitgangspunten Gewogen Factor Methode</v>
      </c>
      <c r="C2" s="20"/>
      <c r="D2" s="20"/>
      <c r="E2" s="20"/>
      <c r="F2" s="20"/>
      <c r="G2" s="20"/>
      <c r="H2" s="20"/>
      <c r="I2" s="20"/>
      <c r="J2" s="66"/>
      <c r="K2" s="66"/>
    </row>
    <row r="3" spans="1:13" s="2" customFormat="1" ht="21" customHeight="1" x14ac:dyDescent="0.2">
      <c r="B3" s="467"/>
      <c r="C3" s="69"/>
      <c r="D3" s="36" t="s">
        <v>25</v>
      </c>
      <c r="E3" s="20"/>
      <c r="F3" s="20"/>
      <c r="G3" s="20"/>
      <c r="H3" s="67" t="s">
        <v>6</v>
      </c>
      <c r="I3" s="67"/>
      <c r="J3" s="20"/>
      <c r="K3" s="20"/>
    </row>
    <row r="4" spans="1:13" s="2" customFormat="1" ht="21" customHeight="1" x14ac:dyDescent="0.2">
      <c r="B4" s="467"/>
      <c r="C4" s="20"/>
      <c r="D4" s="20"/>
      <c r="E4" s="20"/>
      <c r="F4" s="20"/>
      <c r="G4" s="20"/>
      <c r="H4" s="20"/>
      <c r="I4" s="20"/>
      <c r="J4" s="68"/>
      <c r="K4" s="68"/>
    </row>
    <row r="5" spans="1:13" s="2" customFormat="1" ht="21" customHeight="1" x14ac:dyDescent="0.2">
      <c r="B5" s="37"/>
    </row>
    <row r="6" spans="1:13" s="70" customFormat="1" ht="27.95" customHeight="1" x14ac:dyDescent="0.2">
      <c r="A6" s="2"/>
      <c r="B6" s="2"/>
      <c r="C6" s="2"/>
      <c r="D6" s="54" t="s">
        <v>11</v>
      </c>
      <c r="E6" s="449" t="s">
        <v>380</v>
      </c>
      <c r="F6" s="473" t="s">
        <v>274</v>
      </c>
      <c r="G6" s="474"/>
      <c r="H6" s="315"/>
      <c r="I6" s="316"/>
      <c r="J6" s="316"/>
      <c r="K6" s="317"/>
    </row>
    <row r="7" spans="1:13" s="70" customFormat="1" ht="27.95" customHeight="1" x14ac:dyDescent="0.2">
      <c r="A7" s="2"/>
      <c r="B7" s="2"/>
      <c r="C7" s="2"/>
      <c r="D7" s="54" t="s">
        <v>12</v>
      </c>
      <c r="E7" s="449" t="s">
        <v>381</v>
      </c>
      <c r="F7" s="471" t="s">
        <v>275</v>
      </c>
      <c r="G7" s="472"/>
      <c r="H7" s="318"/>
      <c r="I7" s="319"/>
      <c r="J7" s="319"/>
      <c r="K7" s="320"/>
    </row>
    <row r="8" spans="1:13" s="70" customFormat="1" ht="27.95" customHeight="1" x14ac:dyDescent="0.2">
      <c r="A8" s="2"/>
      <c r="B8" s="2"/>
      <c r="C8" s="2"/>
      <c r="D8" s="2"/>
      <c r="E8" s="2"/>
      <c r="F8" s="2"/>
      <c r="G8" s="2"/>
      <c r="H8" s="2"/>
      <c r="I8" s="2"/>
      <c r="K8" s="301"/>
    </row>
    <row r="9" spans="1:13" s="70" customFormat="1" ht="27.95" customHeight="1" x14ac:dyDescent="0.2">
      <c r="A9" s="2"/>
      <c r="B9" s="2"/>
      <c r="C9" s="2"/>
      <c r="D9" s="54" t="s">
        <v>266</v>
      </c>
      <c r="E9" s="71"/>
      <c r="F9" s="202"/>
      <c r="G9" s="71"/>
      <c r="H9" s="71"/>
      <c r="I9" s="71"/>
      <c r="J9" s="72"/>
      <c r="K9" s="301"/>
    </row>
    <row r="10" spans="1:13" s="70" customFormat="1" ht="27.95" customHeight="1" x14ac:dyDescent="0.2">
      <c r="A10" s="2"/>
      <c r="B10" s="2"/>
      <c r="C10" s="73">
        <v>1</v>
      </c>
      <c r="D10" s="468" t="s">
        <v>294</v>
      </c>
      <c r="E10" s="469"/>
      <c r="F10" s="469"/>
      <c r="G10" s="470"/>
      <c r="H10" s="35">
        <v>500</v>
      </c>
      <c r="I10" s="256"/>
      <c r="J10" s="257" t="s">
        <v>228</v>
      </c>
      <c r="K10" s="301"/>
    </row>
    <row r="11" spans="1:13" s="70" customFormat="1" ht="27.95" customHeight="1" x14ac:dyDescent="0.2">
      <c r="A11" s="2"/>
      <c r="B11" s="2"/>
      <c r="D11" s="468" t="s">
        <v>295</v>
      </c>
      <c r="E11" s="469"/>
      <c r="F11" s="469"/>
      <c r="G11" s="290"/>
      <c r="H11" s="371">
        <f>(H10/H12)*H13</f>
        <v>500</v>
      </c>
      <c r="I11" s="256"/>
      <c r="J11" s="257" t="s">
        <v>229</v>
      </c>
      <c r="K11" s="372">
        <f>IF(ISERROR(H11),1,IF(H11&lt;&gt;ROUND(H11,0),1,0))</f>
        <v>0</v>
      </c>
      <c r="L11" s="75"/>
    </row>
    <row r="12" spans="1:13" s="70" customFormat="1" ht="27.95" customHeight="1" x14ac:dyDescent="0.2">
      <c r="A12" s="2"/>
      <c r="B12" s="2"/>
      <c r="C12" s="73">
        <v>2</v>
      </c>
      <c r="D12" s="468" t="s">
        <v>292</v>
      </c>
      <c r="E12" s="469"/>
      <c r="F12" s="469"/>
      <c r="G12" s="470"/>
      <c r="H12" s="167">
        <v>0.5</v>
      </c>
      <c r="I12" s="256"/>
      <c r="J12" s="258" t="s">
        <v>111</v>
      </c>
      <c r="K12" s="397"/>
      <c r="L12" s="76"/>
    </row>
    <row r="13" spans="1:13" s="70" customFormat="1" ht="27.95" customHeight="1" x14ac:dyDescent="0.2">
      <c r="A13" s="2"/>
      <c r="B13" s="2"/>
      <c r="C13" s="342"/>
      <c r="D13" s="468" t="s">
        <v>293</v>
      </c>
      <c r="E13" s="469"/>
      <c r="F13" s="469"/>
      <c r="G13" s="267"/>
      <c r="H13" s="271">
        <f>1-H12</f>
        <v>0.5</v>
      </c>
      <c r="I13" s="256"/>
      <c r="J13" s="258" t="s">
        <v>110</v>
      </c>
      <c r="K13" s="301"/>
    </row>
    <row r="14" spans="1:13" s="70" customFormat="1" ht="27.95" customHeight="1" x14ac:dyDescent="0.2">
      <c r="A14" s="2"/>
      <c r="B14" s="2"/>
      <c r="C14" s="73">
        <v>3</v>
      </c>
      <c r="D14" s="468" t="s">
        <v>296</v>
      </c>
      <c r="E14" s="469"/>
      <c r="F14" s="469"/>
      <c r="G14" s="76"/>
      <c r="H14" s="74">
        <v>500000</v>
      </c>
      <c r="I14" s="259" t="str">
        <f>IF(H14&lt;=H15,"!","")</f>
        <v/>
      </c>
      <c r="J14" s="257" t="s">
        <v>112</v>
      </c>
      <c r="K14" s="301"/>
    </row>
    <row r="15" spans="1:13" s="70" customFormat="1" ht="27.95" customHeight="1" x14ac:dyDescent="0.2">
      <c r="A15" s="2"/>
      <c r="B15" s="2"/>
      <c r="C15" s="73">
        <v>4</v>
      </c>
      <c r="D15" s="468" t="s">
        <v>297</v>
      </c>
      <c r="E15" s="469"/>
      <c r="F15" s="469"/>
      <c r="G15" s="267"/>
      <c r="H15" s="74">
        <v>300000</v>
      </c>
      <c r="I15" s="259" t="str">
        <f>IF(H15&gt;=H14,"!","")</f>
        <v/>
      </c>
      <c r="J15" s="257" t="s">
        <v>140</v>
      </c>
      <c r="K15" s="301"/>
      <c r="M15" s="79"/>
    </row>
    <row r="16" spans="1:13" s="70" customFormat="1" ht="27.95" customHeight="1" x14ac:dyDescent="0.2">
      <c r="A16" s="2"/>
      <c r="B16" s="2"/>
      <c r="C16" s="73">
        <v>5</v>
      </c>
      <c r="D16" s="468" t="s">
        <v>301</v>
      </c>
      <c r="E16" s="469"/>
      <c r="F16" s="469"/>
      <c r="G16" s="56"/>
      <c r="H16" s="281">
        <v>1</v>
      </c>
      <c r="I16" s="256"/>
      <c r="J16" s="257" t="s">
        <v>218</v>
      </c>
      <c r="K16" s="301"/>
    </row>
    <row r="17" spans="3:22" s="2" customFormat="1" ht="27.95" customHeight="1" x14ac:dyDescent="0.2">
      <c r="C17" s="70"/>
      <c r="D17" s="54" t="s">
        <v>344</v>
      </c>
      <c r="E17" s="71"/>
      <c r="F17" s="202"/>
      <c r="G17" s="71"/>
      <c r="H17" s="71"/>
      <c r="I17" s="71"/>
      <c r="J17" s="72"/>
      <c r="K17" s="301"/>
      <c r="L17" s="40"/>
      <c r="M17" s="40"/>
      <c r="N17" s="40"/>
    </row>
    <row r="18" spans="3:22" s="2" customFormat="1" ht="27.95" customHeight="1" x14ac:dyDescent="0.2">
      <c r="C18" s="73" t="s">
        <v>231</v>
      </c>
      <c r="D18" s="468" t="s">
        <v>302</v>
      </c>
      <c r="E18" s="469"/>
      <c r="F18" s="469"/>
      <c r="G18" s="56"/>
      <c r="H18" s="161">
        <v>400000</v>
      </c>
      <c r="I18" s="259" t="str">
        <f>IF(OR(H18&lt;=H15,H18&gt;=H14),"!","")</f>
        <v/>
      </c>
      <c r="J18" s="258" t="s">
        <v>236</v>
      </c>
      <c r="K18" s="301"/>
      <c r="L18" s="84"/>
    </row>
    <row r="19" spans="3:22" s="2" customFormat="1" ht="27.95" customHeight="1" x14ac:dyDescent="0.2">
      <c r="C19" s="73" t="s">
        <v>232</v>
      </c>
      <c r="D19" s="468" t="s">
        <v>367</v>
      </c>
      <c r="E19" s="469"/>
      <c r="F19" s="56"/>
      <c r="G19" s="167">
        <v>0.5</v>
      </c>
      <c r="H19" s="344">
        <f>+G19*H10</f>
        <v>250</v>
      </c>
      <c r="I19" s="256"/>
      <c r="J19" s="258" t="s">
        <v>247</v>
      </c>
      <c r="K19" s="301"/>
    </row>
    <row r="20" spans="3:22" s="2" customFormat="1" ht="27.95" customHeight="1" x14ac:dyDescent="0.2">
      <c r="C20" s="387"/>
      <c r="D20" s="468" t="s">
        <v>303</v>
      </c>
      <c r="E20" s="469"/>
      <c r="F20" s="469"/>
      <c r="G20" s="56"/>
      <c r="H20" s="344">
        <f>+'HULP-velden'!M16</f>
        <v>500</v>
      </c>
      <c r="I20" s="256"/>
      <c r="J20" s="257" t="s">
        <v>230</v>
      </c>
      <c r="K20" s="301"/>
    </row>
    <row r="21" spans="3:22" s="2" customFormat="1" ht="27.95" customHeight="1" x14ac:dyDescent="0.2">
      <c r="D21" s="54" t="s">
        <v>252</v>
      </c>
      <c r="E21" s="71"/>
      <c r="F21" s="202"/>
      <c r="G21" s="71"/>
      <c r="H21" s="71"/>
      <c r="I21" s="71"/>
      <c r="J21" s="72"/>
      <c r="K21" s="301"/>
      <c r="L21" s="82"/>
    </row>
    <row r="22" spans="3:22" s="2" customFormat="1" ht="27.95" customHeight="1" x14ac:dyDescent="0.2">
      <c r="C22" s="73" t="s">
        <v>233</v>
      </c>
      <c r="D22" s="50" t="s">
        <v>368</v>
      </c>
      <c r="E22" s="78"/>
      <c r="F22" s="383"/>
      <c r="G22" s="448"/>
      <c r="H22" s="35"/>
      <c r="I22" s="256"/>
      <c r="J22" s="257" t="s">
        <v>113</v>
      </c>
      <c r="K22" s="301"/>
    </row>
    <row r="23" spans="3:22" s="2" customFormat="1" ht="27.95" customHeight="1" x14ac:dyDescent="0.2">
      <c r="C23" s="292" t="s">
        <v>234</v>
      </c>
      <c r="D23" s="158" t="s">
        <v>304</v>
      </c>
      <c r="E23" s="296"/>
      <c r="F23" s="291"/>
      <c r="G23" s="293" t="s">
        <v>379</v>
      </c>
      <c r="H23" s="164" t="str">
        <f>IF(G23="Ja","Zichtbaar","Onzichtbaar")</f>
        <v>Onzichtbaar</v>
      </c>
      <c r="K23" s="301"/>
    </row>
    <row r="24" spans="3:22" s="2" customFormat="1" ht="27.95" customHeight="1" x14ac:dyDescent="0.2">
      <c r="K24" s="301"/>
    </row>
    <row r="25" spans="3:22" s="2" customFormat="1" ht="27.95" hidden="1" customHeight="1" x14ac:dyDescent="0.2">
      <c r="K25" s="301"/>
    </row>
    <row r="26" spans="3:22" s="2" customFormat="1" ht="27.95" hidden="1" customHeight="1" x14ac:dyDescent="0.2">
      <c r="D26" s="178"/>
      <c r="K26" s="301"/>
    </row>
    <row r="27" spans="3:22" s="2" customFormat="1" ht="27.95" hidden="1" customHeight="1" x14ac:dyDescent="0.2">
      <c r="K27" s="301"/>
    </row>
    <row r="28" spans="3:22" s="2" customFormat="1" ht="27.95" hidden="1" customHeight="1" x14ac:dyDescent="0.2">
      <c r="C28" s="177"/>
    </row>
    <row r="29" spans="3:22" s="2" customFormat="1" ht="27.95" hidden="1" customHeight="1" x14ac:dyDescent="0.2"/>
    <row r="30" spans="3:22" s="2" customFormat="1" ht="27.95" hidden="1" customHeight="1" x14ac:dyDescent="0.2">
      <c r="V30" s="2" t="s">
        <v>6</v>
      </c>
    </row>
    <row r="31" spans="3:22" s="2" customFormat="1" ht="27.95" hidden="1" customHeight="1" x14ac:dyDescent="0.2"/>
    <row r="32" spans="3:22" s="2" customFormat="1" ht="27.95" hidden="1" customHeight="1" x14ac:dyDescent="0.2"/>
    <row r="33" s="2" customFormat="1" ht="27.95" hidden="1" customHeight="1" x14ac:dyDescent="0.2"/>
    <row r="34" s="2" customFormat="1" ht="27.95" hidden="1" customHeight="1" x14ac:dyDescent="0.2"/>
    <row r="35" s="2" customFormat="1" ht="27.95" hidden="1" customHeight="1" x14ac:dyDescent="0.2"/>
    <row r="36" s="2" customFormat="1" ht="27.95" hidden="1" customHeight="1" x14ac:dyDescent="0.2"/>
    <row r="37" s="2" customFormat="1" ht="27.95" hidden="1" customHeight="1" x14ac:dyDescent="0.2"/>
    <row r="38" s="2" customFormat="1" ht="27.95" hidden="1" customHeight="1" x14ac:dyDescent="0.2"/>
    <row r="39" s="2" customFormat="1" ht="27.95" hidden="1" customHeight="1" x14ac:dyDescent="0.2"/>
    <row r="40" s="2" customFormat="1" ht="27.95" hidden="1" customHeight="1" x14ac:dyDescent="0.2"/>
    <row r="41" s="2" customFormat="1" ht="27.95" hidden="1" customHeight="1" x14ac:dyDescent="0.2"/>
    <row r="42" s="2" customFormat="1" ht="27.95" hidden="1" customHeight="1" x14ac:dyDescent="0.2"/>
    <row r="43" s="2" customFormat="1" ht="27.95" hidden="1" customHeight="1" x14ac:dyDescent="0.2"/>
    <row r="44" s="2" customFormat="1" ht="27.95" hidden="1" customHeight="1" x14ac:dyDescent="0.2"/>
    <row r="45" s="2" customFormat="1" ht="27.95" hidden="1" customHeight="1" x14ac:dyDescent="0.2"/>
    <row r="46" s="2" customFormat="1" ht="27.95" hidden="1" customHeight="1" x14ac:dyDescent="0.2"/>
    <row r="47" s="2" customFormat="1" ht="27.95" hidden="1" customHeight="1" x14ac:dyDescent="0.2"/>
    <row r="48" s="2" customFormat="1" ht="27.95" hidden="1" customHeight="1" x14ac:dyDescent="0.2"/>
    <row r="49" s="2" customFormat="1" ht="27.95" hidden="1" customHeight="1" x14ac:dyDescent="0.2"/>
    <row r="50" s="2" customFormat="1" ht="27.95" hidden="1" customHeight="1" x14ac:dyDescent="0.2"/>
    <row r="51" s="2" customFormat="1" ht="27.95" hidden="1" customHeight="1" x14ac:dyDescent="0.2"/>
    <row r="52" s="2" customFormat="1" ht="27.95" hidden="1" customHeight="1" x14ac:dyDescent="0.2"/>
    <row r="53" s="2" customFormat="1" ht="27.95" hidden="1" customHeight="1" x14ac:dyDescent="0.2"/>
    <row r="54" s="2" customFormat="1" ht="27.95" hidden="1" customHeight="1" x14ac:dyDescent="0.2"/>
    <row r="55" s="2" customFormat="1" ht="27.95" hidden="1" customHeight="1" x14ac:dyDescent="0.2"/>
    <row r="56" s="2" customFormat="1" ht="27.95" hidden="1" customHeight="1" x14ac:dyDescent="0.2"/>
    <row r="57" s="2" customFormat="1" ht="27.95" hidden="1" customHeight="1" x14ac:dyDescent="0.2"/>
    <row r="58" s="2" customFormat="1" ht="27.95" hidden="1" customHeight="1" x14ac:dyDescent="0.2"/>
    <row r="59" s="2" customFormat="1" ht="27.95" hidden="1" customHeight="1" x14ac:dyDescent="0.2"/>
    <row r="60" s="2" customFormat="1" ht="27.95" hidden="1" customHeight="1" x14ac:dyDescent="0.2"/>
    <row r="61" s="2" customFormat="1" ht="27.95" hidden="1" customHeight="1" x14ac:dyDescent="0.2"/>
    <row r="62" s="2" customFormat="1" ht="27.95" hidden="1" customHeight="1" x14ac:dyDescent="0.2"/>
    <row r="63" s="2" customFormat="1" ht="27.95" hidden="1" customHeight="1" x14ac:dyDescent="0.2"/>
    <row r="64" s="2" customFormat="1" ht="27.95" hidden="1" customHeight="1" x14ac:dyDescent="0.2"/>
    <row r="65" s="2" customFormat="1" ht="27.95" hidden="1" customHeight="1" x14ac:dyDescent="0.2"/>
    <row r="66" s="2" customFormat="1" ht="27.95" hidden="1" customHeight="1" x14ac:dyDescent="0.2"/>
    <row r="67" s="2" customFormat="1" ht="27.95" hidden="1" customHeight="1" x14ac:dyDescent="0.2"/>
    <row r="68" s="2" customFormat="1" ht="27.95" hidden="1" customHeight="1" x14ac:dyDescent="0.2"/>
    <row r="69" s="2" customFormat="1" ht="27.95" hidden="1" customHeight="1" x14ac:dyDescent="0.2"/>
    <row r="70" s="2" customFormat="1" ht="27.95" hidden="1" customHeight="1" x14ac:dyDescent="0.2"/>
    <row r="71" s="2" customFormat="1" ht="27.95" hidden="1" customHeight="1" x14ac:dyDescent="0.2"/>
    <row r="72" s="2" customFormat="1" ht="27.95" hidden="1" customHeight="1" x14ac:dyDescent="0.2"/>
    <row r="73" s="2" customFormat="1" ht="27.95" hidden="1" customHeight="1" x14ac:dyDescent="0.2"/>
    <row r="74" s="2" customFormat="1" ht="27.95" hidden="1" customHeight="1" x14ac:dyDescent="0.2"/>
    <row r="75" s="2" customFormat="1" ht="27.95" hidden="1" customHeight="1" x14ac:dyDescent="0.2"/>
    <row r="76" s="2" customFormat="1" ht="27.95" hidden="1" customHeight="1" x14ac:dyDescent="0.2"/>
    <row r="77" s="2" customFormat="1" ht="27.95" hidden="1" customHeight="1" x14ac:dyDescent="0.2"/>
    <row r="78" s="2" customFormat="1" ht="27.95" hidden="1" customHeight="1" x14ac:dyDescent="0.2"/>
    <row r="79" s="2" customFormat="1" ht="27.95" hidden="1" customHeight="1" x14ac:dyDescent="0.2"/>
    <row r="80" s="2" customFormat="1" ht="27.95" hidden="1" customHeight="1" x14ac:dyDescent="0.2"/>
    <row r="81" spans="12:12" s="2" customFormat="1" ht="27.95" hidden="1" customHeight="1" x14ac:dyDescent="0.2"/>
    <row r="82" spans="12:12" s="2" customFormat="1" ht="27.95" hidden="1" customHeight="1" x14ac:dyDescent="0.2"/>
    <row r="83" spans="12:12" s="2" customFormat="1" ht="27.95" hidden="1" customHeight="1" x14ac:dyDescent="0.2"/>
    <row r="84" spans="12:12" s="2" customFormat="1" ht="27.95" hidden="1" customHeight="1" x14ac:dyDescent="0.2"/>
    <row r="85" spans="12:12" s="2" customFormat="1" ht="27.95" hidden="1" customHeight="1" x14ac:dyDescent="0.2"/>
    <row r="86" spans="12:12" s="2" customFormat="1" ht="27.95" hidden="1" customHeight="1" x14ac:dyDescent="0.2"/>
    <row r="87" spans="12:12" s="2" customFormat="1" ht="27.95" hidden="1" customHeight="1" x14ac:dyDescent="0.2"/>
    <row r="88" spans="12:12" s="2" customFormat="1" ht="27.95" hidden="1" customHeight="1" x14ac:dyDescent="0.2"/>
    <row r="89" spans="12:12" s="2" customFormat="1" ht="27.95" hidden="1" customHeight="1" x14ac:dyDescent="0.2"/>
    <row r="90" spans="12:12" s="2" customFormat="1" ht="27.95" hidden="1" customHeight="1" x14ac:dyDescent="0.2"/>
    <row r="91" spans="12:12" s="2" customFormat="1" ht="27.95" hidden="1" customHeight="1" x14ac:dyDescent="0.2"/>
    <row r="92" spans="12:12" s="2" customFormat="1" ht="27.95" hidden="1" customHeight="1" x14ac:dyDescent="0.2"/>
    <row r="93" spans="12:12" s="2" customFormat="1" ht="27.95" hidden="1" customHeight="1" x14ac:dyDescent="0.2"/>
    <row r="94" spans="12:12" s="2" customFormat="1" ht="27.95" hidden="1" customHeight="1" x14ac:dyDescent="0.2"/>
    <row r="95" spans="12:12" s="2" customFormat="1" ht="27.95" hidden="1" customHeight="1" x14ac:dyDescent="0.25">
      <c r="L95" s="17"/>
    </row>
    <row r="96" spans="12:12" s="2" customFormat="1" ht="27.95" hidden="1" customHeight="1" x14ac:dyDescent="0.25">
      <c r="L96" s="17"/>
    </row>
    <row r="97" spans="3:12" s="2" customFormat="1" ht="27.95" hidden="1" customHeight="1" x14ac:dyDescent="0.25">
      <c r="L97" s="17"/>
    </row>
    <row r="98" spans="3:12" s="2" customFormat="1" ht="27.75" hidden="1" customHeight="1" x14ac:dyDescent="0.25">
      <c r="D98" s="17"/>
      <c r="L98" s="17"/>
    </row>
    <row r="99" spans="3:12" s="2" customFormat="1" ht="27.95" hidden="1" customHeight="1" x14ac:dyDescent="0.25">
      <c r="D99" s="17"/>
      <c r="L99" s="17"/>
    </row>
    <row r="100" spans="3:12" s="2" customFormat="1" ht="27.95" hidden="1" customHeight="1" x14ac:dyDescent="0.25">
      <c r="D100" s="17"/>
      <c r="E100" s="17"/>
      <c r="L100" s="17"/>
    </row>
    <row r="101" spans="3:12" s="2" customFormat="1" ht="27.95" hidden="1" customHeight="1" x14ac:dyDescent="0.25">
      <c r="C101" s="17"/>
      <c r="D101" s="17"/>
      <c r="E101" s="17"/>
      <c r="L101" s="17"/>
    </row>
    <row r="102" spans="3:12" s="2" customFormat="1" ht="27.95" hidden="1" customHeight="1" x14ac:dyDescent="0.25">
      <c r="C102" s="17"/>
      <c r="D102" s="17"/>
      <c r="E102" s="17"/>
      <c r="L102" s="17"/>
    </row>
    <row r="103" spans="3:12" s="2" customFormat="1" ht="27.95" hidden="1" customHeight="1" x14ac:dyDescent="0.25">
      <c r="C103" s="17"/>
      <c r="D103" s="17"/>
      <c r="E103" s="17"/>
      <c r="L103" s="17"/>
    </row>
    <row r="104" spans="3:12" ht="27.95" hidden="1" customHeight="1" x14ac:dyDescent="0.25">
      <c r="F104" s="2"/>
      <c r="G104" s="2"/>
      <c r="H104" s="2"/>
      <c r="I104" s="2"/>
      <c r="J104" s="2"/>
      <c r="K104" s="2"/>
    </row>
    <row r="105" spans="3:12" ht="27.95" hidden="1" customHeight="1" x14ac:dyDescent="0.25">
      <c r="F105" s="2"/>
      <c r="G105" s="2"/>
      <c r="H105" s="2"/>
      <c r="I105" s="2"/>
      <c r="J105" s="2"/>
      <c r="K105" s="2"/>
    </row>
    <row r="106" spans="3:12" ht="27.95" hidden="1" customHeight="1" x14ac:dyDescent="0.25">
      <c r="F106" s="2"/>
      <c r="G106" s="2"/>
      <c r="H106" s="2"/>
      <c r="I106" s="2"/>
      <c r="J106" s="2"/>
      <c r="K106" s="2"/>
    </row>
    <row r="107" spans="3:12" ht="27.95" hidden="1" customHeight="1" x14ac:dyDescent="0.25">
      <c r="F107" s="2"/>
      <c r="G107" s="2"/>
      <c r="H107" s="2"/>
      <c r="I107" s="2"/>
      <c r="J107" s="2"/>
      <c r="K107" s="2"/>
    </row>
    <row r="108" spans="3:12" ht="27.95" hidden="1" customHeight="1" x14ac:dyDescent="0.25">
      <c r="F108" s="2"/>
      <c r="G108" s="2"/>
      <c r="H108" s="2"/>
      <c r="I108" s="2"/>
      <c r="J108" s="2"/>
      <c r="K108" s="2"/>
    </row>
    <row r="109" spans="3:12" ht="27.95" hidden="1" customHeight="1" x14ac:dyDescent="0.25">
      <c r="H109" s="2"/>
      <c r="I109" s="2"/>
      <c r="J109" s="2"/>
      <c r="K109" s="2"/>
    </row>
    <row r="110" spans="3:12" ht="27.95" hidden="1" customHeight="1" x14ac:dyDescent="0.25">
      <c r="J110" s="2"/>
      <c r="K110" s="2"/>
    </row>
    <row r="111" spans="3:12" ht="27.95" hidden="1" customHeight="1" x14ac:dyDescent="0.25">
      <c r="J111" s="2"/>
      <c r="K111" s="2"/>
    </row>
    <row r="112" spans="3:12" ht="27.95" hidden="1" customHeight="1" x14ac:dyDescent="0.25">
      <c r="J112" s="2"/>
      <c r="K112" s="2"/>
    </row>
    <row r="113" spans="10:11" ht="27.95" hidden="1" customHeight="1" x14ac:dyDescent="0.25">
      <c r="J113" s="2"/>
      <c r="K113" s="2"/>
    </row>
    <row r="114" spans="10:11" ht="27.95" hidden="1" customHeight="1" x14ac:dyDescent="0.25"/>
    <row r="115" spans="10:11" ht="27.95" hidden="1" customHeight="1" x14ac:dyDescent="0.25"/>
  </sheetData>
  <sheetProtection algorithmName="SHA-512" hashValue="3s4fDaQbp5gK8styHmPfUKqNxm1nlP0OEhJ9AQAZiI2fAKwgxjWcCf1znqUABLBx88RLaAAzWo30ucS4+9L1JA==" saltValue="Q5JcXg9NOpt9Rxm3A1MoRg==" spinCount="100000" sheet="1" objects="1" scenarios="1" selectLockedCells="1"/>
  <dataConsolidate link="1"/>
  <mergeCells count="13">
    <mergeCell ref="B2:B4"/>
    <mergeCell ref="D20:F20"/>
    <mergeCell ref="D16:F16"/>
    <mergeCell ref="D18:F18"/>
    <mergeCell ref="D13:F13"/>
    <mergeCell ref="D12:G12"/>
    <mergeCell ref="D15:F15"/>
    <mergeCell ref="D19:E19"/>
    <mergeCell ref="D14:F14"/>
    <mergeCell ref="D11:F11"/>
    <mergeCell ref="F7:G7"/>
    <mergeCell ref="F6:G6"/>
    <mergeCell ref="D10:G10"/>
  </mergeCells>
  <dataValidations count="8">
    <dataValidation type="decimal" allowBlank="1" showInputMessage="1" showErrorMessage="1" error="FOUTIEVE INVOER_x000a__x000a_U dient hier een prijs in € op te geven. Prijs &gt; € 0,00" sqref="G17 G20:G21" xr:uid="{00000000-0002-0000-0100-000000000000}">
      <formula1>0</formula1>
      <formula2>100000000000</formula2>
    </dataValidation>
    <dataValidation type="list" allowBlank="1" showInputMessage="1" showErrorMessage="1" errorTitle="Foutieve Invoer" error="U dient hier te kiezen voor de optie 'ja; of 'nee'._x000a_" sqref="G23" xr:uid="{BD9DDE7D-304A-4E7D-9DFD-DCBE9BC4390F}">
      <formula1>"Ja,Nee"</formula1>
    </dataValidation>
    <dataValidation type="decimal" allowBlank="1" showInputMessage="1" showErrorMessage="1" errorTitle="Foutieve invoer" error="Het bereik van de n-waarde is van 1 tot 4" sqref="H16" xr:uid="{2AB5F0F6-6718-4B0B-AF46-D026A6006789}">
      <formula1>1</formula1>
      <formula2>4</formula2>
    </dataValidation>
    <dataValidation type="decimal" operator="lessThan" allowBlank="1" showInputMessage="1" showErrorMessage="1" errorTitle="Foutieve invoer" error="Het bedrag moet kleiner zijn dan de bovengrens (zie stap 3)." sqref="H15" xr:uid="{DBD46A7E-5604-47E8-872D-A739126910EC}">
      <formula1>H14</formula1>
    </dataValidation>
    <dataValidation type="list" allowBlank="1" showInputMessage="1" showErrorMessage="1" sqref="F7:G7" xr:uid="{039FB663-D28F-4CE6-8672-08FF6B59274D}">
      <formula1>"Machtsformule,Wortelformule"</formula1>
    </dataValidation>
    <dataValidation type="whole" allowBlank="1" showInputMessage="1" showErrorMessage="1" errorTitle="Foutieve invoer" error="U heeft een te hoge of te lage waarde ingevoerd. Zie toelichting" sqref="H22" xr:uid="{B143999B-B9A2-4E13-95CD-695DA892703E}">
      <formula1>0</formula1>
      <formula2>G22</formula2>
    </dataValidation>
    <dataValidation type="decimal" operator="greaterThan" allowBlank="1" showInputMessage="1" showErrorMessage="1" errorTitle="Foutieve invoer" error="Het bedrag moet groter zijn dan de ondergrens (zie stap 4)." sqref="H14" xr:uid="{3CB2A92B-5BC1-4FF5-B2DC-61CBE463ADC7}">
      <formula1>H15</formula1>
    </dataValidation>
    <dataValidation type="whole" operator="greaterThan" allowBlank="1" showInputMessage="1" showErrorMessage="1" error="Dit dient hier een geheel getal in te vullen. De tool werkt niet met een gebroken of negatief getal voor de wenspunten." sqref="H10" xr:uid="{D6D65872-211D-41A0-912A-1874679CE5BF}">
      <formula1>0</formula1>
    </dataValidation>
  </dataValidations>
  <pageMargins left="0.7" right="0.7" top="0.75" bottom="0.75" header="0.3" footer="0.3"/>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8057C-28D7-4B7B-9FA6-FED4A1392A09}">
  <sheetPr codeName="Blad15">
    <tabColor rgb="FF8FCAE7"/>
    <pageSetUpPr fitToPage="1"/>
  </sheetPr>
  <dimension ref="A1:V117"/>
  <sheetViews>
    <sheetView showGridLines="0" showRowColHeaders="0" showWhiteSpace="0" zoomScale="110" zoomScaleNormal="110" workbookViewId="0">
      <selection activeCell="F6" sqref="F6:G6"/>
    </sheetView>
  </sheetViews>
  <sheetFormatPr defaultColWidth="9.140625" defaultRowHeight="15" customHeight="1" zeroHeight="1" x14ac:dyDescent="0.25"/>
  <cols>
    <col min="1" max="1" width="3.7109375" style="17" customWidth="1"/>
    <col min="2" max="2" width="95.7109375" style="17" customWidth="1"/>
    <col min="3" max="3" width="4.7109375" style="17" customWidth="1"/>
    <col min="4" max="4" width="24.7109375" style="17" customWidth="1"/>
    <col min="5" max="5" width="35.7109375" style="17" customWidth="1"/>
    <col min="6" max="7" width="11.7109375" style="17" customWidth="1"/>
    <col min="8" max="8" width="22.7109375" style="17" customWidth="1"/>
    <col min="9" max="9" width="1.7109375" style="17" customWidth="1"/>
    <col min="10" max="11" width="15.7109375" style="17" customWidth="1"/>
    <col min="12" max="12" width="3.7109375" style="17" customWidth="1"/>
    <col min="13" max="14" width="9.140625" style="17" customWidth="1"/>
    <col min="15" max="16384" width="9.140625" style="17"/>
  </cols>
  <sheetData>
    <row r="1" spans="1:14" ht="21" customHeight="1" x14ac:dyDescent="0.25"/>
    <row r="2" spans="1:14" s="2" customFormat="1" ht="21" customHeight="1" x14ac:dyDescent="0.2">
      <c r="B2" s="467" t="s">
        <v>237</v>
      </c>
      <c r="C2" s="20"/>
      <c r="D2" s="20"/>
      <c r="E2" s="20"/>
      <c r="F2" s="20"/>
      <c r="G2" s="20"/>
      <c r="H2" s="20"/>
      <c r="I2" s="20"/>
      <c r="J2" s="66"/>
      <c r="K2" s="66"/>
    </row>
    <row r="3" spans="1:14" s="2" customFormat="1" ht="21" customHeight="1" x14ac:dyDescent="0.2">
      <c r="B3" s="467"/>
      <c r="C3" s="20"/>
      <c r="D3" s="36"/>
      <c r="E3" s="20"/>
      <c r="F3" s="20"/>
      <c r="G3" s="20"/>
      <c r="H3" s="67" t="s">
        <v>6</v>
      </c>
      <c r="I3" s="67"/>
      <c r="J3" s="20"/>
      <c r="K3" s="20"/>
    </row>
    <row r="4" spans="1:14" s="2" customFormat="1" ht="21" customHeight="1" x14ac:dyDescent="0.2">
      <c r="B4" s="467"/>
      <c r="C4" s="20"/>
      <c r="D4" s="20"/>
      <c r="E4" s="20"/>
      <c r="F4" s="20"/>
      <c r="G4" s="20"/>
      <c r="H4" s="20"/>
      <c r="I4" s="20"/>
      <c r="J4" s="68"/>
      <c r="K4" s="68"/>
    </row>
    <row r="5" spans="1:14" s="2" customFormat="1" ht="21" customHeight="1" x14ac:dyDescent="0.2">
      <c r="B5" s="37"/>
    </row>
    <row r="6" spans="1:14" s="70" customFormat="1" ht="27.95" customHeight="1" x14ac:dyDescent="0.2">
      <c r="A6" s="2"/>
      <c r="B6" s="2"/>
      <c r="C6" s="2"/>
      <c r="D6" s="54" t="s">
        <v>11</v>
      </c>
      <c r="E6" s="302" t="str">
        <f>IF(ISBLANK(Dashboard!E6),"",Dashboard!E6)</f>
        <v>Test</v>
      </c>
      <c r="F6" s="477" t="s">
        <v>274</v>
      </c>
      <c r="G6" s="478"/>
      <c r="H6" s="315"/>
      <c r="I6" s="316"/>
      <c r="J6" s="316"/>
      <c r="K6" s="317"/>
    </row>
    <row r="7" spans="1:14" s="70" customFormat="1" ht="27.95" customHeight="1" x14ac:dyDescent="0.2">
      <c r="A7" s="2"/>
      <c r="B7" s="2"/>
      <c r="C7" s="2"/>
      <c r="D7" s="54" t="s">
        <v>12</v>
      </c>
      <c r="E7" s="302" t="str">
        <f>IF(ISBLANK(Dashboard!E7),"",Dashboard!E7)</f>
        <v>IUC26-001</v>
      </c>
      <c r="F7" s="475" t="str">
        <f>Dashboard!F7</f>
        <v>Machtsformule</v>
      </c>
      <c r="G7" s="476"/>
      <c r="H7" s="318"/>
      <c r="I7" s="319"/>
      <c r="J7" s="319"/>
      <c r="K7" s="320"/>
    </row>
    <row r="8" spans="1:14" s="70" customFormat="1" ht="27.95" customHeight="1" x14ac:dyDescent="0.2">
      <c r="A8" s="2"/>
      <c r="B8" s="2"/>
      <c r="C8" s="2"/>
      <c r="D8" s="2"/>
      <c r="E8" s="2"/>
      <c r="F8" s="2"/>
      <c r="G8" s="2"/>
      <c r="H8" s="2"/>
      <c r="I8" s="2"/>
      <c r="J8" s="2"/>
      <c r="K8" s="2"/>
    </row>
    <row r="9" spans="1:14" s="70" customFormat="1" ht="27.95" customHeight="1" x14ac:dyDescent="0.2">
      <c r="A9" s="2"/>
      <c r="B9" s="2"/>
      <c r="C9" s="2"/>
      <c r="D9" s="54" t="s">
        <v>318</v>
      </c>
      <c r="E9" s="71"/>
      <c r="F9" s="202"/>
      <c r="G9" s="71"/>
      <c r="H9" s="71"/>
      <c r="I9" s="71"/>
      <c r="J9" s="72"/>
      <c r="K9" s="2"/>
    </row>
    <row r="10" spans="1:14" s="70" customFormat="1" ht="27.95" customHeight="1" x14ac:dyDescent="0.2">
      <c r="A10" s="2"/>
      <c r="B10" s="2"/>
      <c r="C10" s="73">
        <v>1</v>
      </c>
      <c r="D10" s="468" t="s">
        <v>294</v>
      </c>
      <c r="E10" s="469"/>
      <c r="F10" s="469"/>
      <c r="G10" s="56"/>
      <c r="H10" s="304">
        <f>+Dashboard!H10</f>
        <v>500</v>
      </c>
      <c r="I10" s="256"/>
      <c r="J10" s="257" t="s">
        <v>228</v>
      </c>
      <c r="K10" s="2"/>
    </row>
    <row r="11" spans="1:14" s="70" customFormat="1" ht="27.95" customHeight="1" x14ac:dyDescent="0.2">
      <c r="A11" s="2"/>
      <c r="B11" s="2"/>
      <c r="D11" s="468" t="s">
        <v>295</v>
      </c>
      <c r="E11" s="469"/>
      <c r="F11" s="469"/>
      <c r="H11" s="304">
        <f>+Dashboard!H11</f>
        <v>500</v>
      </c>
      <c r="I11" s="256"/>
      <c r="J11" s="257" t="s">
        <v>229</v>
      </c>
      <c r="K11" s="2"/>
      <c r="L11" s="75"/>
    </row>
    <row r="12" spans="1:14" s="70" customFormat="1" ht="27.95" customHeight="1" x14ac:dyDescent="0.2">
      <c r="A12" s="2"/>
      <c r="B12" s="2"/>
      <c r="C12" s="73">
        <v>2</v>
      </c>
      <c r="D12" s="468" t="s">
        <v>292</v>
      </c>
      <c r="E12" s="469"/>
      <c r="F12" s="469"/>
      <c r="G12" s="470"/>
      <c r="H12" s="271">
        <f>+Dashboard!H12</f>
        <v>0.5</v>
      </c>
      <c r="I12" s="256"/>
      <c r="J12" s="258" t="s">
        <v>111</v>
      </c>
      <c r="K12" s="2"/>
      <c r="L12" s="76"/>
    </row>
    <row r="13" spans="1:14" s="70" customFormat="1" ht="27.95" customHeight="1" x14ac:dyDescent="0.2">
      <c r="A13" s="2"/>
      <c r="B13" s="2"/>
      <c r="D13" s="468" t="s">
        <v>293</v>
      </c>
      <c r="E13" s="469"/>
      <c r="F13" s="469"/>
      <c r="G13" s="76"/>
      <c r="H13" s="271">
        <f>+Dashboard!H13</f>
        <v>0.5</v>
      </c>
      <c r="I13" s="256"/>
      <c r="J13" s="258" t="s">
        <v>110</v>
      </c>
      <c r="K13" s="2"/>
    </row>
    <row r="14" spans="1:14" s="70" customFormat="1" ht="27.95" customHeight="1" x14ac:dyDescent="0.2">
      <c r="A14" s="2"/>
      <c r="B14" s="2"/>
      <c r="C14" s="73">
        <v>3</v>
      </c>
      <c r="D14" s="468" t="s">
        <v>296</v>
      </c>
      <c r="E14" s="469"/>
      <c r="F14" s="469"/>
      <c r="G14" s="267"/>
      <c r="H14" s="303">
        <f>+Dashboard!H14</f>
        <v>500000</v>
      </c>
      <c r="I14" s="259"/>
      <c r="J14" s="257" t="s">
        <v>112</v>
      </c>
      <c r="K14" s="2"/>
    </row>
    <row r="15" spans="1:14" s="70" customFormat="1" ht="27.95" customHeight="1" x14ac:dyDescent="0.2">
      <c r="A15" s="2"/>
      <c r="B15" s="2"/>
      <c r="C15" s="73">
        <v>4</v>
      </c>
      <c r="D15" s="468" t="s">
        <v>297</v>
      </c>
      <c r="E15" s="469"/>
      <c r="F15" s="469"/>
      <c r="G15" s="267"/>
      <c r="H15" s="303">
        <f>+Dashboard!H15</f>
        <v>300000</v>
      </c>
      <c r="I15" s="259"/>
      <c r="J15" s="257" t="s">
        <v>140</v>
      </c>
      <c r="K15" s="2"/>
      <c r="N15" s="77"/>
    </row>
    <row r="16" spans="1:14" s="70" customFormat="1" ht="27.95" customHeight="1" x14ac:dyDescent="0.2">
      <c r="A16" s="2"/>
      <c r="B16" s="2"/>
      <c r="C16" s="73">
        <v>5</v>
      </c>
      <c r="D16" s="468" t="s">
        <v>298</v>
      </c>
      <c r="E16" s="469"/>
      <c r="F16" s="469"/>
      <c r="G16" s="56"/>
      <c r="H16" s="304">
        <f>+Dashboard!H16</f>
        <v>1</v>
      </c>
      <c r="I16" s="256"/>
      <c r="J16" s="257" t="s">
        <v>218</v>
      </c>
      <c r="K16" s="2"/>
    </row>
    <row r="17" spans="1:22" s="70" customFormat="1" ht="27.95" customHeight="1" x14ac:dyDescent="0.2">
      <c r="A17" s="2"/>
      <c r="B17" s="2"/>
      <c r="D17" s="54" t="s">
        <v>235</v>
      </c>
      <c r="E17" s="71"/>
      <c r="F17" s="202"/>
      <c r="G17" s="71"/>
      <c r="H17" s="71"/>
      <c r="I17" s="71"/>
      <c r="J17" s="72"/>
      <c r="K17" s="2"/>
      <c r="M17" s="79"/>
    </row>
    <row r="18" spans="1:22" s="70" customFormat="1" ht="27.95" customHeight="1" x14ac:dyDescent="0.2">
      <c r="A18" s="2"/>
      <c r="B18" s="2"/>
      <c r="C18" s="73" t="s">
        <v>231</v>
      </c>
      <c r="D18" s="468" t="s">
        <v>299</v>
      </c>
      <c r="E18" s="469"/>
      <c r="F18" s="469"/>
      <c r="G18" s="56"/>
      <c r="H18" s="305">
        <f>+Dashboard!H18</f>
        <v>400000</v>
      </c>
      <c r="I18" s="259"/>
      <c r="J18" s="258" t="s">
        <v>236</v>
      </c>
      <c r="K18" s="2"/>
      <c r="L18" s="82"/>
      <c r="M18" s="79"/>
    </row>
    <row r="19" spans="1:22" s="2" customFormat="1" ht="27.95" customHeight="1" x14ac:dyDescent="0.2">
      <c r="C19" s="73" t="s">
        <v>232</v>
      </c>
      <c r="D19" s="468" t="s">
        <v>300</v>
      </c>
      <c r="E19" s="469"/>
      <c r="F19" s="56"/>
      <c r="G19" s="309"/>
      <c r="H19" s="336">
        <f>+'HULP-velden'!C164</f>
        <v>250</v>
      </c>
      <c r="I19" s="259"/>
      <c r="J19" s="258" t="s">
        <v>244</v>
      </c>
      <c r="L19" s="82"/>
      <c r="M19" s="83"/>
      <c r="P19" s="40"/>
      <c r="Q19" s="40"/>
      <c r="R19" s="40"/>
      <c r="S19" s="40"/>
      <c r="T19" s="40"/>
      <c r="U19" s="40"/>
      <c r="V19" s="40"/>
    </row>
    <row r="20" spans="1:22" s="2" customFormat="1" ht="27.95" customHeight="1" x14ac:dyDescent="0.2">
      <c r="L20" s="84"/>
    </row>
    <row r="21" spans="1:22" s="2" customFormat="1" ht="27.95" customHeight="1" x14ac:dyDescent="0.2">
      <c r="C21" s="343" t="s">
        <v>260</v>
      </c>
      <c r="D21" s="479" t="s">
        <v>350</v>
      </c>
      <c r="E21" s="480"/>
      <c r="F21" s="480"/>
      <c r="G21" s="480"/>
      <c r="H21" s="481"/>
    </row>
    <row r="22" spans="1:22" s="2" customFormat="1" ht="27.95" customHeight="1" x14ac:dyDescent="0.2">
      <c r="D22" s="482"/>
      <c r="E22" s="483"/>
      <c r="F22" s="483"/>
      <c r="G22" s="483"/>
      <c r="H22" s="484"/>
    </row>
    <row r="23" spans="1:22" s="2" customFormat="1" ht="27.95" customHeight="1" x14ac:dyDescent="0.2">
      <c r="L23" s="82"/>
    </row>
    <row r="24" spans="1:22" s="2" customFormat="1" ht="27.95" customHeight="1" x14ac:dyDescent="0.2"/>
    <row r="25" spans="1:22" s="2" customFormat="1" ht="27.95" hidden="1" customHeight="1" x14ac:dyDescent="0.2"/>
    <row r="26" spans="1:22" s="2" customFormat="1" ht="27.95" hidden="1" customHeight="1" x14ac:dyDescent="0.2"/>
    <row r="27" spans="1:22" s="2" customFormat="1" ht="27.95" hidden="1" customHeight="1" x14ac:dyDescent="0.2">
      <c r="D27" s="178"/>
    </row>
    <row r="28" spans="1:22" s="2" customFormat="1" ht="27.95" hidden="1" customHeight="1" x14ac:dyDescent="0.2">
      <c r="C28" s="177"/>
    </row>
    <row r="29" spans="1:22" s="2" customFormat="1" ht="27.95" hidden="1" customHeight="1" x14ac:dyDescent="0.2"/>
    <row r="30" spans="1:22" s="2" customFormat="1" ht="27.95" hidden="1" customHeight="1" x14ac:dyDescent="0.2"/>
    <row r="31" spans="1:22" s="2" customFormat="1" ht="27.95" hidden="1" customHeight="1" x14ac:dyDescent="0.2"/>
    <row r="32" spans="1:22" s="2" customFormat="1" ht="27.95" hidden="1" customHeight="1" x14ac:dyDescent="0.2">
      <c r="V32" s="2" t="s">
        <v>6</v>
      </c>
    </row>
    <row r="33" s="2" customFormat="1" ht="27.95" hidden="1" customHeight="1" x14ac:dyDescent="0.2"/>
    <row r="34" s="2" customFormat="1" ht="27.95" hidden="1" customHeight="1" x14ac:dyDescent="0.2"/>
    <row r="35" s="2" customFormat="1" ht="27.95" hidden="1" customHeight="1" x14ac:dyDescent="0.2"/>
    <row r="36" s="2" customFormat="1" ht="27.95" hidden="1" customHeight="1" x14ac:dyDescent="0.2"/>
    <row r="37" s="2" customFormat="1" ht="27.95" hidden="1" customHeight="1" x14ac:dyDescent="0.2"/>
    <row r="38" s="2" customFormat="1" ht="27.95" hidden="1" customHeight="1" x14ac:dyDescent="0.2"/>
    <row r="39" s="2" customFormat="1" ht="27.95" hidden="1" customHeight="1" x14ac:dyDescent="0.2"/>
    <row r="40" s="2" customFormat="1" ht="27.95" hidden="1" customHeight="1" x14ac:dyDescent="0.2"/>
    <row r="41" s="2" customFormat="1" ht="27.95" hidden="1" customHeight="1" x14ac:dyDescent="0.2"/>
    <row r="42" s="2" customFormat="1" ht="27.95" hidden="1" customHeight="1" x14ac:dyDescent="0.2"/>
    <row r="43" s="2" customFormat="1" ht="27.95" hidden="1" customHeight="1" x14ac:dyDescent="0.2"/>
    <row r="44" s="2" customFormat="1" ht="27.95" hidden="1" customHeight="1" x14ac:dyDescent="0.2"/>
    <row r="45" s="2" customFormat="1" ht="27.95" hidden="1" customHeight="1" x14ac:dyDescent="0.2"/>
    <row r="46" s="2" customFormat="1" ht="27.95" hidden="1" customHeight="1" x14ac:dyDescent="0.2"/>
    <row r="47" s="2" customFormat="1" ht="27.95" hidden="1" customHeight="1" x14ac:dyDescent="0.2"/>
    <row r="48" s="2" customFormat="1" ht="27.95" hidden="1" customHeight="1" x14ac:dyDescent="0.2"/>
    <row r="49" s="2" customFormat="1" ht="27.95" hidden="1" customHeight="1" x14ac:dyDescent="0.2"/>
    <row r="50" s="2" customFormat="1" ht="27.95" hidden="1" customHeight="1" x14ac:dyDescent="0.2"/>
    <row r="51" s="2" customFormat="1" ht="27.95" hidden="1" customHeight="1" x14ac:dyDescent="0.2"/>
    <row r="52" s="2" customFormat="1" ht="27.95" hidden="1" customHeight="1" x14ac:dyDescent="0.2"/>
    <row r="53" s="2" customFormat="1" ht="27.95" hidden="1" customHeight="1" x14ac:dyDescent="0.2"/>
    <row r="54" s="2" customFormat="1" ht="27.95" hidden="1" customHeight="1" x14ac:dyDescent="0.2"/>
    <row r="55" s="2" customFormat="1" ht="27.95" hidden="1" customHeight="1" x14ac:dyDescent="0.2"/>
    <row r="56" s="2" customFormat="1" ht="27.95" hidden="1" customHeight="1" x14ac:dyDescent="0.2"/>
    <row r="57" s="2" customFormat="1" ht="27.95" hidden="1" customHeight="1" x14ac:dyDescent="0.2"/>
    <row r="58" s="2" customFormat="1" ht="27.95" hidden="1" customHeight="1" x14ac:dyDescent="0.2"/>
    <row r="59" s="2" customFormat="1" ht="27.95" hidden="1" customHeight="1" x14ac:dyDescent="0.2"/>
    <row r="60" s="2" customFormat="1" ht="27.95" hidden="1" customHeight="1" x14ac:dyDescent="0.2"/>
    <row r="61" s="2" customFormat="1" ht="27.95" hidden="1" customHeight="1" x14ac:dyDescent="0.2"/>
    <row r="62" s="2" customFormat="1" ht="27.95" hidden="1" customHeight="1" x14ac:dyDescent="0.2"/>
    <row r="63" s="2" customFormat="1" ht="27.95" hidden="1" customHeight="1" x14ac:dyDescent="0.2"/>
    <row r="64" s="2" customFormat="1" ht="27.95" hidden="1" customHeight="1" x14ac:dyDescent="0.2"/>
    <row r="65" s="2" customFormat="1" ht="27.95" hidden="1" customHeight="1" x14ac:dyDescent="0.2"/>
    <row r="66" s="2" customFormat="1" ht="27.95" hidden="1" customHeight="1" x14ac:dyDescent="0.2"/>
    <row r="67" s="2" customFormat="1" ht="27.95" hidden="1" customHeight="1" x14ac:dyDescent="0.2"/>
    <row r="68" s="2" customFormat="1" ht="27.95" hidden="1" customHeight="1" x14ac:dyDescent="0.2"/>
    <row r="69" s="2" customFormat="1" ht="27.95" hidden="1" customHeight="1" x14ac:dyDescent="0.2"/>
    <row r="70" s="2" customFormat="1" ht="27.95" hidden="1" customHeight="1" x14ac:dyDescent="0.2"/>
    <row r="71" s="2" customFormat="1" ht="27.95" hidden="1" customHeight="1" x14ac:dyDescent="0.2"/>
    <row r="72" s="2" customFormat="1" ht="27.95" hidden="1" customHeight="1" x14ac:dyDescent="0.2"/>
    <row r="73" s="2" customFormat="1" ht="27.95" hidden="1" customHeight="1" x14ac:dyDescent="0.2"/>
    <row r="74" s="2" customFormat="1" ht="27.95" hidden="1" customHeight="1" x14ac:dyDescent="0.2"/>
    <row r="75" s="2" customFormat="1" ht="27.95" hidden="1" customHeight="1" x14ac:dyDescent="0.2"/>
    <row r="76" s="2" customFormat="1" ht="27.95" hidden="1" customHeight="1" x14ac:dyDescent="0.2"/>
    <row r="77" s="2" customFormat="1" ht="27.95" hidden="1" customHeight="1" x14ac:dyDescent="0.2"/>
    <row r="78" s="2" customFormat="1" ht="27.95" hidden="1" customHeight="1" x14ac:dyDescent="0.2"/>
    <row r="79" s="2" customFormat="1" ht="27.95" hidden="1" customHeight="1" x14ac:dyDescent="0.2"/>
    <row r="80" s="2" customFormat="1" ht="27.95" hidden="1" customHeight="1" x14ac:dyDescent="0.2"/>
    <row r="81" s="2" customFormat="1" ht="27.95" hidden="1" customHeight="1" x14ac:dyDescent="0.2"/>
    <row r="82" s="2" customFormat="1" ht="27.95" hidden="1" customHeight="1" x14ac:dyDescent="0.2"/>
    <row r="83" s="2" customFormat="1" ht="27.95" hidden="1" customHeight="1" x14ac:dyDescent="0.2"/>
    <row r="84" s="2" customFormat="1" ht="27.95" hidden="1" customHeight="1" x14ac:dyDescent="0.2"/>
    <row r="85" s="2" customFormat="1" ht="27.95" hidden="1" customHeight="1" x14ac:dyDescent="0.2"/>
    <row r="86" s="2" customFormat="1" ht="27.95" hidden="1" customHeight="1" x14ac:dyDescent="0.2"/>
    <row r="87" s="2" customFormat="1" ht="27.95" hidden="1" customHeight="1" x14ac:dyDescent="0.2"/>
    <row r="88" s="2" customFormat="1" ht="27.95" hidden="1" customHeight="1" x14ac:dyDescent="0.2"/>
    <row r="89" s="2" customFormat="1" ht="27.95" hidden="1" customHeight="1" x14ac:dyDescent="0.2"/>
    <row r="90" s="2" customFormat="1" ht="27.95" hidden="1" customHeight="1" x14ac:dyDescent="0.2"/>
    <row r="91" s="2" customFormat="1" ht="27.95" hidden="1" customHeight="1" x14ac:dyDescent="0.2"/>
    <row r="92" s="2" customFormat="1" ht="27.95" hidden="1" customHeight="1" x14ac:dyDescent="0.2"/>
    <row r="93" s="2" customFormat="1" ht="27.95" hidden="1" customHeight="1" x14ac:dyDescent="0.2"/>
    <row r="94" s="2" customFormat="1" ht="27.95" hidden="1" customHeight="1" x14ac:dyDescent="0.2"/>
    <row r="95" s="2" customFormat="1" ht="27.95" hidden="1" customHeight="1" x14ac:dyDescent="0.2"/>
    <row r="96" s="2" customFormat="1" ht="27.95" hidden="1" customHeight="1" x14ac:dyDescent="0.2"/>
    <row r="97" spans="3:12" s="2" customFormat="1" ht="27.95" hidden="1" customHeight="1" x14ac:dyDescent="0.25">
      <c r="L97" s="17"/>
    </row>
    <row r="98" spans="3:12" s="2" customFormat="1" ht="27.95" hidden="1" customHeight="1" x14ac:dyDescent="0.25">
      <c r="L98" s="17"/>
    </row>
    <row r="99" spans="3:12" s="2" customFormat="1" ht="27.95" hidden="1" customHeight="1" x14ac:dyDescent="0.25">
      <c r="D99" s="17"/>
      <c r="L99" s="17"/>
    </row>
    <row r="100" spans="3:12" s="2" customFormat="1" ht="27.75" hidden="1" customHeight="1" x14ac:dyDescent="0.25">
      <c r="D100" s="17"/>
      <c r="L100" s="17"/>
    </row>
    <row r="101" spans="3:12" s="2" customFormat="1" ht="27.95" hidden="1" customHeight="1" x14ac:dyDescent="0.25">
      <c r="C101" s="17"/>
      <c r="D101" s="17"/>
      <c r="E101" s="17"/>
      <c r="L101" s="17"/>
    </row>
    <row r="102" spans="3:12" s="2" customFormat="1" ht="27.95" hidden="1" customHeight="1" x14ac:dyDescent="0.25">
      <c r="C102" s="17"/>
      <c r="D102" s="17"/>
      <c r="E102" s="17"/>
      <c r="L102" s="17"/>
    </row>
    <row r="103" spans="3:12" s="2" customFormat="1" ht="27.95" hidden="1" customHeight="1" x14ac:dyDescent="0.25">
      <c r="C103" s="17"/>
      <c r="D103" s="17"/>
      <c r="E103" s="17"/>
      <c r="L103" s="17"/>
    </row>
    <row r="104" spans="3:12" s="2" customFormat="1" ht="27.95" hidden="1" customHeight="1" x14ac:dyDescent="0.25">
      <c r="C104" s="17"/>
      <c r="D104" s="17"/>
      <c r="E104" s="17"/>
      <c r="L104" s="17"/>
    </row>
    <row r="105" spans="3:12" s="2" customFormat="1" ht="27.95" hidden="1" customHeight="1" x14ac:dyDescent="0.25">
      <c r="C105" s="17"/>
      <c r="D105" s="17"/>
      <c r="E105" s="17"/>
      <c r="L105" s="17"/>
    </row>
    <row r="106" spans="3:12" ht="27.95" hidden="1" customHeight="1" x14ac:dyDescent="0.25">
      <c r="F106" s="2"/>
      <c r="G106" s="2"/>
      <c r="H106" s="2"/>
      <c r="I106" s="2"/>
      <c r="J106" s="2"/>
      <c r="K106" s="2"/>
    </row>
    <row r="107" spans="3:12" ht="27.95" hidden="1" customHeight="1" x14ac:dyDescent="0.25">
      <c r="F107" s="2"/>
      <c r="G107" s="2"/>
      <c r="H107" s="2"/>
      <c r="I107" s="2"/>
      <c r="J107" s="2"/>
      <c r="K107" s="2"/>
    </row>
    <row r="108" spans="3:12" ht="27.95" hidden="1" customHeight="1" x14ac:dyDescent="0.25">
      <c r="F108" s="2"/>
      <c r="G108" s="2"/>
      <c r="H108" s="2"/>
      <c r="I108" s="2"/>
      <c r="J108" s="2"/>
      <c r="K108" s="2"/>
    </row>
    <row r="109" spans="3:12" ht="27.95" hidden="1" customHeight="1" x14ac:dyDescent="0.25">
      <c r="F109" s="2"/>
      <c r="G109" s="2"/>
      <c r="H109" s="2"/>
      <c r="I109" s="2"/>
      <c r="J109" s="2"/>
      <c r="K109" s="2"/>
    </row>
    <row r="110" spans="3:12" ht="27.95" hidden="1" customHeight="1" x14ac:dyDescent="0.25">
      <c r="H110" s="2"/>
      <c r="I110" s="2"/>
      <c r="J110" s="2"/>
      <c r="K110" s="2"/>
    </row>
    <row r="111" spans="3:12" ht="27.95" hidden="1" customHeight="1" x14ac:dyDescent="0.25">
      <c r="J111" s="2"/>
      <c r="K111" s="2"/>
    </row>
    <row r="112" spans="3:12" ht="27.95" hidden="1" customHeight="1" x14ac:dyDescent="0.25">
      <c r="J112" s="2"/>
      <c r="K112" s="2"/>
    </row>
    <row r="113" spans="10:11" ht="27.95" hidden="1" customHeight="1" x14ac:dyDescent="0.25">
      <c r="J113" s="2"/>
      <c r="K113" s="2"/>
    </row>
    <row r="114" spans="10:11" ht="27.95" hidden="1" customHeight="1" x14ac:dyDescent="0.25">
      <c r="J114" s="2"/>
      <c r="K114" s="2"/>
    </row>
    <row r="115" spans="10:11" ht="27.95" hidden="1" customHeight="1" x14ac:dyDescent="0.25"/>
    <row r="116" spans="10:11" ht="27.95" hidden="1" customHeight="1" x14ac:dyDescent="0.25"/>
    <row r="117" spans="10:11" ht="27.95" hidden="1" customHeight="1" x14ac:dyDescent="0.25"/>
  </sheetData>
  <sheetProtection algorithmName="SHA-512" hashValue="HxUc0VAztAOCZLI1eZUML2FUzaw6j7BESKOXGE/rapYJY1QeEgz7MyH8a2+oEFuKhs7Qd6sjj1qR+zw27YwUfQ==" saltValue="aDHjBGZ0rfgMh06Cf+wSmg==" spinCount="100000" sheet="1" objects="1" scenarios="1" selectLockedCells="1"/>
  <mergeCells count="13">
    <mergeCell ref="D21:H22"/>
    <mergeCell ref="D19:E19"/>
    <mergeCell ref="D12:G12"/>
    <mergeCell ref="D13:F13"/>
    <mergeCell ref="D10:F10"/>
    <mergeCell ref="D11:F11"/>
    <mergeCell ref="D16:F16"/>
    <mergeCell ref="D18:F18"/>
    <mergeCell ref="B2:B4"/>
    <mergeCell ref="D15:F15"/>
    <mergeCell ref="D14:F14"/>
    <mergeCell ref="F7:G7"/>
    <mergeCell ref="F6:G6"/>
  </mergeCells>
  <dataValidations count="1">
    <dataValidation type="decimal" allowBlank="1" showInputMessage="1" showErrorMessage="1" error="FOUTIEVE INVOER_x000a__x000a_U dient hier een prijs in € op te geven. Prijs &gt; € 0,00" sqref="G17 G20 H14:H15 H12:H13" xr:uid="{07E84223-2880-4DC2-B30A-DE4E386095F9}">
      <formula1>0</formula1>
      <formula2>100000000000</formula2>
    </dataValidation>
  </dataValidations>
  <pageMargins left="0.7" right="0.7" top="0.75" bottom="0.75" header="0.3" footer="0.3"/>
  <pageSetup paperSize="9"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9">
    <tabColor rgb="FF8FCAE7"/>
    <pageSetUpPr fitToPage="1"/>
  </sheetPr>
  <dimension ref="A1:W32"/>
  <sheetViews>
    <sheetView showGridLines="0" showRowColHeaders="0" zoomScale="109" zoomScaleNormal="109" workbookViewId="0">
      <selection activeCell="D27" sqref="D27"/>
    </sheetView>
  </sheetViews>
  <sheetFormatPr defaultColWidth="0" defaultRowHeight="27.95" customHeight="1" zeroHeight="1" x14ac:dyDescent="0.25"/>
  <cols>
    <col min="1" max="1" width="3.7109375" style="17" customWidth="1"/>
    <col min="2" max="2" width="95.7109375" style="17" customWidth="1"/>
    <col min="3" max="3" width="4.7109375" style="17" customWidth="1"/>
    <col min="4" max="4" width="2.7109375" style="17" customWidth="1"/>
    <col min="5" max="6" width="20.7109375" style="17" customWidth="1"/>
    <col min="7" max="7" width="11.7109375" style="17" customWidth="1"/>
    <col min="8" max="9" width="20.7109375" style="17" customWidth="1"/>
    <col min="10" max="11" width="11.7109375" style="17" customWidth="1"/>
    <col min="12" max="12" width="20.7109375" style="17" customWidth="1"/>
    <col min="13" max="13" width="3.7109375" style="17" customWidth="1"/>
    <col min="14" max="14" width="40.7109375" style="17" hidden="1" customWidth="1"/>
    <col min="15" max="16" width="21.7109375" style="17" hidden="1" customWidth="1"/>
    <col min="17" max="16384" width="9.140625" style="17" hidden="1"/>
  </cols>
  <sheetData>
    <row r="1" spans="1:13" s="2" customFormat="1" ht="21" customHeight="1" x14ac:dyDescent="0.2">
      <c r="A1" s="1"/>
      <c r="B1" s="1"/>
      <c r="C1" s="1"/>
      <c r="D1" s="1"/>
      <c r="E1" s="1"/>
      <c r="F1" s="1"/>
      <c r="G1" s="1"/>
      <c r="H1" s="1"/>
      <c r="I1" s="1"/>
      <c r="J1" s="1"/>
      <c r="K1" s="1"/>
      <c r="L1" s="1"/>
      <c r="M1" s="1"/>
    </row>
    <row r="2" spans="1:13" s="2" customFormat="1" ht="21" customHeight="1" x14ac:dyDescent="0.2">
      <c r="A2" s="1"/>
      <c r="B2" s="467" t="s">
        <v>332</v>
      </c>
      <c r="C2" s="467"/>
      <c r="D2" s="467"/>
      <c r="E2" s="4"/>
      <c r="F2" s="4"/>
      <c r="G2" s="4"/>
      <c r="H2" s="4"/>
      <c r="I2" s="4"/>
      <c r="J2" s="4"/>
      <c r="K2" s="4"/>
      <c r="L2" s="4"/>
    </row>
    <row r="3" spans="1:13" s="2" customFormat="1" ht="21" customHeight="1" x14ac:dyDescent="0.2">
      <c r="A3" s="1"/>
      <c r="B3" s="467"/>
      <c r="C3" s="467"/>
      <c r="D3" s="467"/>
      <c r="E3" s="4"/>
      <c r="F3" s="4"/>
      <c r="G3" s="4"/>
      <c r="H3" s="4"/>
      <c r="I3" s="4"/>
      <c r="J3" s="4"/>
      <c r="K3" s="4"/>
      <c r="L3" s="4"/>
    </row>
    <row r="4" spans="1:13" s="2" customFormat="1" ht="21" customHeight="1" x14ac:dyDescent="0.2">
      <c r="A4" s="1"/>
      <c r="B4" s="467"/>
      <c r="C4" s="467"/>
      <c r="D4" s="467"/>
      <c r="E4" s="4"/>
      <c r="F4" s="4"/>
      <c r="G4" s="4"/>
      <c r="H4" s="4"/>
      <c r="I4" s="4"/>
      <c r="J4" s="4"/>
      <c r="K4" s="4"/>
      <c r="L4" s="4"/>
    </row>
    <row r="5" spans="1:13" s="2" customFormat="1" ht="21" customHeight="1" x14ac:dyDescent="0.2"/>
    <row r="6" spans="1:13" s="2" customFormat="1" ht="27.95" customHeight="1" x14ac:dyDescent="0.2">
      <c r="A6" s="1"/>
      <c r="B6" s="1"/>
      <c r="C6" s="1"/>
      <c r="D6" s="54" t="s">
        <v>307</v>
      </c>
      <c r="E6" s="54"/>
      <c r="F6" s="347"/>
      <c r="G6" s="347"/>
      <c r="H6" s="55" t="s">
        <v>43</v>
      </c>
      <c r="I6" s="54" t="s">
        <v>308</v>
      </c>
      <c r="J6" s="347"/>
      <c r="K6" s="348"/>
      <c r="L6" s="55" t="s">
        <v>43</v>
      </c>
    </row>
    <row r="7" spans="1:13" s="2" customFormat="1" ht="27.95" customHeight="1" x14ac:dyDescent="0.2">
      <c r="B7" s="486" t="s">
        <v>342</v>
      </c>
      <c r="C7" s="9"/>
      <c r="D7" s="468" t="s">
        <v>311</v>
      </c>
      <c r="E7" s="469"/>
      <c r="F7" s="469"/>
      <c r="G7" s="339"/>
      <c r="H7" s="233">
        <f>+'HULP-velden'!C6</f>
        <v>500</v>
      </c>
      <c r="I7" s="158" t="s">
        <v>44</v>
      </c>
      <c r="J7" s="345"/>
      <c r="K7" s="350"/>
      <c r="L7" s="61" t="str">
        <f>IF(ISERROR(VLOOKUP(1,C$19:L$23,2,FALSE)),"geen",VLOOKUP(1,C$19:L$23,2,FALSE))</f>
        <v>4</v>
      </c>
    </row>
    <row r="8" spans="1:13" s="2" customFormat="1" ht="27.95" customHeight="1" x14ac:dyDescent="0.2">
      <c r="B8" s="486"/>
      <c r="C8" s="9"/>
      <c r="D8" s="468" t="s">
        <v>310</v>
      </c>
      <c r="E8" s="469"/>
      <c r="F8" s="469"/>
      <c r="G8" s="339"/>
      <c r="H8" s="233" t="str">
        <f>IF(+'HULP-velden'!C15&lt;0,"n.v.t.",+'HULP-velden'!D16)</f>
        <v>n.v.t.</v>
      </c>
      <c r="I8" s="346" t="s">
        <v>45</v>
      </c>
      <c r="J8" s="56"/>
      <c r="K8" s="350"/>
      <c r="L8" s="234">
        <f>IF(ISERROR(VLOOKUP(1,C$19:L$23,7,FALSE)),"",VLOOKUP(1,C$19:L$23,7,FALSE))</f>
        <v>379000</v>
      </c>
    </row>
    <row r="9" spans="1:13" s="2" customFormat="1" ht="27.95" customHeight="1" x14ac:dyDescent="0.2">
      <c r="B9" s="486"/>
      <c r="C9" s="9"/>
      <c r="D9" s="468" t="s">
        <v>312</v>
      </c>
      <c r="E9" s="469"/>
      <c r="F9" s="469"/>
      <c r="G9" s="339"/>
      <c r="H9" s="233">
        <f>+'HULP-velden'!C12</f>
        <v>250</v>
      </c>
      <c r="I9" s="158" t="s">
        <v>268</v>
      </c>
      <c r="J9" s="345"/>
      <c r="K9" s="350"/>
      <c r="L9" s="333">
        <f>L11-L10</f>
        <v>302.5</v>
      </c>
    </row>
    <row r="10" spans="1:13" s="2" customFormat="1" ht="27.95" customHeight="1" x14ac:dyDescent="0.2">
      <c r="B10" s="9"/>
      <c r="C10" s="9"/>
      <c r="D10" s="468" t="s">
        <v>313</v>
      </c>
      <c r="E10" s="469"/>
      <c r="F10" s="469"/>
      <c r="G10" s="339"/>
      <c r="H10" s="234">
        <f>+'HULP-velden'!C8</f>
        <v>400000</v>
      </c>
      <c r="I10" s="158" t="s">
        <v>267</v>
      </c>
      <c r="J10" s="345"/>
      <c r="K10" s="350"/>
      <c r="L10" s="337">
        <f>IF(ISERROR(VLOOKUP(1,C$19:L$23,8,FALSE)),"",VLOOKUP(1,C$19:L$23,8,FALSE))</f>
        <v>425</v>
      </c>
    </row>
    <row r="11" spans="1:13" s="2" customFormat="1" ht="27.95" customHeight="1" x14ac:dyDescent="0.2">
      <c r="C11" s="9"/>
      <c r="D11" s="468" t="s">
        <v>314</v>
      </c>
      <c r="E11" s="469"/>
      <c r="F11" s="469"/>
      <c r="G11" s="339"/>
      <c r="H11" s="215">
        <f>Dashboard!H12</f>
        <v>0.5</v>
      </c>
      <c r="I11" s="346" t="s">
        <v>46</v>
      </c>
      <c r="J11" s="56"/>
      <c r="K11" s="350"/>
      <c r="L11" s="61">
        <f>IF(ISERROR(VLOOKUP(1,C$19:L$23,9,FALSE)),"",VLOOKUP(1,C$19:L$23,9,FALSE))</f>
        <v>727.5</v>
      </c>
    </row>
    <row r="12" spans="1:13" s="2" customFormat="1" ht="27.95" customHeight="1" x14ac:dyDescent="0.2">
      <c r="C12" s="9"/>
      <c r="D12" s="468" t="s">
        <v>315</v>
      </c>
      <c r="E12" s="469"/>
      <c r="F12" s="469"/>
      <c r="G12" s="339"/>
      <c r="H12" s="215">
        <f>Dashboard!H13</f>
        <v>0.5</v>
      </c>
      <c r="I12" s="57"/>
      <c r="J12" s="57"/>
      <c r="K12" s="57"/>
      <c r="L12" s="57"/>
      <c r="M12" s="57"/>
    </row>
    <row r="13" spans="1:13" s="2" customFormat="1" ht="27.95" customHeight="1" x14ac:dyDescent="0.2">
      <c r="B13" s="9"/>
      <c r="C13" s="9"/>
      <c r="D13" s="468" t="s">
        <v>309</v>
      </c>
      <c r="E13" s="469"/>
      <c r="F13" s="469"/>
      <c r="G13" s="339"/>
      <c r="H13" s="370">
        <f>Dashboard!H16</f>
        <v>1</v>
      </c>
      <c r="I13" s="57"/>
      <c r="J13" s="57"/>
      <c r="K13" s="57"/>
      <c r="L13" s="57"/>
      <c r="M13" s="57"/>
    </row>
    <row r="14" spans="1:13" s="2" customFormat="1" ht="27.95" customHeight="1" x14ac:dyDescent="0.2">
      <c r="C14" s="9"/>
      <c r="D14" s="468" t="s">
        <v>316</v>
      </c>
      <c r="E14" s="469"/>
      <c r="F14" s="469"/>
      <c r="G14" s="339"/>
      <c r="H14" s="234">
        <f>Dashboard!H14</f>
        <v>500000</v>
      </c>
      <c r="M14" s="57"/>
    </row>
    <row r="15" spans="1:13" s="2" customFormat="1" ht="27.95" customHeight="1" x14ac:dyDescent="0.2">
      <c r="C15" s="9"/>
      <c r="D15" s="468" t="s">
        <v>317</v>
      </c>
      <c r="E15" s="469"/>
      <c r="F15" s="469"/>
      <c r="G15" s="339"/>
      <c r="H15" s="234">
        <f>Dashboard!H15</f>
        <v>300000</v>
      </c>
      <c r="M15" s="59"/>
    </row>
    <row r="16" spans="1:13" s="2" customFormat="1" ht="27.95" customHeight="1" x14ac:dyDescent="0.2">
      <c r="C16" s="9"/>
      <c r="M16" s="59"/>
    </row>
    <row r="17" spans="2:23" s="2" customFormat="1" ht="27.95" customHeight="1" x14ac:dyDescent="0.2">
      <c r="C17" s="9"/>
      <c r="D17" s="80" t="s">
        <v>47</v>
      </c>
      <c r="E17" s="81"/>
      <c r="F17" s="38"/>
      <c r="G17" s="81"/>
      <c r="H17" s="81"/>
      <c r="I17" s="485" t="s">
        <v>104</v>
      </c>
      <c r="J17" s="485"/>
      <c r="K17" s="81"/>
      <c r="L17" s="349"/>
      <c r="M17" s="60"/>
      <c r="P17" s="15"/>
      <c r="Q17" s="15"/>
      <c r="R17" s="15"/>
    </row>
    <row r="18" spans="2:23" s="2" customFormat="1" ht="27.95" customHeight="1" x14ac:dyDescent="0.3">
      <c r="B18" s="9"/>
      <c r="C18" s="9"/>
      <c r="D18" s="41" t="s">
        <v>18</v>
      </c>
      <c r="E18" s="402" t="s">
        <v>48</v>
      </c>
      <c r="F18" s="402" t="s">
        <v>48</v>
      </c>
      <c r="G18" s="403" t="s">
        <v>49</v>
      </c>
      <c r="H18" s="403" t="s">
        <v>49</v>
      </c>
      <c r="I18" s="41" t="s">
        <v>48</v>
      </c>
      <c r="J18" s="404" t="s">
        <v>49</v>
      </c>
      <c r="K18" s="405" t="s">
        <v>50</v>
      </c>
      <c r="L18" s="406" t="s">
        <v>144</v>
      </c>
      <c r="M18" s="57"/>
    </row>
    <row r="19" spans="2:23" s="2" customFormat="1" ht="27.95" customHeight="1" x14ac:dyDescent="0.2">
      <c r="B19" s="9"/>
      <c r="C19" s="431">
        <f>L19</f>
        <v>5</v>
      </c>
      <c r="D19" s="260" t="s">
        <v>30</v>
      </c>
      <c r="E19" s="58">
        <f>ROUND('HULP-velden'!$C$8 - 0.15 * ('HULP-velden'!$C$17-'HULP-velden'!$C$8),1)</f>
        <v>385000</v>
      </c>
      <c r="F19" s="46"/>
      <c r="G19" s="408">
        <f>ROUND('HULP-velden'!$C$12 + 0.35 * ('HULP-velden'!$C$6-'HULP-velden'!$C$12),0)</f>
        <v>338</v>
      </c>
      <c r="H19" s="47"/>
      <c r="I19" s="58">
        <f>IF(F19="",E19,F19)</f>
        <v>385000</v>
      </c>
      <c r="J19" s="409">
        <f>IF(H19="",G19,H19)</f>
        <v>338</v>
      </c>
      <c r="K19" s="410">
        <f>'HULP-velden'!F41</f>
        <v>625.5</v>
      </c>
      <c r="L19" s="407">
        <f>+'HULP-velden'!I41</f>
        <v>5</v>
      </c>
      <c r="M19" s="9"/>
    </row>
    <row r="20" spans="2:23" s="2" customFormat="1" ht="27.95" customHeight="1" x14ac:dyDescent="0.2">
      <c r="B20" s="9"/>
      <c r="C20" s="431">
        <f>L20</f>
        <v>2</v>
      </c>
      <c r="D20" s="260" t="s">
        <v>31</v>
      </c>
      <c r="E20" s="58">
        <f>ROUND('HULP-velden'!$C$8 - 0.4 * ('HULP-velden'!$C$17-'HULP-velden'!$C$8),1)</f>
        <v>360000</v>
      </c>
      <c r="F20" s="46"/>
      <c r="G20" s="408">
        <f>ROUND('HULP-velden'!$C$12 + 0.45 * ('HULP-velden'!$C$6-'HULP-velden'!$C$12),0)</f>
        <v>363</v>
      </c>
      <c r="H20" s="47"/>
      <c r="I20" s="58">
        <f>IF(F20="",E20,F20)</f>
        <v>360000</v>
      </c>
      <c r="J20" s="409">
        <f>IF(H20="",G20,H20)</f>
        <v>363</v>
      </c>
      <c r="K20" s="410">
        <f>'HULP-velden'!F42</f>
        <v>713</v>
      </c>
      <c r="L20" s="407">
        <f>+'HULP-velden'!I42</f>
        <v>2</v>
      </c>
      <c r="M20" s="62"/>
    </row>
    <row r="21" spans="2:23" s="2" customFormat="1" ht="27.95" customHeight="1" x14ac:dyDescent="0.2">
      <c r="B21" s="9"/>
      <c r="C21" s="431">
        <f>L21</f>
        <v>3</v>
      </c>
      <c r="D21" s="260" t="s">
        <v>32</v>
      </c>
      <c r="E21" s="58">
        <f>ROUND('HULP-velden'!$C$8 + 0.05 * ('HULP-velden'!$C$17-'HULP-velden'!$C$8),1)</f>
        <v>405000</v>
      </c>
      <c r="F21" s="46"/>
      <c r="G21" s="408">
        <f>ROUND('HULP-velden'!$C$12 + 0.8 * ('HULP-velden'!$C$6-'HULP-velden'!$C$12),0)</f>
        <v>450</v>
      </c>
      <c r="H21" s="47"/>
      <c r="I21" s="58">
        <f>IF(F21="",E21,F21)</f>
        <v>405000</v>
      </c>
      <c r="J21" s="409">
        <f>IF(H21="",G21,H21)</f>
        <v>450</v>
      </c>
      <c r="K21" s="410">
        <f>'HULP-velden'!F43</f>
        <v>687.5</v>
      </c>
      <c r="L21" s="407">
        <f>+'HULP-velden'!I43</f>
        <v>3</v>
      </c>
      <c r="M21" s="63"/>
    </row>
    <row r="22" spans="2:23" s="2" customFormat="1" ht="27.95" customHeight="1" x14ac:dyDescent="0.2">
      <c r="B22" s="9"/>
      <c r="C22" s="431">
        <f>L22</f>
        <v>1</v>
      </c>
      <c r="D22" s="260" t="s">
        <v>33</v>
      </c>
      <c r="E22" s="58">
        <f>ROUND('HULP-velden'!$C$8 - 0.21* ('HULP-velden'!$C$17-'HULP-velden'!$C$8),1)</f>
        <v>379000</v>
      </c>
      <c r="F22" s="46"/>
      <c r="G22" s="408">
        <f>ROUND('HULP-velden'!$C$12 + 0.7 * ('HULP-velden'!$C$6-'HULP-velden'!$C$12),0)</f>
        <v>425</v>
      </c>
      <c r="H22" s="47"/>
      <c r="I22" s="58">
        <f>IF(F22="",E22,F22)</f>
        <v>379000</v>
      </c>
      <c r="J22" s="409">
        <f>IF(H22="",G22,H22)</f>
        <v>425</v>
      </c>
      <c r="K22" s="410">
        <f>'HULP-velden'!F44</f>
        <v>727.5</v>
      </c>
      <c r="L22" s="407">
        <f>+'HULP-velden'!I44</f>
        <v>1</v>
      </c>
      <c r="M22" s="64"/>
    </row>
    <row r="23" spans="2:23" s="2" customFormat="1" ht="27.95" customHeight="1" x14ac:dyDescent="0.2">
      <c r="B23" s="9"/>
      <c r="C23" s="431">
        <f>L23</f>
        <v>4</v>
      </c>
      <c r="D23" s="260" t="s">
        <v>34</v>
      </c>
      <c r="E23" s="58">
        <f>ROUND('HULP-velden'!$C$8 - 0 * ('HULP-velden'!$C$17-'HULP-velden'!$C$8),1)</f>
        <v>400000</v>
      </c>
      <c r="F23" s="46"/>
      <c r="G23" s="408">
        <f>ROUND('HULP-velden'!$C$12 + 0.55 * ('HULP-velden'!$C$6-'HULP-velden'!$C$12),0)</f>
        <v>388</v>
      </c>
      <c r="H23" s="47"/>
      <c r="I23" s="58">
        <f>IF(F23="",E23,F23)</f>
        <v>400000</v>
      </c>
      <c r="J23" s="409">
        <f>IF(H23="",G23,H23)</f>
        <v>388</v>
      </c>
      <c r="K23" s="410">
        <f>'HULP-velden'!F45</f>
        <v>638</v>
      </c>
      <c r="L23" s="407">
        <f>+'HULP-velden'!I45</f>
        <v>4</v>
      </c>
      <c r="M23" s="65"/>
    </row>
    <row r="24" spans="2:23" s="2" customFormat="1" ht="27.95" customHeight="1" x14ac:dyDescent="0.2">
      <c r="B24" s="9"/>
      <c r="C24" s="9"/>
      <c r="D24" s="9"/>
      <c r="E24" s="9"/>
      <c r="F24" s="9"/>
      <c r="G24" s="9"/>
      <c r="H24" s="9"/>
      <c r="I24" s="9"/>
      <c r="J24" s="9"/>
      <c r="K24" s="9"/>
      <c r="L24" s="9"/>
      <c r="M24" s="9"/>
      <c r="N24" s="9"/>
    </row>
    <row r="25" spans="2:23" s="2" customFormat="1" ht="27.95" hidden="1" customHeight="1" x14ac:dyDescent="0.2">
      <c r="O25" s="9"/>
    </row>
    <row r="26" spans="2:23" s="2" customFormat="1" ht="30" hidden="1" customHeight="1" x14ac:dyDescent="0.2"/>
    <row r="27" spans="2:23" s="2" customFormat="1" ht="27.95" hidden="1" customHeight="1" x14ac:dyDescent="0.2"/>
    <row r="28" spans="2:23" s="2" customFormat="1" ht="27.95" hidden="1" customHeight="1" x14ac:dyDescent="0.2"/>
    <row r="29" spans="2:23" s="2" customFormat="1" ht="27.95" hidden="1" customHeight="1" x14ac:dyDescent="0.2"/>
    <row r="30" spans="2:23" s="2" customFormat="1" ht="27.95" hidden="1" customHeight="1" x14ac:dyDescent="0.2"/>
    <row r="31" spans="2:23" s="2" customFormat="1" ht="27.95" hidden="1" customHeight="1" x14ac:dyDescent="0.2"/>
    <row r="32" spans="2:23" s="2" customFormat="1" ht="27.95" hidden="1" customHeight="1" x14ac:dyDescent="0.2">
      <c r="B32" s="9"/>
      <c r="W32" s="2" t="s">
        <v>6</v>
      </c>
    </row>
  </sheetData>
  <sheetProtection algorithmName="SHA-512" hashValue="DDA3je9eb9ztUsd+IsgkA2ThwduDQ8wY/CAZX1zqgwkB6McCrPDb/UdwC+4YN5+N1gZLbPkv0nAb4UI1n6KGqQ==" saltValue="LWgrPMfNj9POX8F4/UkSdQ==" spinCount="100000" sheet="1" objects="1" scenarios="1" selectLockedCells="1"/>
  <mergeCells count="12">
    <mergeCell ref="B2:D4"/>
    <mergeCell ref="I17:J17"/>
    <mergeCell ref="D10:F10"/>
    <mergeCell ref="D11:F11"/>
    <mergeCell ref="D12:F12"/>
    <mergeCell ref="D7:F7"/>
    <mergeCell ref="D9:F9"/>
    <mergeCell ref="D8:F8"/>
    <mergeCell ref="D13:F13"/>
    <mergeCell ref="D14:F14"/>
    <mergeCell ref="D15:F15"/>
    <mergeCell ref="B7:B9"/>
  </mergeCells>
  <conditionalFormatting sqref="L19:L23">
    <cfRule type="expression" dxfId="15" priority="2">
      <formula>L19=1</formula>
    </cfRule>
  </conditionalFormatting>
  <pageMargins left="0.7" right="0.7" top="0.75" bottom="0.75" header="0.3" footer="0.3"/>
  <pageSetup paperSize="9"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CE873-B51E-4CDB-A93D-75AE4E7BB141}">
  <sheetPr codeName="Blad16">
    <tabColor rgb="FF8FCAE7"/>
    <pageSetUpPr fitToPage="1"/>
  </sheetPr>
  <dimension ref="B1:XFC107"/>
  <sheetViews>
    <sheetView showGridLines="0" showRowColHeaders="0" showWhiteSpace="0" zoomScale="108" zoomScaleNormal="108" workbookViewId="0">
      <selection activeCell="E8" sqref="E8"/>
    </sheetView>
  </sheetViews>
  <sheetFormatPr defaultColWidth="0" defaultRowHeight="0" customHeight="1" zeroHeight="1" x14ac:dyDescent="0.25"/>
  <cols>
    <col min="1" max="1" width="3.7109375" style="17" customWidth="1"/>
    <col min="2" max="2" width="98.7109375" style="17" customWidth="1"/>
    <col min="3" max="3" width="4.7109375" style="17" customWidth="1"/>
    <col min="4" max="4" width="31.7109375" style="17" customWidth="1"/>
    <col min="5" max="5" width="8.7109375" style="17" customWidth="1"/>
    <col min="6" max="7" width="20.7109375" style="17" customWidth="1"/>
    <col min="8" max="9" width="14.7109375" style="17" customWidth="1"/>
    <col min="10" max="11" width="10.7109375" style="17" customWidth="1"/>
    <col min="12" max="12" width="8.7109375" style="17" customWidth="1"/>
    <col min="13" max="13" width="3.7109375" style="17" customWidth="1"/>
    <col min="14" max="14" width="15.7109375" style="17" hidden="1" customWidth="1"/>
    <col min="15" max="16" width="10.7109375" style="17" hidden="1" customWidth="1"/>
    <col min="17" max="17" width="3.7109375" style="17" hidden="1" customWidth="1"/>
    <col min="18" max="24" width="19.42578125" style="17" hidden="1" customWidth="1"/>
    <col min="25" max="26" width="13.5703125" style="17" hidden="1" customWidth="1"/>
    <col min="27" max="29" width="19.42578125" style="17" hidden="1" customWidth="1"/>
    <col min="30" max="34" width="13.5703125" style="17" hidden="1" customWidth="1"/>
    <col min="35" max="16383" width="9.140625" style="17" hidden="1"/>
    <col min="16384" max="16384" width="0.140625" style="17" customWidth="1"/>
  </cols>
  <sheetData>
    <row r="1" spans="2:23" ht="21" customHeight="1" x14ac:dyDescent="0.25"/>
    <row r="2" spans="2:23" s="2" customFormat="1" ht="21" customHeight="1" x14ac:dyDescent="0.2">
      <c r="B2" s="467" t="str">
        <f>"Scenarioanalyse voor Gewogen Factor Methode"</f>
        <v>Scenarioanalyse voor Gewogen Factor Methode</v>
      </c>
      <c r="C2" s="467"/>
      <c r="D2" s="467"/>
      <c r="E2" s="450"/>
      <c r="F2" s="300"/>
      <c r="G2" s="20"/>
      <c r="H2" s="20"/>
      <c r="I2" s="20"/>
      <c r="J2" s="20"/>
      <c r="K2" s="20"/>
      <c r="L2" s="20"/>
    </row>
    <row r="3" spans="2:23" s="2" customFormat="1" ht="21" customHeight="1" x14ac:dyDescent="0.2">
      <c r="B3" s="467"/>
      <c r="C3" s="467"/>
      <c r="D3" s="467"/>
      <c r="E3" s="450"/>
      <c r="F3" s="300" t="s">
        <v>6</v>
      </c>
      <c r="G3" s="20"/>
      <c r="H3" s="20"/>
      <c r="I3" s="20"/>
      <c r="J3" s="20"/>
      <c r="K3" s="20"/>
      <c r="L3" s="20"/>
    </row>
    <row r="4" spans="2:23" s="2" customFormat="1" ht="21" customHeight="1" x14ac:dyDescent="0.2">
      <c r="B4" s="467"/>
      <c r="C4" s="467"/>
      <c r="D4" s="467"/>
      <c r="E4" s="450"/>
      <c r="F4" s="20"/>
      <c r="G4" s="20"/>
      <c r="H4" s="20"/>
      <c r="I4" s="20"/>
      <c r="J4" s="20"/>
      <c r="K4" s="20"/>
      <c r="L4" s="20"/>
    </row>
    <row r="5" spans="2:23" s="2" customFormat="1" ht="21" customHeight="1" x14ac:dyDescent="0.2">
      <c r="B5" s="37"/>
    </row>
    <row r="6" spans="2:23" s="2" customFormat="1" ht="27.95" customHeight="1" x14ac:dyDescent="0.2">
      <c r="D6" s="306"/>
      <c r="E6" s="236"/>
      <c r="F6" s="400"/>
      <c r="G6" s="489" t="s">
        <v>251</v>
      </c>
      <c r="H6" s="491" t="s">
        <v>145</v>
      </c>
      <c r="I6" s="489" t="s">
        <v>250</v>
      </c>
      <c r="J6" s="489" t="s">
        <v>248</v>
      </c>
      <c r="K6" s="400"/>
      <c r="L6" s="411"/>
      <c r="Q6" s="40"/>
      <c r="R6" s="40"/>
      <c r="S6" s="40"/>
      <c r="T6" s="40"/>
      <c r="U6" s="40"/>
      <c r="V6" s="40"/>
      <c r="W6" s="40"/>
    </row>
    <row r="7" spans="2:23" s="2" customFormat="1" ht="27.95" customHeight="1" x14ac:dyDescent="0.3">
      <c r="D7" s="307" t="s">
        <v>209</v>
      </c>
      <c r="E7" s="374" t="s">
        <v>321</v>
      </c>
      <c r="F7" s="451" t="s">
        <v>28</v>
      </c>
      <c r="G7" s="490"/>
      <c r="H7" s="492"/>
      <c r="I7" s="492"/>
      <c r="J7" s="490"/>
      <c r="K7" s="451" t="s">
        <v>249</v>
      </c>
      <c r="L7" s="412" t="s">
        <v>26</v>
      </c>
    </row>
    <row r="8" spans="2:23" s="2" customFormat="1" ht="27.95" customHeight="1" x14ac:dyDescent="0.2">
      <c r="C8" s="45">
        <v>1</v>
      </c>
      <c r="D8" s="453" t="str">
        <f t="shared" ref="D8:D19" si="0">"Combinatie P/Q (" &amp; C8 &amp; ")"</f>
        <v>Combinatie P/Q (1)</v>
      </c>
      <c r="E8" s="376" t="s">
        <v>322</v>
      </c>
      <c r="F8" s="454">
        <f>IF(ISERROR(+'HULP-velden'!D124),"",+'HULP-velden'!D124)</f>
        <v>500000</v>
      </c>
      <c r="G8" s="46"/>
      <c r="H8" s="413">
        <f>+'HULP-velden'!I124</f>
        <v>475</v>
      </c>
      <c r="I8" s="376"/>
      <c r="J8" s="417">
        <f>IF(ISBLANK(H8),"",+'HULP-velden'!L124)</f>
        <v>95</v>
      </c>
      <c r="K8" s="418">
        <f>+'HULP-velden'!K124</f>
        <v>475</v>
      </c>
      <c r="L8" s="425">
        <f>IF(E8="nee","",+'HULP-velden'!N124)</f>
        <v>12</v>
      </c>
      <c r="M8" s="455"/>
      <c r="N8" s="255">
        <f>+'HULP-velden'!F124</f>
        <v>500000</v>
      </c>
    </row>
    <row r="9" spans="2:23" s="2" customFormat="1" ht="27.95" customHeight="1" x14ac:dyDescent="0.2">
      <c r="C9" s="45">
        <v>2</v>
      </c>
      <c r="D9" s="453" t="str">
        <f t="shared" si="0"/>
        <v>Combinatie P/Q (2)</v>
      </c>
      <c r="E9" s="376" t="s">
        <v>322</v>
      </c>
      <c r="F9" s="454">
        <f>IF(ISERROR(+'HULP-velden'!D125),"",+'HULP-velden'!D125)</f>
        <v>481818.18181818182</v>
      </c>
      <c r="G9" s="46"/>
      <c r="H9" s="413">
        <f>+'HULP-velden'!I125</f>
        <v>436.36</v>
      </c>
      <c r="I9" s="376"/>
      <c r="J9" s="417">
        <f>IF(ISBLANK(H9),"",+'HULP-velden'!L125)</f>
        <v>87.272000000000006</v>
      </c>
      <c r="K9" s="418">
        <f>+'HULP-velden'!K125</f>
        <v>481.8</v>
      </c>
      <c r="L9" s="425">
        <f>IF(E9="nee","",+'HULP-velden'!N125)</f>
        <v>11</v>
      </c>
      <c r="M9" s="455"/>
      <c r="N9" s="255">
        <f>+'HULP-velden'!F125</f>
        <v>481818.18181818182</v>
      </c>
    </row>
    <row r="10" spans="2:23" s="2" customFormat="1" ht="27.95" customHeight="1" x14ac:dyDescent="0.2">
      <c r="C10" s="45">
        <v>3</v>
      </c>
      <c r="D10" s="453" t="str">
        <f t="shared" si="0"/>
        <v>Combinatie P/Q (3)</v>
      </c>
      <c r="E10" s="376" t="s">
        <v>322</v>
      </c>
      <c r="F10" s="454">
        <f>IF(ISERROR(+'HULP-velden'!D126),"",+'HULP-velden'!D126)</f>
        <v>463636.36363636365</v>
      </c>
      <c r="G10" s="46"/>
      <c r="H10" s="413">
        <f>+'HULP-velden'!I126</f>
        <v>397.73</v>
      </c>
      <c r="I10" s="376"/>
      <c r="J10" s="417">
        <f>IF(ISBLANK(H10),"",+'HULP-velden'!L126)</f>
        <v>79.546000000000006</v>
      </c>
      <c r="K10" s="418">
        <f>+'HULP-velden'!K126</f>
        <v>488.6</v>
      </c>
      <c r="L10" s="425">
        <f>IF(E10="nee","",+'HULP-velden'!N126)</f>
        <v>10</v>
      </c>
      <c r="M10" s="455"/>
      <c r="N10" s="255">
        <f>+'HULP-velden'!F126</f>
        <v>463636.36363636365</v>
      </c>
    </row>
    <row r="11" spans="2:23" s="2" customFormat="1" ht="27.95" customHeight="1" thickBot="1" x14ac:dyDescent="0.25">
      <c r="C11" s="298">
        <v>4</v>
      </c>
      <c r="D11" s="456" t="str">
        <f t="shared" si="0"/>
        <v>Combinatie P/Q (4)</v>
      </c>
      <c r="E11" s="376" t="s">
        <v>322</v>
      </c>
      <c r="F11" s="457">
        <f>IF(ISERROR(+'HULP-velden'!D127),"",+'HULP-velden'!D127)</f>
        <v>445454.54545454547</v>
      </c>
      <c r="G11" s="253"/>
      <c r="H11" s="414">
        <f>+'HULP-velden'!I127</f>
        <v>359.09</v>
      </c>
      <c r="I11" s="378"/>
      <c r="J11" s="419">
        <f>IF(ISBLANK(H11),"",+'HULP-velden'!L127)</f>
        <v>71.817999999999998</v>
      </c>
      <c r="K11" s="420">
        <f>+'HULP-velden'!K127</f>
        <v>495.5</v>
      </c>
      <c r="L11" s="426">
        <f>IF(E11="nee","",+'HULP-velden'!N127)</f>
        <v>9</v>
      </c>
      <c r="M11" s="455"/>
      <c r="N11" s="255">
        <f>+'HULP-velden'!F127</f>
        <v>445454.54545454547</v>
      </c>
    </row>
    <row r="12" spans="2:23" s="2" customFormat="1" ht="27.95" customHeight="1" x14ac:dyDescent="0.2">
      <c r="C12" s="299">
        <v>5</v>
      </c>
      <c r="D12" s="458" t="str">
        <f t="shared" si="0"/>
        <v>Combinatie P/Q (5)</v>
      </c>
      <c r="E12" s="376" t="s">
        <v>322</v>
      </c>
      <c r="F12" s="459">
        <f>IF(ISERROR(+'HULP-velden'!D128),"",+'HULP-velden'!D128)</f>
        <v>427272.72727272729</v>
      </c>
      <c r="G12" s="252"/>
      <c r="H12" s="415">
        <f>+'HULP-velden'!I128</f>
        <v>320.45</v>
      </c>
      <c r="I12" s="428"/>
      <c r="J12" s="421">
        <f>IF(ISBLANK(H12),"",+'HULP-velden'!L128)</f>
        <v>64.09</v>
      </c>
      <c r="K12" s="422">
        <f>+'HULP-velden'!K128</f>
        <v>502.3</v>
      </c>
      <c r="L12" s="427">
        <f>IF(E12="nee","",+'HULP-velden'!N128)</f>
        <v>8</v>
      </c>
      <c r="M12" s="455"/>
      <c r="N12" s="255">
        <f>+'HULP-velden'!F128</f>
        <v>427272.72727272729</v>
      </c>
    </row>
    <row r="13" spans="2:23" s="2" customFormat="1" ht="27.95" customHeight="1" x14ac:dyDescent="0.2">
      <c r="C13" s="45">
        <v>6</v>
      </c>
      <c r="D13" s="453" t="str">
        <f t="shared" si="0"/>
        <v>Combinatie P/Q (6)</v>
      </c>
      <c r="E13" s="376" t="s">
        <v>322</v>
      </c>
      <c r="F13" s="454">
        <f>IF(ISERROR(+'HULP-velden'!D129),"",+'HULP-velden'!D129)</f>
        <v>409090.90909090912</v>
      </c>
      <c r="G13" s="46"/>
      <c r="H13" s="413">
        <f>+'HULP-velden'!I129</f>
        <v>281.82</v>
      </c>
      <c r="I13" s="376"/>
      <c r="J13" s="417">
        <f>IF(ISBLANK(H13),"",+'HULP-velden'!L129)</f>
        <v>56.364000000000004</v>
      </c>
      <c r="K13" s="418">
        <f>+'HULP-velden'!K129</f>
        <v>509.1</v>
      </c>
      <c r="L13" s="425">
        <f>IF(E13="nee","",+'HULP-velden'!N129)</f>
        <v>7</v>
      </c>
      <c r="M13" s="455"/>
      <c r="N13" s="255">
        <f>+'HULP-velden'!F129</f>
        <v>409090.90909090912</v>
      </c>
    </row>
    <row r="14" spans="2:23" s="2" customFormat="1" ht="27.95" customHeight="1" x14ac:dyDescent="0.2">
      <c r="C14" s="45">
        <v>7</v>
      </c>
      <c r="D14" s="453" t="str">
        <f t="shared" si="0"/>
        <v>Combinatie P/Q (7)</v>
      </c>
      <c r="E14" s="376" t="s">
        <v>322</v>
      </c>
      <c r="F14" s="454">
        <f>IF(ISERROR(+'HULP-velden'!D130),"",+'HULP-velden'!D130)</f>
        <v>390909.09090909094</v>
      </c>
      <c r="G14" s="46"/>
      <c r="H14" s="413">
        <f>+'HULP-velden'!I130</f>
        <v>243.18</v>
      </c>
      <c r="I14" s="376"/>
      <c r="J14" s="417">
        <f>IF(ISBLANK(H14),"",+'HULP-velden'!L130)</f>
        <v>48.636000000000003</v>
      </c>
      <c r="K14" s="418">
        <f>+'HULP-velden'!K130</f>
        <v>515.9</v>
      </c>
      <c r="L14" s="425">
        <f>IF(E14="nee","",+'HULP-velden'!N130)</f>
        <v>6</v>
      </c>
      <c r="M14" s="455"/>
      <c r="N14" s="255">
        <f>+'HULP-velden'!F130</f>
        <v>390909.09090909094</v>
      </c>
    </row>
    <row r="15" spans="2:23" s="2" customFormat="1" ht="27.95" customHeight="1" thickBot="1" x14ac:dyDescent="0.25">
      <c r="C15" s="298">
        <v>8</v>
      </c>
      <c r="D15" s="456" t="str">
        <f t="shared" si="0"/>
        <v>Combinatie P/Q (8)</v>
      </c>
      <c r="E15" s="378" t="s">
        <v>322</v>
      </c>
      <c r="F15" s="457">
        <f>IF(ISERROR(+'HULP-velden'!D131),"",+'HULP-velden'!D131)</f>
        <v>372727.27272727276</v>
      </c>
      <c r="G15" s="253"/>
      <c r="H15" s="414">
        <f>+'HULP-velden'!I131</f>
        <v>204.55</v>
      </c>
      <c r="I15" s="378"/>
      <c r="J15" s="419">
        <f>IF(ISBLANK(H15),"",+'HULP-velden'!L131)</f>
        <v>40.910000000000004</v>
      </c>
      <c r="K15" s="420">
        <f>+'HULP-velden'!K131</f>
        <v>522.70000000000005</v>
      </c>
      <c r="L15" s="426">
        <f>IF(E15="nee","",+'HULP-velden'!N131)</f>
        <v>5</v>
      </c>
      <c r="M15" s="455"/>
      <c r="N15" s="255">
        <f>+'HULP-velden'!F131</f>
        <v>372727.27272727276</v>
      </c>
    </row>
    <row r="16" spans="2:23" s="2" customFormat="1" ht="27.95" customHeight="1" x14ac:dyDescent="0.2">
      <c r="C16" s="299">
        <v>9</v>
      </c>
      <c r="D16" s="458" t="str">
        <f t="shared" si="0"/>
        <v>Combinatie P/Q (9)</v>
      </c>
      <c r="E16" s="377" t="s">
        <v>322</v>
      </c>
      <c r="F16" s="459">
        <f>IF(ISERROR(+'HULP-velden'!D132),"",+'HULP-velden'!D132)</f>
        <v>354545.45454545459</v>
      </c>
      <c r="G16" s="252"/>
      <c r="H16" s="415">
        <f>+'HULP-velden'!I132</f>
        <v>165.91</v>
      </c>
      <c r="I16" s="428"/>
      <c r="J16" s="421">
        <f>IF(ISBLANK(H16),"",+'HULP-velden'!L132)</f>
        <v>33.182000000000002</v>
      </c>
      <c r="K16" s="422">
        <f>+'HULP-velden'!K132</f>
        <v>529.5</v>
      </c>
      <c r="L16" s="427">
        <f>IF(E16="nee","",+'HULP-velden'!N132)</f>
        <v>4</v>
      </c>
      <c r="M16" s="455"/>
      <c r="N16" s="255">
        <f>+'HULP-velden'!F132</f>
        <v>354545.45454545459</v>
      </c>
    </row>
    <row r="17" spans="3:23" s="2" customFormat="1" ht="27.95" customHeight="1" x14ac:dyDescent="0.2">
      <c r="C17" s="45">
        <v>10</v>
      </c>
      <c r="D17" s="453" t="str">
        <f t="shared" si="0"/>
        <v>Combinatie P/Q (10)</v>
      </c>
      <c r="E17" s="376" t="s">
        <v>322</v>
      </c>
      <c r="F17" s="454">
        <f>IF(ISERROR(+'HULP-velden'!D133),"",+'HULP-velden'!D133)</f>
        <v>336363.63636363641</v>
      </c>
      <c r="G17" s="46"/>
      <c r="H17" s="413">
        <f>+'HULP-velden'!I133</f>
        <v>127.27</v>
      </c>
      <c r="I17" s="376"/>
      <c r="J17" s="417">
        <f>IF(ISBLANK(H17),"",+'HULP-velden'!L133)</f>
        <v>25.454000000000001</v>
      </c>
      <c r="K17" s="418">
        <f>+'HULP-velden'!K133</f>
        <v>536.4</v>
      </c>
      <c r="L17" s="425">
        <f>IF(E17="nee","",+'HULP-velden'!N133)</f>
        <v>3</v>
      </c>
      <c r="M17" s="455"/>
      <c r="N17" s="255">
        <f>+'HULP-velden'!F133</f>
        <v>336363.63636363641</v>
      </c>
    </row>
    <row r="18" spans="3:23" s="2" customFormat="1" ht="27.95" customHeight="1" x14ac:dyDescent="0.2">
      <c r="C18" s="45">
        <v>11</v>
      </c>
      <c r="D18" s="453" t="str">
        <f t="shared" si="0"/>
        <v>Combinatie P/Q (11)</v>
      </c>
      <c r="E18" s="376" t="s">
        <v>322</v>
      </c>
      <c r="F18" s="454">
        <f>IF(ISERROR(+'HULP-velden'!D134),"",+'HULP-velden'!D134)</f>
        <v>318181.81818181823</v>
      </c>
      <c r="G18" s="46"/>
      <c r="H18" s="413">
        <f>+'HULP-velden'!I134</f>
        <v>88.64</v>
      </c>
      <c r="I18" s="376"/>
      <c r="J18" s="417">
        <f>IF(ISBLANK(H18),"",+'HULP-velden'!L134)</f>
        <v>17.728000000000002</v>
      </c>
      <c r="K18" s="418">
        <f>+'HULP-velden'!K134</f>
        <v>543.20000000000005</v>
      </c>
      <c r="L18" s="425">
        <f>IF(E18="nee","",+'HULP-velden'!N134)</f>
        <v>2</v>
      </c>
      <c r="M18" s="455"/>
      <c r="N18" s="255">
        <f>+'HULP-velden'!F134</f>
        <v>318181.81818181823</v>
      </c>
    </row>
    <row r="19" spans="3:23" s="2" customFormat="1" ht="27.95" customHeight="1" thickBot="1" x14ac:dyDescent="0.25">
      <c r="C19" s="298">
        <v>12</v>
      </c>
      <c r="D19" s="456" t="str">
        <f t="shared" si="0"/>
        <v>Combinatie P/Q (12)</v>
      </c>
      <c r="E19" s="378" t="s">
        <v>322</v>
      </c>
      <c r="F19" s="457">
        <f>IF(ISERROR(+'HULP-velden'!D135),"",+'HULP-velden'!D135)</f>
        <v>300000.00000000006</v>
      </c>
      <c r="G19" s="253"/>
      <c r="H19" s="414">
        <f>+'HULP-velden'!I135</f>
        <v>50</v>
      </c>
      <c r="I19" s="378"/>
      <c r="J19" s="419">
        <f>IF(ISBLANK(H19),"",+'HULP-velden'!L135)</f>
        <v>10</v>
      </c>
      <c r="K19" s="420">
        <f>+'HULP-velden'!K135</f>
        <v>550</v>
      </c>
      <c r="L19" s="426">
        <f>IF(E19="nee","",+'HULP-velden'!N135)</f>
        <v>1</v>
      </c>
      <c r="M19" s="455"/>
      <c r="N19" s="255">
        <f>+'HULP-velden'!F135</f>
        <v>300000.00000000006</v>
      </c>
    </row>
    <row r="20" spans="3:23" s="2" customFormat="1" ht="27.95" customHeight="1" x14ac:dyDescent="0.2">
      <c r="C20" s="48"/>
      <c r="D20" s="442" t="s">
        <v>344</v>
      </c>
      <c r="E20" s="390"/>
      <c r="F20" s="459">
        <f>+'HULP-velden'!$C$8</f>
        <v>400000</v>
      </c>
      <c r="G20" s="388"/>
      <c r="H20" s="416">
        <f>+'HULP-velden'!$C$12</f>
        <v>250</v>
      </c>
      <c r="J20" s="423">
        <f>IF(ISBLANK(H20),"",+'HULP-velden'!$I$63)</f>
        <v>50</v>
      </c>
      <c r="K20" s="424">
        <f>+'HULP-velden'!K136</f>
        <v>500</v>
      </c>
      <c r="M20" s="255"/>
    </row>
    <row r="21" spans="3:23" s="2" customFormat="1" ht="27.95" customHeight="1" x14ac:dyDescent="0.2">
      <c r="C21" s="389"/>
      <c r="D21" s="375"/>
      <c r="E21" s="375"/>
      <c r="L21" s="52"/>
      <c r="M21" s="52"/>
    </row>
    <row r="22" spans="3:23" s="2" customFormat="1" ht="27.95" customHeight="1" x14ac:dyDescent="0.2">
      <c r="C22" s="487" t="s">
        <v>231</v>
      </c>
      <c r="D22" s="493" t="str">
        <f>"Start aanbodlijn | tussen " &amp; 'HULP-velden'!C6 * 0.1  &amp; " en " &amp; 'HULP-velden'!C6 *0.9 &amp; " van het maximaal aantal punten."</f>
        <v>Start aanbodlijn | tussen 50 en 450 van het maximaal aantal punten.</v>
      </c>
      <c r="E22" s="494"/>
      <c r="F22" s="494"/>
      <c r="G22" s="495"/>
      <c r="H22" s="395">
        <v>50</v>
      </c>
      <c r="W22" s="2" t="s">
        <v>6</v>
      </c>
    </row>
    <row r="23" spans="3:23" s="2" customFormat="1" ht="27.95" customHeight="1" x14ac:dyDescent="0.2">
      <c r="C23" s="488"/>
      <c r="D23" s="394" t="s">
        <v>378</v>
      </c>
      <c r="E23" s="392"/>
      <c r="F23" s="392"/>
      <c r="G23" s="393"/>
      <c r="H23" s="452">
        <f>Dashboard!H10</f>
        <v>500</v>
      </c>
      <c r="I23" s="391" t="s">
        <v>354</v>
      </c>
    </row>
    <row r="24" spans="3:23" s="2" customFormat="1" ht="30.75" customHeight="1" x14ac:dyDescent="0.2"/>
    <row r="25" spans="3:23" s="2" customFormat="1" ht="27.75" hidden="1" customHeight="1" x14ac:dyDescent="0.2">
      <c r="C25" s="9"/>
    </row>
    <row r="26" spans="3:23" s="2" customFormat="1" ht="27.95" hidden="1" customHeight="1" x14ac:dyDescent="0.2">
      <c r="C26" s="9"/>
    </row>
    <row r="27" spans="3:23" s="2" customFormat="1" ht="27.95" hidden="1" customHeight="1" x14ac:dyDescent="0.2">
      <c r="C27" s="9"/>
    </row>
    <row r="28" spans="3:23" s="2" customFormat="1" ht="27.95" hidden="1" customHeight="1" x14ac:dyDescent="0.2">
      <c r="C28" s="9"/>
    </row>
    <row r="29" spans="3:23" s="2" customFormat="1" ht="27.95" hidden="1" customHeight="1" x14ac:dyDescent="0.2">
      <c r="C29" s="9"/>
    </row>
    <row r="30" spans="3:23" s="2" customFormat="1" ht="27.95" hidden="1" customHeight="1" x14ac:dyDescent="0.2">
      <c r="C30" s="9"/>
    </row>
    <row r="31" spans="3:23" s="2" customFormat="1" ht="27.95" hidden="1" customHeight="1" x14ac:dyDescent="0.2">
      <c r="C31" s="9"/>
    </row>
    <row r="32" spans="3:23" s="2" customFormat="1" ht="27.95" hidden="1" customHeight="1" x14ac:dyDescent="0.2">
      <c r="C32" s="9"/>
    </row>
    <row r="33" spans="3:3" s="2" customFormat="1" ht="27.95" hidden="1" customHeight="1" x14ac:dyDescent="0.2">
      <c r="C33" s="9"/>
    </row>
    <row r="34" spans="3:3" s="2" customFormat="1" ht="27.95" hidden="1" customHeight="1" x14ac:dyDescent="0.2">
      <c r="C34" s="9"/>
    </row>
    <row r="35" spans="3:3" s="2" customFormat="1" ht="27.95" hidden="1" customHeight="1" x14ac:dyDescent="0.2">
      <c r="C35" s="9"/>
    </row>
    <row r="36" spans="3:3" s="2" customFormat="1" ht="27.95" hidden="1" customHeight="1" x14ac:dyDescent="0.2">
      <c r="C36" s="9"/>
    </row>
    <row r="37" spans="3:3" s="2" customFormat="1" ht="27.95" hidden="1" customHeight="1" x14ac:dyDescent="0.2">
      <c r="C37" s="9"/>
    </row>
    <row r="38" spans="3:3" s="2" customFormat="1" ht="27.95" hidden="1" customHeight="1" x14ac:dyDescent="0.2">
      <c r="C38" s="9"/>
    </row>
    <row r="39" spans="3:3" s="2" customFormat="1" ht="27.95" hidden="1" customHeight="1" x14ac:dyDescent="0.2">
      <c r="C39" s="9"/>
    </row>
    <row r="40" spans="3:3" s="2" customFormat="1" ht="27.95" hidden="1" customHeight="1" x14ac:dyDescent="0.2">
      <c r="C40" s="9"/>
    </row>
    <row r="41" spans="3:3" s="2" customFormat="1" ht="27.95" hidden="1" customHeight="1" x14ac:dyDescent="0.2">
      <c r="C41" s="9"/>
    </row>
    <row r="42" spans="3:3" s="2" customFormat="1" ht="27.95" hidden="1" customHeight="1" x14ac:dyDescent="0.2">
      <c r="C42" s="9"/>
    </row>
    <row r="43" spans="3:3" s="2" customFormat="1" ht="27.95" hidden="1" customHeight="1" x14ac:dyDescent="0.2">
      <c r="C43" s="9"/>
    </row>
    <row r="44" spans="3:3" s="2" customFormat="1" ht="27.95" hidden="1" customHeight="1" x14ac:dyDescent="0.2">
      <c r="C44" s="9"/>
    </row>
    <row r="45" spans="3:3" s="2" customFormat="1" ht="27.95" hidden="1" customHeight="1" x14ac:dyDescent="0.2">
      <c r="C45" s="9"/>
    </row>
    <row r="46" spans="3:3" s="2" customFormat="1" ht="27.95" hidden="1" customHeight="1" x14ac:dyDescent="0.2">
      <c r="C46" s="9"/>
    </row>
    <row r="47" spans="3:3" s="2" customFormat="1" ht="27.95" hidden="1" customHeight="1" x14ac:dyDescent="0.2">
      <c r="C47" s="9"/>
    </row>
    <row r="48" spans="3:3" s="2" customFormat="1" ht="27.95" hidden="1" customHeight="1" x14ac:dyDescent="0.2">
      <c r="C48" s="9"/>
    </row>
    <row r="49" spans="3:3" s="2" customFormat="1" ht="27.95" hidden="1" customHeight="1" x14ac:dyDescent="0.2">
      <c r="C49" s="9"/>
    </row>
    <row r="50" spans="3:3" s="2" customFormat="1" ht="27.95" hidden="1" customHeight="1" x14ac:dyDescent="0.2">
      <c r="C50" s="9"/>
    </row>
    <row r="51" spans="3:3" s="2" customFormat="1" ht="27.95" hidden="1" customHeight="1" x14ac:dyDescent="0.2">
      <c r="C51" s="9"/>
    </row>
    <row r="52" spans="3:3" s="2" customFormat="1" ht="27.95" hidden="1" customHeight="1" x14ac:dyDescent="0.2">
      <c r="C52" s="9"/>
    </row>
    <row r="53" spans="3:3" s="2" customFormat="1" ht="27.95" hidden="1" customHeight="1" x14ac:dyDescent="0.2">
      <c r="C53" s="9"/>
    </row>
    <row r="54" spans="3:3" s="2" customFormat="1" ht="27.95" hidden="1" customHeight="1" x14ac:dyDescent="0.2">
      <c r="C54" s="9"/>
    </row>
    <row r="55" spans="3:3" s="2" customFormat="1" ht="27.95" hidden="1" customHeight="1" x14ac:dyDescent="0.2">
      <c r="C55" s="9"/>
    </row>
    <row r="56" spans="3:3" s="2" customFormat="1" ht="27.95" hidden="1" customHeight="1" x14ac:dyDescent="0.2">
      <c r="C56" s="9"/>
    </row>
    <row r="57" spans="3:3" s="2" customFormat="1" ht="27.95" hidden="1" customHeight="1" x14ac:dyDescent="0.2">
      <c r="C57" s="9"/>
    </row>
    <row r="58" spans="3:3" s="2" customFormat="1" ht="27.95" hidden="1" customHeight="1" x14ac:dyDescent="0.2">
      <c r="C58" s="9"/>
    </row>
    <row r="59" spans="3:3" s="2" customFormat="1" ht="27.95" hidden="1" customHeight="1" x14ac:dyDescent="0.2">
      <c r="C59" s="9"/>
    </row>
    <row r="60" spans="3:3" s="2" customFormat="1" ht="27.95" hidden="1" customHeight="1" x14ac:dyDescent="0.2">
      <c r="C60" s="9"/>
    </row>
    <row r="61" spans="3:3" s="2" customFormat="1" ht="27.95" hidden="1" customHeight="1" x14ac:dyDescent="0.2">
      <c r="C61" s="9"/>
    </row>
    <row r="62" spans="3:3" s="2" customFormat="1" ht="27.95" hidden="1" customHeight="1" x14ac:dyDescent="0.2">
      <c r="C62" s="9"/>
    </row>
    <row r="63" spans="3:3" s="2" customFormat="1" ht="27.95" hidden="1" customHeight="1" x14ac:dyDescent="0.2">
      <c r="C63" s="9"/>
    </row>
    <row r="64" spans="3:3" s="2" customFormat="1" ht="27.95" hidden="1" customHeight="1" x14ac:dyDescent="0.2">
      <c r="C64" s="9"/>
    </row>
    <row r="65" spans="3:3" s="2" customFormat="1" ht="27.95" hidden="1" customHeight="1" x14ac:dyDescent="0.2">
      <c r="C65" s="9"/>
    </row>
    <row r="66" spans="3:3" s="2" customFormat="1" ht="27.95" hidden="1" customHeight="1" x14ac:dyDescent="0.2"/>
    <row r="67" spans="3:3" s="2" customFormat="1" ht="27.95" hidden="1" customHeight="1" x14ac:dyDescent="0.2"/>
    <row r="68" spans="3:3" s="2" customFormat="1" ht="27.95" hidden="1" customHeight="1" x14ac:dyDescent="0.2"/>
    <row r="69" spans="3:3" s="2" customFormat="1" ht="27.95" hidden="1" customHeight="1" x14ac:dyDescent="0.2"/>
    <row r="70" spans="3:3" s="2" customFormat="1" ht="27.95" hidden="1" customHeight="1" x14ac:dyDescent="0.2"/>
    <row r="71" spans="3:3" s="2" customFormat="1" ht="27.95" hidden="1" customHeight="1" x14ac:dyDescent="0.2"/>
    <row r="72" spans="3:3" s="2" customFormat="1" ht="27.95" hidden="1" customHeight="1" x14ac:dyDescent="0.2"/>
    <row r="73" spans="3:3" s="2" customFormat="1" ht="27.95" hidden="1" customHeight="1" x14ac:dyDescent="0.2"/>
    <row r="74" spans="3:3" s="2" customFormat="1" ht="27.95" hidden="1" customHeight="1" x14ac:dyDescent="0.2"/>
    <row r="75" spans="3:3" s="2" customFormat="1" ht="27.95" hidden="1" customHeight="1" x14ac:dyDescent="0.2"/>
    <row r="76" spans="3:3" s="2" customFormat="1" ht="27.95" hidden="1" customHeight="1" x14ac:dyDescent="0.2"/>
    <row r="77" spans="3:3" s="2" customFormat="1" ht="27.95" hidden="1" customHeight="1" x14ac:dyDescent="0.2"/>
    <row r="78" spans="3:3" s="2" customFormat="1" ht="27.95" hidden="1" customHeight="1" x14ac:dyDescent="0.2"/>
    <row r="79" spans="3:3" s="2" customFormat="1" ht="27.95" hidden="1" customHeight="1" x14ac:dyDescent="0.2"/>
    <row r="80" spans="3:3" s="2" customFormat="1" ht="27.95" hidden="1" customHeight="1" x14ac:dyDescent="0.2"/>
    <row r="81" spans="4:16" s="2" customFormat="1" ht="27.95" hidden="1" customHeight="1" x14ac:dyDescent="0.2"/>
    <row r="82" spans="4:16" s="2" customFormat="1" ht="27.95" hidden="1" customHeight="1" x14ac:dyDescent="0.2"/>
    <row r="83" spans="4:16" s="2" customFormat="1" ht="27.95" hidden="1" customHeight="1" x14ac:dyDescent="0.2"/>
    <row r="84" spans="4:16" s="2" customFormat="1" ht="27.95" hidden="1" customHeight="1" x14ac:dyDescent="0.25">
      <c r="D84" s="17"/>
      <c r="E84" s="17"/>
      <c r="F84" s="17"/>
      <c r="G84" s="17"/>
      <c r="H84" s="17"/>
      <c r="I84" s="17"/>
      <c r="J84" s="17"/>
      <c r="K84" s="17"/>
    </row>
    <row r="85" spans="4:16" s="2" customFormat="1" ht="27.95" hidden="1" customHeight="1" x14ac:dyDescent="0.25">
      <c r="D85" s="17"/>
      <c r="E85" s="17"/>
      <c r="F85" s="17"/>
      <c r="G85" s="17"/>
      <c r="H85" s="17"/>
      <c r="I85" s="17"/>
      <c r="J85" s="17"/>
      <c r="K85" s="17"/>
    </row>
    <row r="86" spans="4:16" s="2" customFormat="1" ht="27.95" hidden="1" customHeight="1" x14ac:dyDescent="0.25">
      <c r="D86" s="17"/>
      <c r="E86" s="17"/>
      <c r="F86" s="17"/>
      <c r="G86" s="17"/>
      <c r="H86" s="17"/>
      <c r="I86" s="17"/>
      <c r="J86" s="17"/>
      <c r="K86" s="17"/>
      <c r="L86" s="17"/>
    </row>
    <row r="87" spans="4:16" s="2" customFormat="1" ht="27.95" hidden="1" customHeight="1" x14ac:dyDescent="0.25">
      <c r="D87" s="17"/>
      <c r="E87" s="17"/>
      <c r="F87" s="17"/>
      <c r="G87" s="17"/>
      <c r="H87" s="17"/>
      <c r="I87" s="17"/>
      <c r="J87" s="17"/>
      <c r="K87" s="17"/>
      <c r="L87" s="17"/>
    </row>
    <row r="88" spans="4:16" s="2" customFormat="1" ht="27.95" hidden="1" customHeight="1" x14ac:dyDescent="0.25">
      <c r="D88" s="17"/>
      <c r="E88" s="17"/>
      <c r="F88" s="17"/>
      <c r="G88" s="17"/>
      <c r="H88" s="17"/>
      <c r="I88" s="17"/>
      <c r="J88" s="17"/>
      <c r="K88" s="17"/>
      <c r="L88" s="17"/>
    </row>
    <row r="89" spans="4:16" s="2" customFormat="1" ht="27.95" hidden="1" customHeight="1" x14ac:dyDescent="0.25">
      <c r="D89" s="17"/>
      <c r="E89" s="17"/>
      <c r="F89" s="17"/>
      <c r="G89" s="17"/>
      <c r="H89" s="17"/>
      <c r="I89" s="17"/>
      <c r="J89" s="17"/>
      <c r="K89" s="17"/>
      <c r="L89" s="17"/>
    </row>
    <row r="90" spans="4:16" s="2" customFormat="1" ht="27.75" hidden="1" customHeight="1" x14ac:dyDescent="0.25">
      <c r="D90" s="17"/>
      <c r="E90" s="17"/>
      <c r="F90" s="17"/>
      <c r="G90" s="17"/>
      <c r="H90" s="17"/>
      <c r="I90" s="17"/>
      <c r="J90" s="17"/>
      <c r="K90" s="17"/>
      <c r="L90" s="17"/>
    </row>
    <row r="91" spans="4:16" s="2" customFormat="1" ht="27.95" hidden="1" customHeight="1" x14ac:dyDescent="0.25">
      <c r="D91" s="17"/>
      <c r="E91" s="17"/>
      <c r="F91" s="17"/>
      <c r="G91" s="17"/>
      <c r="H91" s="17"/>
      <c r="I91" s="17"/>
      <c r="J91" s="17"/>
      <c r="K91" s="17"/>
      <c r="L91" s="17"/>
    </row>
    <row r="92" spans="4:16" s="2" customFormat="1" ht="27.95" hidden="1" customHeight="1" x14ac:dyDescent="0.25">
      <c r="D92" s="17"/>
      <c r="E92" s="17"/>
      <c r="F92" s="17"/>
      <c r="G92" s="17"/>
      <c r="H92" s="17"/>
      <c r="I92" s="17"/>
      <c r="J92" s="17"/>
      <c r="K92" s="17"/>
      <c r="L92" s="17"/>
    </row>
    <row r="93" spans="4:16" s="2" customFormat="1" ht="27.95" hidden="1" customHeight="1" x14ac:dyDescent="0.25">
      <c r="D93" s="17"/>
      <c r="E93" s="17"/>
      <c r="F93" s="17"/>
      <c r="G93" s="17"/>
      <c r="H93" s="17"/>
      <c r="I93" s="17"/>
      <c r="J93" s="17"/>
      <c r="K93" s="17"/>
      <c r="L93" s="17"/>
    </row>
    <row r="94" spans="4:16" s="2" customFormat="1" ht="27.95" hidden="1" customHeight="1" x14ac:dyDescent="0.25">
      <c r="D94" s="17"/>
      <c r="E94" s="17"/>
      <c r="F94" s="17"/>
      <c r="G94" s="17"/>
      <c r="H94" s="17"/>
      <c r="I94" s="17"/>
      <c r="J94" s="17"/>
      <c r="K94" s="17"/>
      <c r="L94" s="17"/>
    </row>
    <row r="95" spans="4:16" s="2" customFormat="1" ht="27.95" hidden="1" customHeight="1" x14ac:dyDescent="0.25">
      <c r="D95" s="17"/>
      <c r="E95" s="17"/>
      <c r="F95" s="17"/>
      <c r="G95" s="17"/>
      <c r="H95" s="17"/>
      <c r="I95" s="17"/>
      <c r="J95" s="17"/>
      <c r="K95" s="17"/>
      <c r="L95" s="17"/>
      <c r="O95" s="17"/>
      <c r="P95" s="17"/>
    </row>
    <row r="96" spans="4:16" ht="27.95" hidden="1" customHeight="1" x14ac:dyDescent="0.25"/>
    <row r="97" s="17" customFormat="1" ht="27.95" hidden="1" customHeight="1" x14ac:dyDescent="0.25"/>
    <row r="98" s="17" customFormat="1" ht="27.95" hidden="1" customHeight="1" x14ac:dyDescent="0.25"/>
    <row r="99" s="17" customFormat="1" ht="27.95" hidden="1" customHeight="1" x14ac:dyDescent="0.25"/>
    <row r="100" s="17" customFormat="1" ht="27.95" hidden="1" customHeight="1" x14ac:dyDescent="0.25"/>
    <row r="101" s="17" customFormat="1" ht="27.95" hidden="1" customHeight="1" x14ac:dyDescent="0.25"/>
    <row r="102" s="17" customFormat="1" ht="27.95" hidden="1" customHeight="1" x14ac:dyDescent="0.25"/>
    <row r="103" s="17" customFormat="1" ht="27.95" hidden="1" customHeight="1" x14ac:dyDescent="0.25"/>
    <row r="104" s="17" customFormat="1" ht="27.95" hidden="1" customHeight="1" x14ac:dyDescent="0.25"/>
    <row r="105" s="17" customFormat="1" ht="27.95" hidden="1" customHeight="1" x14ac:dyDescent="0.25"/>
    <row r="106" s="17" customFormat="1" ht="27.95" hidden="1" customHeight="1" x14ac:dyDescent="0.25"/>
    <row r="107" s="17" customFormat="1" ht="27.95" hidden="1" customHeight="1" x14ac:dyDescent="0.25"/>
  </sheetData>
  <sheetProtection algorithmName="SHA-512" hashValue="SmjiITvUkTc4otwILimxBnfsNcyHPIbRx7inZNTejvHN0zWETECJkGC0oQ9JVUigHYfsUBDDc1px7mUWDWU1jw==" saltValue="37+Bz3NpNPsRc8YIUiRiEQ==" spinCount="100000" sheet="1" objects="1" scenarios="1"/>
  <mergeCells count="7">
    <mergeCell ref="C22:C23"/>
    <mergeCell ref="J6:J7"/>
    <mergeCell ref="H6:H7"/>
    <mergeCell ref="I6:I7"/>
    <mergeCell ref="B2:D4"/>
    <mergeCell ref="G6:G7"/>
    <mergeCell ref="D22:G22"/>
  </mergeCells>
  <conditionalFormatting sqref="C16">
    <cfRule type="expression" dxfId="14" priority="8">
      <formula>L16=1</formula>
    </cfRule>
  </conditionalFormatting>
  <conditionalFormatting sqref="C17">
    <cfRule type="expression" dxfId="13" priority="7">
      <formula>L17=1</formula>
    </cfRule>
  </conditionalFormatting>
  <conditionalFormatting sqref="C8:C15">
    <cfRule type="expression" dxfId="12" priority="6">
      <formula>L8=1</formula>
    </cfRule>
  </conditionalFormatting>
  <conditionalFormatting sqref="C18">
    <cfRule type="expression" dxfId="11" priority="5">
      <formula>L18=1</formula>
    </cfRule>
  </conditionalFormatting>
  <conditionalFormatting sqref="C19">
    <cfRule type="expression" dxfId="10" priority="4">
      <formula>L19=1</formula>
    </cfRule>
  </conditionalFormatting>
  <conditionalFormatting sqref="L8:L19">
    <cfRule type="cellIs" dxfId="9" priority="3" operator="equal">
      <formula>1</formula>
    </cfRule>
  </conditionalFormatting>
  <conditionalFormatting sqref="C21:C22">
    <cfRule type="expression" dxfId="8" priority="2">
      <formula>L21=1</formula>
    </cfRule>
  </conditionalFormatting>
  <dataValidations count="1">
    <dataValidation type="list" allowBlank="1" showInputMessage="1" showErrorMessage="1" sqref="E8:E19" xr:uid="{3B24C6AC-9378-4434-BAF9-77193B1CD1B4}">
      <formula1>"ja,nee"</formula1>
    </dataValidation>
  </dataValidations>
  <pageMargins left="0.7" right="0.7" top="0.75" bottom="0.75" header="0.3" footer="0.3"/>
  <pageSetup paperSize="9" scale="5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14">
    <tabColor rgb="FF8FCAE7"/>
    <pageSetUpPr fitToPage="1"/>
  </sheetPr>
  <dimension ref="B1:AE210"/>
  <sheetViews>
    <sheetView showGridLines="0" showRowColHeaders="0" showWhiteSpace="0" zoomScale="108" zoomScaleNormal="108" workbookViewId="0">
      <selection activeCell="D8" sqref="D8:E8"/>
    </sheetView>
  </sheetViews>
  <sheetFormatPr defaultColWidth="9.140625" defaultRowHeight="15" customHeight="1" x14ac:dyDescent="0.25"/>
  <cols>
    <col min="1" max="1" width="3.7109375" style="17" customWidth="1"/>
    <col min="2" max="2" width="98.7109375" style="17" customWidth="1"/>
    <col min="3" max="4" width="4.7109375" style="17" customWidth="1"/>
    <col min="5" max="5" width="37.7109375" style="17" customWidth="1"/>
    <col min="6" max="6" width="20.7109375" style="17" customWidth="1"/>
    <col min="7" max="10" width="10.7109375" style="17" customWidth="1"/>
    <col min="11" max="11" width="1.5703125" style="17" customWidth="1"/>
    <col min="12" max="12" width="33.5703125" style="17" customWidth="1"/>
    <col min="13" max="13" width="3.7109375" style="17" customWidth="1"/>
    <col min="14" max="15" width="10.7109375" style="17" customWidth="1"/>
    <col min="16" max="16" width="25.85546875" style="17" customWidth="1"/>
    <col min="17" max="17" width="20.140625" style="17" customWidth="1"/>
    <col min="18" max="18" width="19.7109375" style="17" customWidth="1"/>
    <col min="19" max="19" width="24.7109375" style="17" customWidth="1"/>
    <col min="20" max="21" width="16.5703125" style="17" customWidth="1"/>
    <col min="22" max="22" width="19.28515625" style="17" customWidth="1"/>
    <col min="23" max="23" width="15.7109375" style="17" customWidth="1"/>
    <col min="24" max="16384" width="9.140625" style="17"/>
  </cols>
  <sheetData>
    <row r="1" spans="2:31" ht="21" customHeight="1" x14ac:dyDescent="0.25"/>
    <row r="2" spans="2:31" s="2" customFormat="1" ht="21" customHeight="1" x14ac:dyDescent="0.25">
      <c r="B2" s="467" t="str">
        <f>"Ontvangen offertes voor:  " &amp; 'BPK-Grafiek'!N35 &amp; " " &amp; 'BPK-Grafiek'!N34</f>
        <v>Ontvangen offertes voor:  IUC26-001 Test</v>
      </c>
      <c r="C2" s="373"/>
      <c r="D2" s="20"/>
      <c r="E2" s="20"/>
      <c r="F2" s="20"/>
      <c r="G2" s="20"/>
      <c r="H2" s="20"/>
      <c r="I2" s="20"/>
      <c r="J2" s="20"/>
      <c r="K2" s="20"/>
      <c r="L2" s="20"/>
      <c r="P2" s="223" t="s">
        <v>196</v>
      </c>
      <c r="Q2" s="223"/>
      <c r="R2" s="223"/>
      <c r="S2" s="223"/>
      <c r="T2" s="223"/>
      <c r="U2" s="223"/>
      <c r="V2" s="223"/>
      <c r="W2" s="223"/>
      <c r="X2" s="223"/>
      <c r="Y2" s="223"/>
      <c r="Z2" s="223"/>
      <c r="AA2" s="223"/>
      <c r="AB2" s="223"/>
      <c r="AC2" s="223"/>
      <c r="AD2" s="223"/>
    </row>
    <row r="3" spans="2:31" s="2" customFormat="1" ht="21" customHeight="1" x14ac:dyDescent="0.25">
      <c r="B3" s="467"/>
      <c r="C3" s="373"/>
      <c r="D3" s="20"/>
      <c r="E3" s="36"/>
      <c r="F3" s="20"/>
      <c r="G3" s="20"/>
      <c r="H3" s="20"/>
      <c r="I3" s="20"/>
      <c r="J3" s="20"/>
      <c r="K3" s="20"/>
      <c r="L3" s="20"/>
      <c r="P3" s="223" t="s">
        <v>324</v>
      </c>
      <c r="Q3" s="223" t="str">
        <f>'HULP-velden'!$E$6</f>
        <v>Machtsformule</v>
      </c>
      <c r="R3" s="223"/>
      <c r="S3" s="223"/>
      <c r="T3" s="444"/>
      <c r="U3" s="223"/>
      <c r="V3" s="225" t="s">
        <v>61</v>
      </c>
      <c r="W3" s="223"/>
      <c r="X3" s="223" t="s">
        <v>59</v>
      </c>
      <c r="Y3" s="223"/>
      <c r="Z3" s="223"/>
      <c r="AA3" s="223"/>
      <c r="AB3" s="223"/>
      <c r="AC3" s="223"/>
      <c r="AD3" s="223"/>
    </row>
    <row r="4" spans="2:31" s="2" customFormat="1" ht="21" customHeight="1" x14ac:dyDescent="0.25">
      <c r="B4" s="467"/>
      <c r="C4" s="373"/>
      <c r="D4" s="20"/>
      <c r="E4" s="20"/>
      <c r="F4" s="20"/>
      <c r="G4" s="20"/>
      <c r="H4" s="20"/>
      <c r="I4" s="20"/>
      <c r="J4" s="20"/>
      <c r="K4" s="20"/>
      <c r="L4" s="20"/>
      <c r="P4" s="223" t="s">
        <v>105</v>
      </c>
      <c r="Q4" s="224">
        <f>+Q10</f>
        <v>500</v>
      </c>
      <c r="R4" s="443">
        <f>+Q4</f>
        <v>500</v>
      </c>
      <c r="S4" s="223"/>
      <c r="T4" s="444"/>
      <c r="U4" s="223"/>
      <c r="V4" s="225"/>
      <c r="W4" s="225"/>
      <c r="X4" s="225" t="s">
        <v>96</v>
      </c>
      <c r="Y4" s="225"/>
      <c r="Z4" s="225"/>
      <c r="AA4" s="225"/>
      <c r="AB4" s="225"/>
      <c r="AC4" s="225"/>
      <c r="AD4" s="225"/>
    </row>
    <row r="5" spans="2:31" s="2" customFormat="1" ht="21" customHeight="1" x14ac:dyDescent="0.25">
      <c r="B5" s="37"/>
      <c r="C5" s="37"/>
      <c r="P5" s="223" t="s">
        <v>106</v>
      </c>
      <c r="Q5" s="223">
        <v>0</v>
      </c>
      <c r="R5" s="226">
        <f>+Q23*2</f>
        <v>800000</v>
      </c>
      <c r="S5" s="223"/>
      <c r="T5" s="223"/>
      <c r="U5" s="223"/>
      <c r="V5" s="225" t="s">
        <v>101</v>
      </c>
      <c r="W5" s="225"/>
      <c r="X5" s="225" t="str">
        <f>+'HULP-velden'!$AJ$16</f>
        <v>BPK-Lijn -3</v>
      </c>
      <c r="Y5" s="225" t="str">
        <f>+'HULP-velden'!$AK$16</f>
        <v>BPK-Lijn -2</v>
      </c>
      <c r="Z5" s="225" t="str">
        <f>+'HULP-velden'!$AL$16</f>
        <v>BPK-Lijn -1</v>
      </c>
      <c r="AA5" s="225" t="str">
        <f>+'HULP-velden'!$AM$16</f>
        <v>BPK-lijn Ref</v>
      </c>
      <c r="AB5" s="225" t="str">
        <f>+'HULP-velden'!$AN$16</f>
        <v>BPK-Lijn +1</v>
      </c>
      <c r="AC5" s="225" t="str">
        <f>+'HULP-velden'!$AO$16</f>
        <v>BPK-Lijn +2</v>
      </c>
      <c r="AD5" s="225" t="str">
        <f>+'HULP-velden'!$AP$16</f>
        <v>BPK-Lijn +3</v>
      </c>
    </row>
    <row r="6" spans="2:31" s="2" customFormat="1" ht="27.95" customHeight="1" x14ac:dyDescent="0.25">
      <c r="C6" s="237"/>
      <c r="D6" s="435"/>
      <c r="E6" s="236"/>
      <c r="F6" s="39"/>
      <c r="G6" s="491" t="s">
        <v>145</v>
      </c>
      <c r="H6" s="240"/>
      <c r="I6" s="39"/>
      <c r="J6" s="241"/>
      <c r="K6" s="436"/>
      <c r="L6" s="241"/>
      <c r="P6" s="223" t="s">
        <v>107</v>
      </c>
      <c r="Q6" s="223">
        <v>0</v>
      </c>
      <c r="R6" s="443">
        <f>+Q10</f>
        <v>500</v>
      </c>
      <c r="S6" s="223"/>
      <c r="T6" s="223"/>
      <c r="U6" s="223"/>
      <c r="V6" s="226">
        <f>'HULP-velden'!$AE$22</f>
        <v>500000</v>
      </c>
      <c r="W6" s="223"/>
      <c r="X6" s="331">
        <f>+'HULP-velden'!$AJ$22</f>
        <v>70</v>
      </c>
      <c r="Y6" s="331">
        <f>+'HULP-velden'!$AK$22</f>
        <v>80</v>
      </c>
      <c r="Z6" s="331">
        <f>+'HULP-velden'!$AL$22</f>
        <v>90</v>
      </c>
      <c r="AA6" s="331">
        <f>+'HULP-velden'!$AM$22</f>
        <v>100</v>
      </c>
      <c r="AB6" s="331">
        <f>+'HULP-velden'!$AN$22</f>
        <v>110.00000000000001</v>
      </c>
      <c r="AC6" s="331">
        <f>+'HULP-velden'!$AO$22</f>
        <v>120</v>
      </c>
      <c r="AD6" s="331">
        <f>+'HULP-velden'!$AP$22</f>
        <v>130</v>
      </c>
      <c r="AE6" s="223"/>
    </row>
    <row r="7" spans="2:31" s="2" customFormat="1" ht="27.95" customHeight="1" x14ac:dyDescent="0.3">
      <c r="C7" s="41" t="s">
        <v>18</v>
      </c>
      <c r="D7" s="374" t="s">
        <v>27</v>
      </c>
      <c r="E7" s="36"/>
      <c r="F7" s="401" t="s">
        <v>28</v>
      </c>
      <c r="G7" s="496"/>
      <c r="H7" s="401" t="s">
        <v>171</v>
      </c>
      <c r="I7" s="402" t="s">
        <v>29</v>
      </c>
      <c r="J7" s="412" t="s">
        <v>26</v>
      </c>
      <c r="K7" s="437"/>
      <c r="L7" s="441" t="s">
        <v>357</v>
      </c>
      <c r="P7" s="223" t="s">
        <v>108</v>
      </c>
      <c r="Q7" s="228">
        <f>+Q17</f>
        <v>-100000</v>
      </c>
      <c r="R7" s="226">
        <f>+Q17</f>
        <v>-100000</v>
      </c>
      <c r="S7" s="223"/>
      <c r="T7" s="223"/>
      <c r="U7" s="223"/>
      <c r="V7" s="226">
        <f>'HULP-velden'!$AE$23</f>
        <v>499000</v>
      </c>
      <c r="W7" s="223"/>
      <c r="X7" s="331">
        <f>+'HULP-velden'!$AJ$23</f>
        <v>69.5</v>
      </c>
      <c r="Y7" s="331">
        <f>+'HULP-velden'!$AK$23</f>
        <v>79.5</v>
      </c>
      <c r="Z7" s="331">
        <f>+'HULP-velden'!$AL$23</f>
        <v>89.5</v>
      </c>
      <c r="AA7" s="331">
        <f>+'HULP-velden'!$AM$23</f>
        <v>99.5</v>
      </c>
      <c r="AB7" s="331">
        <f>+'HULP-velden'!$AN$23</f>
        <v>109.5</v>
      </c>
      <c r="AC7" s="331">
        <f>+'HULP-velden'!$AO$23</f>
        <v>119.5</v>
      </c>
      <c r="AD7" s="331">
        <f>+'HULP-velden'!$AP$23</f>
        <v>129.5</v>
      </c>
      <c r="AE7" s="223"/>
    </row>
    <row r="8" spans="2:31" s="2" customFormat="1" ht="27.95" customHeight="1" x14ac:dyDescent="0.25">
      <c r="C8" s="45" t="s">
        <v>30</v>
      </c>
      <c r="D8" s="497"/>
      <c r="E8" s="497"/>
      <c r="F8" s="46"/>
      <c r="G8" s="376"/>
      <c r="H8" s="417" t="str">
        <f t="shared" ref="H8:H19" si="0">S59</f>
        <v/>
      </c>
      <c r="I8" s="417" t="str">
        <f t="shared" ref="I8:I19" si="1">T59</f>
        <v/>
      </c>
      <c r="J8" s="425" t="str">
        <f>IF(I8="","",U59)</f>
        <v/>
      </c>
      <c r="K8" s="438"/>
      <c r="L8" s="502" t="s">
        <v>358</v>
      </c>
      <c r="P8" s="223" t="s">
        <v>326</v>
      </c>
      <c r="Q8" s="223">
        <f>'HULP-velden'!$H$6</f>
        <v>500</v>
      </c>
      <c r="R8" s="229"/>
      <c r="S8" s="223"/>
      <c r="T8" s="223"/>
      <c r="U8" s="223"/>
      <c r="V8" s="226">
        <f>'HULP-velden'!$AE$24</f>
        <v>498000</v>
      </c>
      <c r="W8" s="223"/>
      <c r="X8" s="331">
        <f>+'HULP-velden'!$AJ$24</f>
        <v>69</v>
      </c>
      <c r="Y8" s="331">
        <f>+'HULP-velden'!$AK$24</f>
        <v>79</v>
      </c>
      <c r="Z8" s="331">
        <f>+'HULP-velden'!$AL$24</f>
        <v>89</v>
      </c>
      <c r="AA8" s="331">
        <f>+'HULP-velden'!$AM$24</f>
        <v>99</v>
      </c>
      <c r="AB8" s="331">
        <f>+'HULP-velden'!$AN$24</f>
        <v>109.00000000000001</v>
      </c>
      <c r="AC8" s="331">
        <f>+'HULP-velden'!$AO$24</f>
        <v>119</v>
      </c>
      <c r="AD8" s="331">
        <f>+'HULP-velden'!$AP$24</f>
        <v>129</v>
      </c>
      <c r="AE8" s="225"/>
    </row>
    <row r="9" spans="2:31" s="2" customFormat="1" ht="27.95" customHeight="1" x14ac:dyDescent="0.25">
      <c r="C9" s="45" t="s">
        <v>31</v>
      </c>
      <c r="D9" s="497"/>
      <c r="E9" s="497"/>
      <c r="F9" s="46"/>
      <c r="G9" s="376"/>
      <c r="H9" s="417" t="str">
        <f t="shared" si="0"/>
        <v/>
      </c>
      <c r="I9" s="417" t="str">
        <f t="shared" si="1"/>
        <v/>
      </c>
      <c r="J9" s="425" t="str">
        <f t="shared" ref="J9:J19" si="2">IF(I9="","",U60)</f>
        <v/>
      </c>
      <c r="K9" s="439"/>
      <c r="L9" s="503"/>
      <c r="P9" s="223" t="s">
        <v>194</v>
      </c>
      <c r="Q9" s="230">
        <f>'HULP-velden'!$M$15</f>
        <v>250</v>
      </c>
      <c r="R9" s="225">
        <f>'HULP-velden'!$F$7</f>
        <v>0</v>
      </c>
      <c r="S9" s="223"/>
      <c r="T9" s="223"/>
      <c r="U9" s="223"/>
      <c r="V9" s="226">
        <f>'HULP-velden'!$AE$25</f>
        <v>497000</v>
      </c>
      <c r="W9" s="223"/>
      <c r="X9" s="331">
        <f>+'HULP-velden'!$AJ$25</f>
        <v>68.5</v>
      </c>
      <c r="Y9" s="331">
        <f>+'HULP-velden'!$AK$25</f>
        <v>78.5</v>
      </c>
      <c r="Z9" s="331">
        <f>+'HULP-velden'!$AL$25</f>
        <v>88.5</v>
      </c>
      <c r="AA9" s="331">
        <f>+'HULP-velden'!$AM$25</f>
        <v>98.5</v>
      </c>
      <c r="AB9" s="331">
        <f>+'HULP-velden'!$AN$25</f>
        <v>108.5</v>
      </c>
      <c r="AC9" s="331">
        <f>+'HULP-velden'!$AO$25</f>
        <v>118.5</v>
      </c>
      <c r="AD9" s="331">
        <f>+'HULP-velden'!$AP$25</f>
        <v>128.5</v>
      </c>
      <c r="AE9" s="225" t="str">
        <f>+'HULP-velden'!$AP$16</f>
        <v>BPK-Lijn +3</v>
      </c>
    </row>
    <row r="10" spans="2:31" s="2" customFormat="1" ht="27.95" customHeight="1" x14ac:dyDescent="0.25">
      <c r="C10" s="45" t="s">
        <v>32</v>
      </c>
      <c r="D10" s="497"/>
      <c r="E10" s="497"/>
      <c r="F10" s="46"/>
      <c r="G10" s="376"/>
      <c r="H10" s="417" t="str">
        <f t="shared" si="0"/>
        <v/>
      </c>
      <c r="I10" s="417" t="str">
        <f t="shared" si="1"/>
        <v/>
      </c>
      <c r="J10" s="425" t="str">
        <f t="shared" si="2"/>
        <v/>
      </c>
      <c r="K10" s="439"/>
      <c r="L10" s="503"/>
      <c r="P10" s="223" t="s">
        <v>9</v>
      </c>
      <c r="Q10" s="224">
        <f>'HULP-velden'!$C$6</f>
        <v>500</v>
      </c>
      <c r="R10" s="224"/>
      <c r="S10" s="223"/>
      <c r="T10" s="223"/>
      <c r="U10" s="223"/>
      <c r="V10" s="226">
        <f>'HULP-velden'!$AE$26</f>
        <v>496000</v>
      </c>
      <c r="W10" s="223"/>
      <c r="X10" s="331">
        <f>+'HULP-velden'!$AJ$26</f>
        <v>68</v>
      </c>
      <c r="Y10" s="331">
        <f>+'HULP-velden'!$AK$26</f>
        <v>78</v>
      </c>
      <c r="Z10" s="331">
        <f>+'HULP-velden'!$AL$26</f>
        <v>88</v>
      </c>
      <c r="AA10" s="331">
        <f>+'HULP-velden'!$AM$26</f>
        <v>98</v>
      </c>
      <c r="AB10" s="331">
        <f>+'HULP-velden'!$AN$26</f>
        <v>108</v>
      </c>
      <c r="AC10" s="331">
        <f>+'HULP-velden'!$AO$26</f>
        <v>118</v>
      </c>
      <c r="AD10" s="331">
        <f>+'HULP-velden'!$AP$26</f>
        <v>128</v>
      </c>
      <c r="AE10" s="331">
        <f>+'HULP-velden'!$AP$22</f>
        <v>130</v>
      </c>
    </row>
    <row r="11" spans="2:31" s="2" customFormat="1" ht="27.95" customHeight="1" x14ac:dyDescent="0.25">
      <c r="C11" s="45" t="s">
        <v>33</v>
      </c>
      <c r="D11" s="497"/>
      <c r="E11" s="497"/>
      <c r="F11" s="46"/>
      <c r="G11" s="376"/>
      <c r="H11" s="417" t="str">
        <f t="shared" si="0"/>
        <v/>
      </c>
      <c r="I11" s="417" t="str">
        <f t="shared" si="1"/>
        <v/>
      </c>
      <c r="J11" s="425" t="str">
        <f t="shared" si="2"/>
        <v/>
      </c>
      <c r="K11" s="439"/>
      <c r="L11" s="503"/>
      <c r="P11" s="223" t="s">
        <v>92</v>
      </c>
      <c r="Q11" s="224">
        <f>+'HULP-velden'!$C$7</f>
        <v>25</v>
      </c>
      <c r="R11" s="226"/>
      <c r="S11" s="223"/>
      <c r="T11" s="223"/>
      <c r="U11" s="223"/>
      <c r="V11" s="226">
        <f>'HULP-velden'!$AE$27</f>
        <v>495000</v>
      </c>
      <c r="W11" s="223"/>
      <c r="X11" s="331">
        <f>+'HULP-velden'!$AJ$27</f>
        <v>67.5</v>
      </c>
      <c r="Y11" s="331">
        <f>+'HULP-velden'!$AK$27</f>
        <v>77.5</v>
      </c>
      <c r="Z11" s="331">
        <f>+'HULP-velden'!$AL$27</f>
        <v>87.5</v>
      </c>
      <c r="AA11" s="331">
        <f>+'HULP-velden'!$AM$27</f>
        <v>97.5</v>
      </c>
      <c r="AB11" s="331">
        <f>+'HULP-velden'!$AN$27</f>
        <v>107.5</v>
      </c>
      <c r="AC11" s="331">
        <f>+'HULP-velden'!$AO$27</f>
        <v>117.5</v>
      </c>
      <c r="AD11" s="331">
        <f>+'HULP-velden'!$AP$27</f>
        <v>127.49999999999999</v>
      </c>
      <c r="AE11" s="331">
        <f>+'HULP-velden'!$AP$23</f>
        <v>129.5</v>
      </c>
    </row>
    <row r="12" spans="2:31" s="2" customFormat="1" ht="27.95" customHeight="1" x14ac:dyDescent="0.25">
      <c r="C12" s="45" t="s">
        <v>34</v>
      </c>
      <c r="D12" s="500"/>
      <c r="E12" s="501"/>
      <c r="F12" s="46"/>
      <c r="G12" s="376"/>
      <c r="H12" s="417" t="str">
        <f t="shared" si="0"/>
        <v/>
      </c>
      <c r="I12" s="417" t="str">
        <f t="shared" si="1"/>
        <v/>
      </c>
      <c r="J12" s="425" t="str">
        <f t="shared" si="2"/>
        <v/>
      </c>
      <c r="K12" s="439"/>
      <c r="L12" s="503"/>
      <c r="P12" s="226"/>
      <c r="Q12" s="226"/>
      <c r="R12" s="226"/>
      <c r="S12" s="223"/>
      <c r="T12" s="223"/>
      <c r="U12" s="223"/>
      <c r="V12" s="226">
        <f>'HULP-velden'!$AE$28</f>
        <v>494000</v>
      </c>
      <c r="W12" s="223"/>
      <c r="X12" s="331">
        <f>+'HULP-velden'!$AJ$28</f>
        <v>67</v>
      </c>
      <c r="Y12" s="331">
        <f>+'HULP-velden'!$AK$28</f>
        <v>77</v>
      </c>
      <c r="Z12" s="331">
        <f>+'HULP-velden'!$AL$28</f>
        <v>87</v>
      </c>
      <c r="AA12" s="331">
        <f>+'HULP-velden'!$AM$28</f>
        <v>97</v>
      </c>
      <c r="AB12" s="331">
        <f>+'HULP-velden'!$AN$28</f>
        <v>107</v>
      </c>
      <c r="AC12" s="331">
        <f>+'HULP-velden'!$AO$28</f>
        <v>117</v>
      </c>
      <c r="AD12" s="331">
        <f>+'HULP-velden'!$AP$28</f>
        <v>127</v>
      </c>
      <c r="AE12" s="331">
        <f>+'HULP-velden'!$AP$24</f>
        <v>129</v>
      </c>
    </row>
    <row r="13" spans="2:31" s="2" customFormat="1" ht="27.95" customHeight="1" x14ac:dyDescent="0.25">
      <c r="C13" s="45" t="s">
        <v>35</v>
      </c>
      <c r="D13" s="500"/>
      <c r="E13" s="501"/>
      <c r="F13" s="46"/>
      <c r="G13" s="376"/>
      <c r="H13" s="417" t="str">
        <f t="shared" si="0"/>
        <v/>
      </c>
      <c r="I13" s="417" t="str">
        <f t="shared" si="1"/>
        <v/>
      </c>
      <c r="J13" s="425" t="str">
        <f t="shared" si="2"/>
        <v/>
      </c>
      <c r="K13" s="439"/>
      <c r="L13" s="503"/>
      <c r="P13" s="223" t="s">
        <v>263</v>
      </c>
      <c r="Q13" s="224">
        <f>'HULP-velden'!$F$12</f>
        <v>50</v>
      </c>
      <c r="R13" s="224"/>
      <c r="S13" s="223"/>
      <c r="T13" s="223"/>
      <c r="U13" s="223"/>
      <c r="V13" s="226">
        <f>'HULP-velden'!$AE$29</f>
        <v>493000</v>
      </c>
      <c r="W13" s="223"/>
      <c r="X13" s="331">
        <f>+'HULP-velden'!$AJ$29</f>
        <v>66.5</v>
      </c>
      <c r="Y13" s="331">
        <f>+'HULP-velden'!$AK$29</f>
        <v>76.5</v>
      </c>
      <c r="Z13" s="331">
        <f>+'HULP-velden'!$AL$29</f>
        <v>86.5</v>
      </c>
      <c r="AA13" s="331">
        <f>+'HULP-velden'!$AM$29</f>
        <v>96.5</v>
      </c>
      <c r="AB13" s="331">
        <f>+'HULP-velden'!$AN$29</f>
        <v>106.5</v>
      </c>
      <c r="AC13" s="331">
        <f>+'HULP-velden'!$AO$29</f>
        <v>116.5</v>
      </c>
      <c r="AD13" s="331">
        <f>+'HULP-velden'!$AP$29</f>
        <v>126.49999999999999</v>
      </c>
      <c r="AE13" s="331">
        <f>+'HULP-velden'!$AP$25</f>
        <v>128.5</v>
      </c>
    </row>
    <row r="14" spans="2:31" s="2" customFormat="1" ht="27.95" customHeight="1" x14ac:dyDescent="0.25">
      <c r="C14" s="45" t="s">
        <v>36</v>
      </c>
      <c r="D14" s="500"/>
      <c r="E14" s="501"/>
      <c r="F14" s="46"/>
      <c r="G14" s="376"/>
      <c r="H14" s="417" t="str">
        <f t="shared" si="0"/>
        <v/>
      </c>
      <c r="I14" s="417" t="str">
        <f t="shared" si="1"/>
        <v/>
      </c>
      <c r="J14" s="425" t="str">
        <f t="shared" si="2"/>
        <v/>
      </c>
      <c r="K14" s="439"/>
      <c r="L14" s="503"/>
      <c r="P14" s="223" t="s">
        <v>7</v>
      </c>
      <c r="Q14" s="229">
        <f>+'HULP-velden'!$C$10</f>
        <v>0.5</v>
      </c>
      <c r="R14" s="224">
        <f>+R4</f>
        <v>500</v>
      </c>
      <c r="S14" s="223"/>
      <c r="T14" s="223"/>
      <c r="U14" s="223"/>
      <c r="V14" s="226">
        <f>'HULP-velden'!$AE$30</f>
        <v>492000</v>
      </c>
      <c r="W14" s="223"/>
      <c r="X14" s="331">
        <f>+'HULP-velden'!$AJ$30</f>
        <v>66</v>
      </c>
      <c r="Y14" s="331">
        <f>+'HULP-velden'!$AK$30</f>
        <v>76</v>
      </c>
      <c r="Z14" s="331">
        <f>+'HULP-velden'!$AL$30</f>
        <v>86</v>
      </c>
      <c r="AA14" s="331">
        <f>+'HULP-velden'!$AM$30</f>
        <v>96</v>
      </c>
      <c r="AB14" s="331">
        <f>+'HULP-velden'!$AN$30</f>
        <v>106</v>
      </c>
      <c r="AC14" s="331">
        <f>+'HULP-velden'!$AO$30</f>
        <v>115.99999999999999</v>
      </c>
      <c r="AD14" s="331">
        <f>+'HULP-velden'!$AP$30</f>
        <v>126</v>
      </c>
      <c r="AE14" s="331">
        <f>+'HULP-velden'!$AP$26</f>
        <v>128</v>
      </c>
    </row>
    <row r="15" spans="2:31" s="2" customFormat="1" ht="27.95" customHeight="1" x14ac:dyDescent="0.25">
      <c r="C15" s="45" t="s">
        <v>37</v>
      </c>
      <c r="D15" s="500"/>
      <c r="E15" s="501"/>
      <c r="F15" s="46"/>
      <c r="G15" s="376"/>
      <c r="H15" s="417" t="str">
        <f t="shared" si="0"/>
        <v/>
      </c>
      <c r="I15" s="417" t="str">
        <f t="shared" si="1"/>
        <v/>
      </c>
      <c r="J15" s="425" t="str">
        <f t="shared" si="2"/>
        <v/>
      </c>
      <c r="K15" s="439"/>
      <c r="L15" s="503"/>
      <c r="P15" s="223" t="s">
        <v>8</v>
      </c>
      <c r="Q15" s="229">
        <f>+'HULP-velden'!$C$11</f>
        <v>0.5</v>
      </c>
      <c r="R15" s="224">
        <f>R14/Q14*Q15</f>
        <v>500</v>
      </c>
      <c r="S15" s="223"/>
      <c r="T15" s="223"/>
      <c r="U15" s="223"/>
      <c r="V15" s="226">
        <f>'HULP-velden'!$AE$31</f>
        <v>491000</v>
      </c>
      <c r="W15" s="223"/>
      <c r="X15" s="331">
        <f>+'HULP-velden'!$AJ$31</f>
        <v>65.5</v>
      </c>
      <c r="Y15" s="331">
        <f>+'HULP-velden'!$AK$31</f>
        <v>75.5</v>
      </c>
      <c r="Z15" s="331">
        <f>+'HULP-velden'!$AL$31</f>
        <v>85.5</v>
      </c>
      <c r="AA15" s="331">
        <f>+'HULP-velden'!$AM$31</f>
        <v>95.5</v>
      </c>
      <c r="AB15" s="331">
        <f>+'HULP-velden'!$AN$31</f>
        <v>105.5</v>
      </c>
      <c r="AC15" s="331">
        <f>+'HULP-velden'!$AO$31</f>
        <v>115.5</v>
      </c>
      <c r="AD15" s="331">
        <f>+'HULP-velden'!$AP$31</f>
        <v>125.49999999999999</v>
      </c>
      <c r="AE15" s="331">
        <f>+'HULP-velden'!$AP$27</f>
        <v>127.49999999999999</v>
      </c>
    </row>
    <row r="16" spans="2:31" s="2" customFormat="1" ht="27.95" customHeight="1" x14ac:dyDescent="0.25">
      <c r="C16" s="45" t="s">
        <v>38</v>
      </c>
      <c r="D16" s="500"/>
      <c r="E16" s="501"/>
      <c r="F16" s="46"/>
      <c r="G16" s="376"/>
      <c r="H16" s="417" t="str">
        <f t="shared" si="0"/>
        <v/>
      </c>
      <c r="I16" s="417" t="str">
        <f t="shared" si="1"/>
        <v/>
      </c>
      <c r="J16" s="425" t="str">
        <f t="shared" si="2"/>
        <v/>
      </c>
      <c r="K16" s="439"/>
      <c r="L16" s="503"/>
      <c r="P16" s="226"/>
      <c r="Q16" s="226"/>
      <c r="R16" s="226"/>
      <c r="S16" s="223"/>
      <c r="T16" s="223"/>
      <c r="U16" s="223"/>
      <c r="V16" s="226">
        <f>'HULP-velden'!$AE$32</f>
        <v>490000</v>
      </c>
      <c r="W16" s="223"/>
      <c r="X16" s="331">
        <f>+'HULP-velden'!$AJ$32</f>
        <v>65</v>
      </c>
      <c r="Y16" s="331">
        <f>+'HULP-velden'!$AK$32</f>
        <v>75</v>
      </c>
      <c r="Z16" s="331">
        <f>+'HULP-velden'!$AL$32</f>
        <v>85</v>
      </c>
      <c r="AA16" s="331">
        <f>+'HULP-velden'!$AM$32</f>
        <v>95</v>
      </c>
      <c r="AB16" s="331">
        <f>+'HULP-velden'!$AN$32</f>
        <v>105</v>
      </c>
      <c r="AC16" s="331">
        <f>+'HULP-velden'!$AO$32</f>
        <v>114.99999999999999</v>
      </c>
      <c r="AD16" s="331">
        <f>+'HULP-velden'!$AP$32</f>
        <v>125</v>
      </c>
      <c r="AE16" s="331">
        <f>+'HULP-velden'!$AP$28</f>
        <v>127</v>
      </c>
    </row>
    <row r="17" spans="3:31" s="2" customFormat="1" ht="27.95" customHeight="1" x14ac:dyDescent="0.25">
      <c r="C17" s="45" t="s">
        <v>39</v>
      </c>
      <c r="D17" s="500"/>
      <c r="E17" s="501"/>
      <c r="F17" s="46"/>
      <c r="G17" s="376"/>
      <c r="H17" s="417" t="str">
        <f t="shared" si="0"/>
        <v/>
      </c>
      <c r="I17" s="417" t="str">
        <f t="shared" si="1"/>
        <v/>
      </c>
      <c r="J17" s="425" t="str">
        <f t="shared" si="2"/>
        <v/>
      </c>
      <c r="K17" s="439"/>
      <c r="L17" s="503"/>
      <c r="P17" s="223" t="s">
        <v>72</v>
      </c>
      <c r="Q17" s="226">
        <f>+'HULP-velden'!$C$13</f>
        <v>-100000</v>
      </c>
      <c r="R17" s="224"/>
      <c r="S17" s="223"/>
      <c r="T17" s="223"/>
      <c r="U17" s="223"/>
      <c r="V17" s="226">
        <f>'HULP-velden'!$AE$33</f>
        <v>489000</v>
      </c>
      <c r="W17" s="223"/>
      <c r="X17" s="331">
        <f>+'HULP-velden'!$AJ$33</f>
        <v>64.5</v>
      </c>
      <c r="Y17" s="331">
        <f>+'HULP-velden'!$AK$33</f>
        <v>74.5</v>
      </c>
      <c r="Z17" s="331">
        <f>+'HULP-velden'!$AL$33</f>
        <v>84.5</v>
      </c>
      <c r="AA17" s="331">
        <f>+'HULP-velden'!$AM$33</f>
        <v>94.5</v>
      </c>
      <c r="AB17" s="331">
        <f>+'HULP-velden'!$AN$33</f>
        <v>104.5</v>
      </c>
      <c r="AC17" s="331">
        <f>+'HULP-velden'!$AO$33</f>
        <v>114.5</v>
      </c>
      <c r="AD17" s="331">
        <f>+'HULP-velden'!$AP$33</f>
        <v>124.50000000000001</v>
      </c>
      <c r="AE17" s="331">
        <f>+'HULP-velden'!$AP$29</f>
        <v>126.49999999999999</v>
      </c>
    </row>
    <row r="18" spans="3:31" s="2" customFormat="1" ht="27.95" customHeight="1" x14ac:dyDescent="0.25">
      <c r="C18" s="45" t="s">
        <v>40</v>
      </c>
      <c r="D18" s="500"/>
      <c r="E18" s="501"/>
      <c r="F18" s="46"/>
      <c r="G18" s="376"/>
      <c r="H18" s="417" t="str">
        <f t="shared" si="0"/>
        <v/>
      </c>
      <c r="I18" s="417" t="str">
        <f t="shared" si="1"/>
        <v/>
      </c>
      <c r="J18" s="425" t="str">
        <f t="shared" si="2"/>
        <v/>
      </c>
      <c r="K18" s="439"/>
      <c r="L18" s="503"/>
      <c r="P18" s="223" t="s">
        <v>73</v>
      </c>
      <c r="Q18" s="226">
        <f>+'HULP-velden'!$C$14</f>
        <v>300000</v>
      </c>
      <c r="R18" s="228">
        <f>+Q18</f>
        <v>300000</v>
      </c>
      <c r="S18" s="223"/>
      <c r="T18" s="223"/>
      <c r="U18" s="223"/>
      <c r="V18" s="226">
        <f>'HULP-velden'!$AE$34</f>
        <v>488000</v>
      </c>
      <c r="W18" s="223"/>
      <c r="X18" s="331">
        <f>+'HULP-velden'!$AJ$34</f>
        <v>64</v>
      </c>
      <c r="Y18" s="331">
        <f>+'HULP-velden'!$AK$34</f>
        <v>74</v>
      </c>
      <c r="Z18" s="331">
        <f>+'HULP-velden'!$AL$34</f>
        <v>84</v>
      </c>
      <c r="AA18" s="331">
        <f>+'HULP-velden'!$AM$34</f>
        <v>94</v>
      </c>
      <c r="AB18" s="331">
        <f>+'HULP-velden'!$AN$34</f>
        <v>104</v>
      </c>
      <c r="AC18" s="331">
        <f>+'HULP-velden'!$AO$34</f>
        <v>113.99999999999999</v>
      </c>
      <c r="AD18" s="331">
        <f>+'HULP-velden'!$AP$34</f>
        <v>124</v>
      </c>
      <c r="AE18" s="331">
        <f>+'HULP-velden'!$AP$30</f>
        <v>126</v>
      </c>
    </row>
    <row r="19" spans="3:31" s="2" customFormat="1" ht="27.95" customHeight="1" x14ac:dyDescent="0.25">
      <c r="C19" s="45" t="s">
        <v>41</v>
      </c>
      <c r="D19" s="500"/>
      <c r="E19" s="501"/>
      <c r="F19" s="46"/>
      <c r="G19" s="376"/>
      <c r="H19" s="417" t="str">
        <f t="shared" si="0"/>
        <v/>
      </c>
      <c r="I19" s="417" t="str">
        <f t="shared" si="1"/>
        <v/>
      </c>
      <c r="J19" s="425" t="str">
        <f t="shared" si="2"/>
        <v/>
      </c>
      <c r="K19" s="440"/>
      <c r="L19" s="504"/>
      <c r="P19" s="223" t="s">
        <v>80</v>
      </c>
      <c r="Q19" s="226">
        <f>+'HULP-velden'!$C$17</f>
        <v>500000</v>
      </c>
      <c r="R19" s="228">
        <f>+Q19</f>
        <v>500000</v>
      </c>
      <c r="S19" s="223"/>
      <c r="T19" s="223"/>
      <c r="U19" s="223"/>
      <c r="V19" s="226">
        <f>'HULP-velden'!$AE$35</f>
        <v>487000</v>
      </c>
      <c r="W19" s="223"/>
      <c r="X19" s="331">
        <f>+'HULP-velden'!$AJ$35</f>
        <v>63.5</v>
      </c>
      <c r="Y19" s="331">
        <f>+'HULP-velden'!$AK$35</f>
        <v>73.5</v>
      </c>
      <c r="Z19" s="331">
        <f>+'HULP-velden'!$AL$35</f>
        <v>83.5</v>
      </c>
      <c r="AA19" s="331">
        <f>+'HULP-velden'!$AM$35</f>
        <v>93.5</v>
      </c>
      <c r="AB19" s="331">
        <f>+'HULP-velden'!$AN$35</f>
        <v>103.49999999999999</v>
      </c>
      <c r="AC19" s="331">
        <f>+'HULP-velden'!$AO$35</f>
        <v>113.5</v>
      </c>
      <c r="AD19" s="331">
        <f>+'HULP-velden'!$AP$35</f>
        <v>123.50000000000001</v>
      </c>
      <c r="AE19" s="331">
        <f>+'HULP-velden'!$AP$31</f>
        <v>125.49999999999999</v>
      </c>
    </row>
    <row r="20" spans="3:31" s="2" customFormat="1" ht="27.95" customHeight="1" x14ac:dyDescent="0.25">
      <c r="D20" s="498" t="s">
        <v>344</v>
      </c>
      <c r="E20" s="499"/>
      <c r="F20" s="49">
        <f>Q71</f>
        <v>400000</v>
      </c>
      <c r="G20" s="429">
        <f>Q9</f>
        <v>250</v>
      </c>
      <c r="H20" s="417">
        <f>IF(ISBLANK(G20),"",S71)</f>
        <v>50</v>
      </c>
      <c r="I20" s="418">
        <f>IF(ISBLANK(G20),"",T71)</f>
        <v>500</v>
      </c>
      <c r="J20" s="430"/>
      <c r="K20" s="430"/>
      <c r="L20" s="430"/>
      <c r="P20" s="223" t="s">
        <v>74</v>
      </c>
      <c r="Q20" s="224">
        <f>+'HULP-velden'!$C$15</f>
        <v>-1000</v>
      </c>
      <c r="R20" s="227">
        <f>Dashboard!$H$22</f>
        <v>0</v>
      </c>
      <c r="S20" s="223"/>
      <c r="T20" s="223"/>
      <c r="U20" s="223"/>
      <c r="V20" s="226">
        <f>'HULP-velden'!$AE$36</f>
        <v>486000</v>
      </c>
      <c r="W20" s="223"/>
      <c r="X20" s="331">
        <f>+'HULP-velden'!$AJ$36</f>
        <v>63</v>
      </c>
      <c r="Y20" s="331">
        <f>+'HULP-velden'!$AK$36</f>
        <v>73</v>
      </c>
      <c r="Z20" s="331">
        <f>+'HULP-velden'!$AL$36</f>
        <v>83</v>
      </c>
      <c r="AA20" s="331">
        <f>+'HULP-velden'!$AM$36</f>
        <v>93</v>
      </c>
      <c r="AB20" s="331">
        <f>+'HULP-velden'!$AN$36</f>
        <v>103</v>
      </c>
      <c r="AC20" s="331">
        <f>+'HULP-velden'!$AO$36</f>
        <v>112.99999999999999</v>
      </c>
      <c r="AD20" s="331">
        <f>+'HULP-velden'!$AP$36</f>
        <v>123</v>
      </c>
      <c r="AE20" s="331">
        <f>+'HULP-velden'!$AP$32</f>
        <v>125</v>
      </c>
    </row>
    <row r="21" spans="3:31" s="2" customFormat="1" ht="27.95" customHeight="1" x14ac:dyDescent="0.25">
      <c r="D21" s="51"/>
      <c r="J21" s="52"/>
      <c r="K21" s="52"/>
      <c r="L21" s="52"/>
      <c r="P21" s="223" t="s">
        <v>223</v>
      </c>
      <c r="Q21" s="224">
        <f>Dashboard!$H$16</f>
        <v>1</v>
      </c>
      <c r="R21" s="227"/>
      <c r="S21" s="223"/>
      <c r="T21" s="223"/>
      <c r="U21" s="223"/>
      <c r="V21" s="226">
        <f>'HULP-velden'!$AE$37</f>
        <v>485000</v>
      </c>
      <c r="W21" s="223"/>
      <c r="X21" s="331">
        <f>+'HULP-velden'!$AJ$37</f>
        <v>62.5</v>
      </c>
      <c r="Y21" s="331">
        <f>+'HULP-velden'!$AK$37</f>
        <v>72.5</v>
      </c>
      <c r="Z21" s="331">
        <f>+'HULP-velden'!$AL$37</f>
        <v>82.5</v>
      </c>
      <c r="AA21" s="331">
        <f>+'HULP-velden'!$AM$37</f>
        <v>92.5</v>
      </c>
      <c r="AB21" s="331">
        <f>+'HULP-velden'!$AN$37</f>
        <v>102.49999999999999</v>
      </c>
      <c r="AC21" s="331">
        <f>+'HULP-velden'!$AO$37</f>
        <v>112.5</v>
      </c>
      <c r="AD21" s="331">
        <f>+'HULP-velden'!$AP$37</f>
        <v>122.50000000000001</v>
      </c>
      <c r="AE21" s="331">
        <f>+'HULP-velden'!$AP$33</f>
        <v>124.50000000000001</v>
      </c>
    </row>
    <row r="22" spans="3:31" s="2" customFormat="1" ht="27.95" customHeight="1" x14ac:dyDescent="0.25">
      <c r="D22" s="51"/>
      <c r="P22" s="223"/>
      <c r="Q22" s="223"/>
      <c r="R22" s="223"/>
      <c r="S22" s="223"/>
      <c r="T22" s="223"/>
      <c r="U22" s="223"/>
      <c r="V22" s="226">
        <f>'HULP-velden'!$AE$38</f>
        <v>484000</v>
      </c>
      <c r="W22" s="223"/>
      <c r="X22" s="331">
        <f>+'HULP-velden'!$AJ$38</f>
        <v>62</v>
      </c>
      <c r="Y22" s="331">
        <f>+'HULP-velden'!$AK$38</f>
        <v>72</v>
      </c>
      <c r="Z22" s="331">
        <f>+'HULP-velden'!$AL$38</f>
        <v>82</v>
      </c>
      <c r="AA22" s="331">
        <f>+'HULP-velden'!$AM$38</f>
        <v>92</v>
      </c>
      <c r="AB22" s="331">
        <f>+'HULP-velden'!$AN$38</f>
        <v>102</v>
      </c>
      <c r="AC22" s="331">
        <f>+'HULP-velden'!$AO$38</f>
        <v>112.00000000000001</v>
      </c>
      <c r="AD22" s="331">
        <f>+'HULP-velden'!$AP$38</f>
        <v>122</v>
      </c>
      <c r="AE22" s="331">
        <f>+'HULP-velden'!$AP$34</f>
        <v>124</v>
      </c>
    </row>
    <row r="23" spans="3:31" s="2" customFormat="1" ht="27.95" customHeight="1" x14ac:dyDescent="0.25">
      <c r="E23" s="163"/>
      <c r="P23" s="223" t="s">
        <v>254</v>
      </c>
      <c r="Q23" s="226">
        <f>+'HULP-velden'!$C$8</f>
        <v>400000</v>
      </c>
      <c r="R23" s="223"/>
      <c r="S23" s="223"/>
      <c r="T23" s="223"/>
      <c r="U23" s="223"/>
      <c r="V23" s="226">
        <f>'HULP-velden'!$AE$39</f>
        <v>483000</v>
      </c>
      <c r="W23" s="223"/>
      <c r="X23" s="331">
        <f>+'HULP-velden'!$AJ$39</f>
        <v>61.5</v>
      </c>
      <c r="Y23" s="331">
        <f>+'HULP-velden'!$AK$39</f>
        <v>71.5</v>
      </c>
      <c r="Z23" s="331">
        <f>+'HULP-velden'!$AL$39</f>
        <v>81.5</v>
      </c>
      <c r="AA23" s="331">
        <f>+'HULP-velden'!$AM$39</f>
        <v>91.5</v>
      </c>
      <c r="AB23" s="331">
        <f>+'HULP-velden'!$AN$39</f>
        <v>101.49999999999999</v>
      </c>
      <c r="AC23" s="331">
        <f>+'HULP-velden'!$AO$39</f>
        <v>111.5</v>
      </c>
      <c r="AD23" s="331">
        <f>+'HULP-velden'!$AP$39</f>
        <v>121.50000000000001</v>
      </c>
      <c r="AE23" s="331">
        <f>+'HULP-velden'!$AP$35</f>
        <v>123.50000000000001</v>
      </c>
    </row>
    <row r="24" spans="3:31" s="2" customFormat="1" ht="30.75" customHeight="1" x14ac:dyDescent="0.25">
      <c r="E24" s="53"/>
      <c r="P24" s="223" t="s">
        <v>265</v>
      </c>
      <c r="Q24" s="381">
        <f>'HULP-velden'!$C$165</f>
        <v>250</v>
      </c>
      <c r="R24" s="231"/>
      <c r="S24" s="223"/>
      <c r="T24" s="223"/>
      <c r="U24" s="223"/>
      <c r="V24" s="226">
        <f>'HULP-velden'!$AE$40</f>
        <v>482000</v>
      </c>
      <c r="W24" s="223"/>
      <c r="X24" s="331">
        <f>+'HULP-velden'!$AJ$40</f>
        <v>61</v>
      </c>
      <c r="Y24" s="331">
        <f>+'HULP-velden'!$AK$40</f>
        <v>71</v>
      </c>
      <c r="Z24" s="331">
        <f>+'HULP-velden'!$AL$40</f>
        <v>81</v>
      </c>
      <c r="AA24" s="331">
        <f>+'HULP-velden'!$AM$40</f>
        <v>91</v>
      </c>
      <c r="AB24" s="331">
        <f>+'HULP-velden'!$AN$40</f>
        <v>101</v>
      </c>
      <c r="AC24" s="331">
        <f>+'HULP-velden'!$AO$40</f>
        <v>111.00000000000001</v>
      </c>
      <c r="AD24" s="331">
        <f>+'HULP-velden'!$AP$40</f>
        <v>121</v>
      </c>
      <c r="AE24" s="331">
        <f>+'HULP-velden'!$AP$36</f>
        <v>123</v>
      </c>
    </row>
    <row r="25" spans="3:31" s="2" customFormat="1" ht="27.75" customHeight="1" x14ac:dyDescent="0.25">
      <c r="P25" s="223" t="s">
        <v>264</v>
      </c>
      <c r="Q25" s="381">
        <f>'HULP-velden'!$C$164</f>
        <v>250</v>
      </c>
      <c r="R25" s="232"/>
      <c r="S25" s="223"/>
      <c r="T25" s="223"/>
      <c r="U25" s="223"/>
      <c r="V25" s="226">
        <f>'HULP-velden'!$AE$41</f>
        <v>481000</v>
      </c>
      <c r="W25" s="223"/>
      <c r="X25" s="331">
        <f>+'HULP-velden'!$AJ$41</f>
        <v>60.5</v>
      </c>
      <c r="Y25" s="331">
        <f>+'HULP-velden'!$AK$41</f>
        <v>70.5</v>
      </c>
      <c r="Z25" s="331">
        <f>+'HULP-velden'!$AL$41</f>
        <v>80.5</v>
      </c>
      <c r="AA25" s="331">
        <f>+'HULP-velden'!$AM$41</f>
        <v>90.5</v>
      </c>
      <c r="AB25" s="331">
        <f>+'HULP-velden'!$AN$41</f>
        <v>100.49999999999999</v>
      </c>
      <c r="AC25" s="331">
        <f>+'HULP-velden'!$AO$41</f>
        <v>110.5</v>
      </c>
      <c r="AD25" s="331">
        <f>+'HULP-velden'!$AP$41</f>
        <v>120.5</v>
      </c>
      <c r="AE25" s="331">
        <f>+'HULP-velden'!$AP$37</f>
        <v>122.50000000000001</v>
      </c>
    </row>
    <row r="26" spans="3:31" s="2" customFormat="1" ht="27.95" customHeight="1" x14ac:dyDescent="0.25">
      <c r="P26" s="223" t="s">
        <v>259</v>
      </c>
      <c r="Q26" s="382">
        <f>'HULP-velden'!$C$163</f>
        <v>500</v>
      </c>
      <c r="R26" s="223"/>
      <c r="S26" s="223"/>
      <c r="T26" s="223"/>
      <c r="U26" s="223"/>
      <c r="V26" s="226">
        <f>'HULP-velden'!$AE$42</f>
        <v>480000</v>
      </c>
      <c r="W26" s="223"/>
      <c r="X26" s="331">
        <f>+'HULP-velden'!$AJ$42</f>
        <v>60</v>
      </c>
      <c r="Y26" s="331">
        <f>+'HULP-velden'!$AK$42</f>
        <v>70</v>
      </c>
      <c r="Z26" s="331">
        <f>+'HULP-velden'!$AL$42</f>
        <v>80</v>
      </c>
      <c r="AA26" s="331">
        <f>+'HULP-velden'!$AM$42</f>
        <v>90</v>
      </c>
      <c r="AB26" s="331">
        <f>+'HULP-velden'!$AN$42</f>
        <v>100</v>
      </c>
      <c r="AC26" s="331">
        <f>+'HULP-velden'!$AO$42</f>
        <v>110.00000000000001</v>
      </c>
      <c r="AD26" s="331">
        <f>+'HULP-velden'!$AP$42</f>
        <v>120</v>
      </c>
      <c r="AE26" s="331">
        <f>+'HULP-velden'!$AP$38</f>
        <v>122</v>
      </c>
    </row>
    <row r="27" spans="3:31" s="2" customFormat="1" ht="27.95" customHeight="1" x14ac:dyDescent="0.25">
      <c r="P27" s="223"/>
      <c r="Q27" s="295"/>
      <c r="R27" s="223"/>
      <c r="S27" s="223"/>
      <c r="T27" s="223"/>
      <c r="U27" s="223"/>
      <c r="V27" s="226">
        <f>'HULP-velden'!$AE$43</f>
        <v>479000</v>
      </c>
      <c r="W27" s="223"/>
      <c r="X27" s="331">
        <f>+'HULP-velden'!$AJ$43</f>
        <v>59.5</v>
      </c>
      <c r="Y27" s="331">
        <f>+'HULP-velden'!$AK$43</f>
        <v>69.5</v>
      </c>
      <c r="Z27" s="331">
        <f>+'HULP-velden'!$AL$43</f>
        <v>79.5</v>
      </c>
      <c r="AA27" s="331">
        <f>+'HULP-velden'!$AM$43</f>
        <v>89.5</v>
      </c>
      <c r="AB27" s="331">
        <f>+'HULP-velden'!$AN$43</f>
        <v>99.5</v>
      </c>
      <c r="AC27" s="331">
        <f>+'HULP-velden'!$AO$43</f>
        <v>109.5</v>
      </c>
      <c r="AD27" s="331">
        <f>+'HULP-velden'!$AP$43</f>
        <v>119.5</v>
      </c>
      <c r="AE27" s="331">
        <f>+'HULP-velden'!$AP$39</f>
        <v>121.50000000000001</v>
      </c>
    </row>
    <row r="28" spans="3:31" s="2" customFormat="1" ht="27.95" customHeight="1" x14ac:dyDescent="0.25">
      <c r="P28" s="223"/>
      <c r="Q28" s="295"/>
      <c r="R28" s="223"/>
      <c r="S28" s="223"/>
      <c r="T28" s="223"/>
      <c r="U28" s="223"/>
      <c r="V28" s="226">
        <f>'HULP-velden'!$AE$44</f>
        <v>478000</v>
      </c>
      <c r="W28" s="223"/>
      <c r="X28" s="331">
        <f>+'HULP-velden'!$AJ$44</f>
        <v>59</v>
      </c>
      <c r="Y28" s="331">
        <f>+'HULP-velden'!$AK$44</f>
        <v>69</v>
      </c>
      <c r="Z28" s="331">
        <f>+'HULP-velden'!$AL$44</f>
        <v>79</v>
      </c>
      <c r="AA28" s="331">
        <f>+'HULP-velden'!$AM$44</f>
        <v>89</v>
      </c>
      <c r="AB28" s="331">
        <f>+'HULP-velden'!$AN$44</f>
        <v>99</v>
      </c>
      <c r="AC28" s="331">
        <f>+'HULP-velden'!$AO$44</f>
        <v>109.00000000000001</v>
      </c>
      <c r="AD28" s="331">
        <f>+'HULP-velden'!$AP$44</f>
        <v>119</v>
      </c>
      <c r="AE28" s="331">
        <f>+'HULP-velden'!$AP$40</f>
        <v>121</v>
      </c>
    </row>
    <row r="29" spans="3:31" s="2" customFormat="1" ht="27.95" customHeight="1" x14ac:dyDescent="0.25">
      <c r="P29" s="223"/>
      <c r="Q29" s="295"/>
      <c r="R29" s="223"/>
      <c r="S29" s="223"/>
      <c r="T29" s="223"/>
      <c r="U29" s="223"/>
      <c r="V29" s="226">
        <f>'HULP-velden'!$AE$45</f>
        <v>477000</v>
      </c>
      <c r="W29" s="223"/>
      <c r="X29" s="331">
        <f>+'HULP-velden'!$AJ$45</f>
        <v>58.5</v>
      </c>
      <c r="Y29" s="331">
        <f>+'HULP-velden'!$AK$45</f>
        <v>68.5</v>
      </c>
      <c r="Z29" s="331">
        <f>+'HULP-velden'!$AL$45</f>
        <v>78.5</v>
      </c>
      <c r="AA29" s="331">
        <f>+'HULP-velden'!$AM$45</f>
        <v>88.5</v>
      </c>
      <c r="AB29" s="331">
        <f>+'HULP-velden'!$AN$45</f>
        <v>98.5</v>
      </c>
      <c r="AC29" s="331">
        <f>+'HULP-velden'!$AO$45</f>
        <v>108.5</v>
      </c>
      <c r="AD29" s="331">
        <f>+'HULP-velden'!$AP$45</f>
        <v>118.5</v>
      </c>
      <c r="AE29" s="331">
        <f>+'HULP-velden'!$AP$41</f>
        <v>120.5</v>
      </c>
    </row>
    <row r="30" spans="3:31" s="2" customFormat="1" ht="27.95" customHeight="1" x14ac:dyDescent="0.25">
      <c r="P30" s="223"/>
      <c r="Q30" s="223"/>
      <c r="R30" s="223"/>
      <c r="S30" s="223"/>
      <c r="T30" s="223"/>
      <c r="U30" s="223"/>
      <c r="V30" s="226">
        <f>'HULP-velden'!$AE$46</f>
        <v>476000</v>
      </c>
      <c r="W30" s="223"/>
      <c r="X30" s="331">
        <f>+'HULP-velden'!$AJ$46</f>
        <v>57.999999999999993</v>
      </c>
      <c r="Y30" s="331">
        <f>+'HULP-velden'!$AK$46</f>
        <v>68</v>
      </c>
      <c r="Z30" s="331">
        <f>+'HULP-velden'!$AL$46</f>
        <v>78</v>
      </c>
      <c r="AA30" s="331">
        <f>+'HULP-velden'!$AM$46</f>
        <v>88</v>
      </c>
      <c r="AB30" s="331">
        <f>+'HULP-velden'!$AN$46</f>
        <v>98</v>
      </c>
      <c r="AC30" s="331">
        <f>+'HULP-velden'!$AO$46</f>
        <v>108</v>
      </c>
      <c r="AD30" s="331">
        <f>+'HULP-velden'!$AP$46</f>
        <v>118</v>
      </c>
      <c r="AE30" s="331">
        <f>+'HULP-velden'!$AP$42</f>
        <v>120</v>
      </c>
    </row>
    <row r="31" spans="3:31" s="2" customFormat="1" ht="27.95" customHeight="1" x14ac:dyDescent="0.25">
      <c r="P31" s="223"/>
      <c r="Q31" s="223"/>
      <c r="R31" s="223"/>
      <c r="S31" s="223"/>
      <c r="T31" s="223"/>
      <c r="U31" s="223"/>
      <c r="V31" s="226">
        <f>'HULP-velden'!$AE$47</f>
        <v>475000</v>
      </c>
      <c r="W31" s="223"/>
      <c r="X31" s="331">
        <f>+'HULP-velden'!$AJ$47</f>
        <v>57.499999999999993</v>
      </c>
      <c r="Y31" s="331">
        <f>+'HULP-velden'!$AK$47</f>
        <v>67.5</v>
      </c>
      <c r="Z31" s="331">
        <f>+'HULP-velden'!$AL$47</f>
        <v>77.5</v>
      </c>
      <c r="AA31" s="331">
        <f>+'HULP-velden'!$AM$47</f>
        <v>87.5</v>
      </c>
      <c r="AB31" s="331">
        <f>+'HULP-velden'!$AN$47</f>
        <v>97.5</v>
      </c>
      <c r="AC31" s="331">
        <f>+'HULP-velden'!$AO$47</f>
        <v>107.5</v>
      </c>
      <c r="AD31" s="331">
        <f>+'HULP-velden'!$AP$47</f>
        <v>117.5</v>
      </c>
      <c r="AE31" s="331">
        <f>+'HULP-velden'!$AP$43</f>
        <v>119.5</v>
      </c>
    </row>
    <row r="32" spans="3:31" s="2" customFormat="1" ht="27.95" customHeight="1" x14ac:dyDescent="0.25">
      <c r="P32" s="223" t="s">
        <v>109</v>
      </c>
      <c r="Q32" s="444" t="str">
        <f>Dashboard!$E$6</f>
        <v>Test</v>
      </c>
      <c r="R32" s="223"/>
      <c r="S32" s="223"/>
      <c r="T32" s="223"/>
      <c r="U32" s="223"/>
      <c r="V32" s="226">
        <f>'HULP-velden'!$AE$48</f>
        <v>474000</v>
      </c>
      <c r="W32" s="223"/>
      <c r="X32" s="331">
        <f>+'HULP-velden'!$AJ$48</f>
        <v>56.999999999999993</v>
      </c>
      <c r="Y32" s="331">
        <f>+'HULP-velden'!$AK$48</f>
        <v>67</v>
      </c>
      <c r="Z32" s="331">
        <f>+'HULP-velden'!$AL$48</f>
        <v>77</v>
      </c>
      <c r="AA32" s="331">
        <f>+'HULP-velden'!$AM$48</f>
        <v>87</v>
      </c>
      <c r="AB32" s="331">
        <f>+'HULP-velden'!$AN$48</f>
        <v>97</v>
      </c>
      <c r="AC32" s="331">
        <f>+'HULP-velden'!$AO$48</f>
        <v>107</v>
      </c>
      <c r="AD32" s="331">
        <f>+'HULP-velden'!$AP$48</f>
        <v>117</v>
      </c>
      <c r="AE32" s="331">
        <f>+'HULP-velden'!$AP$44</f>
        <v>119</v>
      </c>
    </row>
    <row r="33" spans="16:31" s="2" customFormat="1" ht="27.95" customHeight="1" x14ac:dyDescent="0.25">
      <c r="P33" s="223" t="s">
        <v>12</v>
      </c>
      <c r="Q33" s="444" t="str">
        <f>Dashboard!$E$7</f>
        <v>IUC26-001</v>
      </c>
      <c r="R33" s="223"/>
      <c r="S33" s="223"/>
      <c r="T33" s="223"/>
      <c r="U33" s="223"/>
      <c r="V33" s="226">
        <f>'HULP-velden'!$AE$49</f>
        <v>473000</v>
      </c>
      <c r="W33" s="223"/>
      <c r="X33" s="331">
        <f>+'HULP-velden'!$AJ$49</f>
        <v>56.499999999999993</v>
      </c>
      <c r="Y33" s="331">
        <f>+'HULP-velden'!$AK$49</f>
        <v>66.5</v>
      </c>
      <c r="Z33" s="331">
        <f>+'HULP-velden'!$AL$49</f>
        <v>76.5</v>
      </c>
      <c r="AA33" s="331">
        <f>+'HULP-velden'!$AM$49</f>
        <v>86.5</v>
      </c>
      <c r="AB33" s="331">
        <f>+'HULP-velden'!$AN$49</f>
        <v>96.5</v>
      </c>
      <c r="AC33" s="331">
        <f>+'HULP-velden'!$AO$49</f>
        <v>106.5</v>
      </c>
      <c r="AD33" s="331">
        <f>+'HULP-velden'!$AP$49</f>
        <v>116.5</v>
      </c>
      <c r="AE33" s="331">
        <f>+'HULP-velden'!$AP$45</f>
        <v>118.5</v>
      </c>
    </row>
    <row r="34" spans="16:31" s="2" customFormat="1" ht="27.95" customHeight="1" x14ac:dyDescent="0.25">
      <c r="P34" s="223"/>
      <c r="Q34" s="223"/>
      <c r="R34" s="223"/>
      <c r="S34" s="223"/>
      <c r="T34" s="223"/>
      <c r="U34" s="223"/>
      <c r="V34" s="226">
        <f>'HULP-velden'!$AE$50</f>
        <v>472000</v>
      </c>
      <c r="W34" s="223"/>
      <c r="X34" s="331">
        <f>+'HULP-velden'!$AJ$50</f>
        <v>56.000000000000007</v>
      </c>
      <c r="Y34" s="331">
        <f>+'HULP-velden'!$AK$50</f>
        <v>66</v>
      </c>
      <c r="Z34" s="331">
        <f>+'HULP-velden'!$AL$50</f>
        <v>76</v>
      </c>
      <c r="AA34" s="331">
        <f>+'HULP-velden'!$AM$50</f>
        <v>86</v>
      </c>
      <c r="AB34" s="331">
        <f>+'HULP-velden'!$AN$50</f>
        <v>96</v>
      </c>
      <c r="AC34" s="331">
        <f>+'HULP-velden'!$AO$50</f>
        <v>106</v>
      </c>
      <c r="AD34" s="331">
        <f>+'HULP-velden'!$AP$50</f>
        <v>115.99999999999999</v>
      </c>
      <c r="AE34" s="331">
        <f>+'HULP-velden'!$AP$46</f>
        <v>118</v>
      </c>
    </row>
    <row r="35" spans="16:31" s="2" customFormat="1" ht="27.95" customHeight="1" x14ac:dyDescent="0.25">
      <c r="P35" s="223"/>
      <c r="Q35" s="223"/>
      <c r="R35" s="223"/>
      <c r="S35" s="223"/>
      <c r="T35" s="223"/>
      <c r="U35" s="223"/>
      <c r="V35" s="226">
        <f>'HULP-velden'!$AE$51</f>
        <v>471000</v>
      </c>
      <c r="W35" s="223"/>
      <c r="X35" s="331">
        <f>+'HULP-velden'!$AJ$51</f>
        <v>55.500000000000007</v>
      </c>
      <c r="Y35" s="331">
        <f>+'HULP-velden'!$AK$51</f>
        <v>65.5</v>
      </c>
      <c r="Z35" s="331">
        <f>+'HULP-velden'!$AL$51</f>
        <v>75.5</v>
      </c>
      <c r="AA35" s="331">
        <f>+'HULP-velden'!$AM$51</f>
        <v>85.5</v>
      </c>
      <c r="AB35" s="331">
        <f>+'HULP-velden'!$AN$51</f>
        <v>95.5</v>
      </c>
      <c r="AC35" s="331">
        <f>+'HULP-velden'!$AO$51</f>
        <v>105.5</v>
      </c>
      <c r="AD35" s="331">
        <f>+'HULP-velden'!$AP$51</f>
        <v>115.5</v>
      </c>
      <c r="AE35" s="331">
        <f>+'HULP-velden'!$AP$47</f>
        <v>117.5</v>
      </c>
    </row>
    <row r="36" spans="16:31" s="2" customFormat="1" ht="27.95" customHeight="1" x14ac:dyDescent="0.25">
      <c r="P36" s="223" t="s">
        <v>184</v>
      </c>
      <c r="Q36" s="223"/>
      <c r="R36" s="223"/>
      <c r="S36" s="223"/>
      <c r="T36" s="223"/>
      <c r="U36" s="223"/>
      <c r="V36" s="226">
        <f>'HULP-velden'!$AE$52</f>
        <v>470000</v>
      </c>
      <c r="W36" s="223"/>
      <c r="X36" s="331">
        <f>+'HULP-velden'!$AJ$52</f>
        <v>55.000000000000007</v>
      </c>
      <c r="Y36" s="331">
        <f>+'HULP-velden'!$AK$52</f>
        <v>65</v>
      </c>
      <c r="Z36" s="331">
        <f>+'HULP-velden'!$AL$52</f>
        <v>75</v>
      </c>
      <c r="AA36" s="331">
        <f>+'HULP-velden'!$AM$52</f>
        <v>85</v>
      </c>
      <c r="AB36" s="331">
        <f>+'HULP-velden'!$AN$52</f>
        <v>95</v>
      </c>
      <c r="AC36" s="331">
        <f>+'HULP-velden'!$AO$52</f>
        <v>105</v>
      </c>
      <c r="AD36" s="331">
        <f>+'HULP-velden'!$AP$52</f>
        <v>114.99999999999999</v>
      </c>
      <c r="AE36" s="331">
        <f>+'HULP-velden'!$AP$48</f>
        <v>117</v>
      </c>
    </row>
    <row r="37" spans="16:31" s="2" customFormat="1" ht="27.95" customHeight="1" x14ac:dyDescent="0.25">
      <c r="P37" s="223" t="s">
        <v>222</v>
      </c>
      <c r="Q37" s="223"/>
      <c r="R37" s="226">
        <f>'HULP-velden'!$D$104</f>
        <v>280000</v>
      </c>
      <c r="S37" s="223"/>
      <c r="T37" s="223"/>
      <c r="U37" s="223"/>
      <c r="V37" s="226">
        <f>'HULP-velden'!$AE$53</f>
        <v>469000</v>
      </c>
      <c r="W37" s="223"/>
      <c r="X37" s="331">
        <f>+'HULP-velden'!$AJ$53</f>
        <v>54.500000000000007</v>
      </c>
      <c r="Y37" s="331">
        <f>+'HULP-velden'!$AK$53</f>
        <v>64.5</v>
      </c>
      <c r="Z37" s="331">
        <f>+'HULP-velden'!$AL$53</f>
        <v>74.5</v>
      </c>
      <c r="AA37" s="331">
        <f>+'HULP-velden'!$AM$53</f>
        <v>84.5</v>
      </c>
      <c r="AB37" s="331">
        <f>+'HULP-velden'!$AN$53</f>
        <v>94.5</v>
      </c>
      <c r="AC37" s="331">
        <f>+'HULP-velden'!$AO$53</f>
        <v>104.5</v>
      </c>
      <c r="AD37" s="331">
        <f>+'HULP-velden'!$AP$53</f>
        <v>114.5</v>
      </c>
      <c r="AE37" s="331">
        <f>+'HULP-velden'!$AP$49</f>
        <v>116.5</v>
      </c>
    </row>
    <row r="38" spans="16:31" s="2" customFormat="1" ht="27.95" customHeight="1" x14ac:dyDescent="0.25">
      <c r="P38" s="223" t="s">
        <v>21</v>
      </c>
      <c r="Q38" s="224">
        <f>+'HULP-velden'!$C$20</f>
        <v>100</v>
      </c>
      <c r="R38" s="224">
        <f>+'HULP-velden'!$D$20</f>
        <v>100</v>
      </c>
      <c r="S38" s="223"/>
      <c r="T38" s="223"/>
      <c r="U38" s="223"/>
      <c r="V38" s="226">
        <f>'HULP-velden'!$AE$54</f>
        <v>468000</v>
      </c>
      <c r="W38" s="223"/>
      <c r="X38" s="331">
        <f>+'HULP-velden'!$AJ$54</f>
        <v>54</v>
      </c>
      <c r="Y38" s="331">
        <f>+'HULP-velden'!$AK$54</f>
        <v>64</v>
      </c>
      <c r="Z38" s="331">
        <f>+'HULP-velden'!$AL$54</f>
        <v>74</v>
      </c>
      <c r="AA38" s="331">
        <f>+'HULP-velden'!$AM$54</f>
        <v>84</v>
      </c>
      <c r="AB38" s="331">
        <f>+'HULP-velden'!$AN$54</f>
        <v>94</v>
      </c>
      <c r="AC38" s="331">
        <f>+'HULP-velden'!$AO$54</f>
        <v>104</v>
      </c>
      <c r="AD38" s="331">
        <f>+'HULP-velden'!$AP$54</f>
        <v>113.99999999999999</v>
      </c>
      <c r="AE38" s="331">
        <f>+'HULP-velden'!$AP$50</f>
        <v>115.99999999999999</v>
      </c>
    </row>
    <row r="39" spans="16:31" s="2" customFormat="1" ht="27.95" customHeight="1" x14ac:dyDescent="0.25">
      <c r="P39" s="223" t="s">
        <v>246</v>
      </c>
      <c r="Q39" s="445">
        <f>+'HULP-velden'!$C$21</f>
        <v>0</v>
      </c>
      <c r="R39" s="226">
        <f>+'HULP-velden'!$D$21</f>
        <v>520000</v>
      </c>
      <c r="S39" s="223"/>
      <c r="T39" s="223"/>
      <c r="U39" s="223"/>
      <c r="V39" s="226">
        <f>'HULP-velden'!$AE$55</f>
        <v>467000</v>
      </c>
      <c r="W39" s="223"/>
      <c r="X39" s="331">
        <f>+'HULP-velden'!$AJ$55</f>
        <v>53.5</v>
      </c>
      <c r="Y39" s="331">
        <f>+'HULP-velden'!$AK$55</f>
        <v>63.5</v>
      </c>
      <c r="Z39" s="331">
        <f>+'HULP-velden'!$AL$55</f>
        <v>73.5</v>
      </c>
      <c r="AA39" s="331">
        <f>+'HULP-velden'!$AM$55</f>
        <v>83.5</v>
      </c>
      <c r="AB39" s="331">
        <f>+'HULP-velden'!$AN$55</f>
        <v>93.5</v>
      </c>
      <c r="AC39" s="331">
        <f>+'HULP-velden'!$AO$55</f>
        <v>103.49999999999999</v>
      </c>
      <c r="AD39" s="331">
        <f>+'HULP-velden'!$AP$55</f>
        <v>113.5</v>
      </c>
      <c r="AE39" s="331">
        <f>+'HULP-velden'!$AP$51</f>
        <v>115.5</v>
      </c>
    </row>
    <row r="40" spans="16:31" s="2" customFormat="1" ht="27.95" customHeight="1" x14ac:dyDescent="0.25">
      <c r="P40" s="223" t="s">
        <v>10</v>
      </c>
      <c r="Q40" s="230">
        <f>'HULP-velden'!$M$15</f>
        <v>250</v>
      </c>
      <c r="R40" s="226">
        <f>+'HULP-velden'!$M$14</f>
        <v>400000</v>
      </c>
      <c r="S40" s="223"/>
      <c r="T40" s="223"/>
      <c r="U40" s="223"/>
      <c r="V40" s="226">
        <f>'HULP-velden'!$AE$56</f>
        <v>466000</v>
      </c>
      <c r="W40" s="223"/>
      <c r="X40" s="331">
        <f>+'HULP-velden'!$AJ$56</f>
        <v>53</v>
      </c>
      <c r="Y40" s="331">
        <f>+'HULP-velden'!$AK$56</f>
        <v>63</v>
      </c>
      <c r="Z40" s="331">
        <f>+'HULP-velden'!$AL$56</f>
        <v>73</v>
      </c>
      <c r="AA40" s="331">
        <f>+'HULP-velden'!$AM$56</f>
        <v>83</v>
      </c>
      <c r="AB40" s="331">
        <f>+'HULP-velden'!$AN$56</f>
        <v>93</v>
      </c>
      <c r="AC40" s="331">
        <f>+'HULP-velden'!$AO$56</f>
        <v>103</v>
      </c>
      <c r="AD40" s="331">
        <f>+'HULP-velden'!$AP$56</f>
        <v>112.99999999999999</v>
      </c>
      <c r="AE40" s="331">
        <f>+'HULP-velden'!$AP$52</f>
        <v>114.99999999999999</v>
      </c>
    </row>
    <row r="41" spans="16:31" s="2" customFormat="1" ht="27.95" customHeight="1" x14ac:dyDescent="0.25">
      <c r="P41" s="223" t="s">
        <v>185</v>
      </c>
      <c r="Q41" s="223">
        <f>'HULP-velden'!$C$23</f>
        <v>0</v>
      </c>
      <c r="R41" s="224">
        <f>'HULP-velden'!$D$23</f>
        <v>100</v>
      </c>
      <c r="S41" s="223"/>
      <c r="T41" s="223"/>
      <c r="U41" s="223"/>
      <c r="V41" s="226">
        <f>'HULP-velden'!$AE$57</f>
        <v>465000</v>
      </c>
      <c r="W41" s="223"/>
      <c r="X41" s="331">
        <f>+'HULP-velden'!$AJ$57</f>
        <v>52.5</v>
      </c>
      <c r="Y41" s="331">
        <f>+'HULP-velden'!$AK$57</f>
        <v>62.5</v>
      </c>
      <c r="Z41" s="331">
        <f>+'HULP-velden'!$AL$57</f>
        <v>72.5</v>
      </c>
      <c r="AA41" s="331">
        <f>+'HULP-velden'!$AM$57</f>
        <v>82.5</v>
      </c>
      <c r="AB41" s="331">
        <f>+'HULP-velden'!$AN$57</f>
        <v>92.5</v>
      </c>
      <c r="AC41" s="331">
        <f>+'HULP-velden'!$AO$57</f>
        <v>102.49999999999999</v>
      </c>
      <c r="AD41" s="331">
        <f>+'HULP-velden'!$AP$57</f>
        <v>112.5</v>
      </c>
      <c r="AE41" s="331">
        <f>+'HULP-velden'!$AP$53</f>
        <v>114.5</v>
      </c>
    </row>
    <row r="42" spans="16:31" s="2" customFormat="1" ht="27.95" customHeight="1" x14ac:dyDescent="0.25">
      <c r="P42" s="223"/>
      <c r="Q42" s="226">
        <f>+'HULP-velden'!$C$13</f>
        <v>-100000</v>
      </c>
      <c r="R42" s="228">
        <f>+Q42</f>
        <v>-100000</v>
      </c>
      <c r="S42" s="223"/>
      <c r="T42" s="223"/>
      <c r="U42" s="223"/>
      <c r="V42" s="226">
        <f>'HULP-velden'!$AE$58</f>
        <v>464000</v>
      </c>
      <c r="W42" s="223"/>
      <c r="X42" s="331">
        <f>+'HULP-velden'!$AJ$58</f>
        <v>52</v>
      </c>
      <c r="Y42" s="331">
        <f>+'HULP-velden'!$AK$58</f>
        <v>62</v>
      </c>
      <c r="Z42" s="331">
        <f>+'HULP-velden'!$AL$58</f>
        <v>72</v>
      </c>
      <c r="AA42" s="331">
        <f>+'HULP-velden'!$AM$58</f>
        <v>82</v>
      </c>
      <c r="AB42" s="331">
        <f>+'HULP-velden'!$AN$58</f>
        <v>92</v>
      </c>
      <c r="AC42" s="331">
        <f>+'HULP-velden'!$AO$58</f>
        <v>102</v>
      </c>
      <c r="AD42" s="331">
        <f>+'HULP-velden'!$AP$58</f>
        <v>112.00000000000001</v>
      </c>
      <c r="AE42" s="331">
        <f>+'HULP-velden'!$AP$54</f>
        <v>113.99999999999999</v>
      </c>
    </row>
    <row r="43" spans="16:31" s="2" customFormat="1" ht="27.95" customHeight="1" x14ac:dyDescent="0.25">
      <c r="P43" s="223" t="s">
        <v>343</v>
      </c>
      <c r="Q43" s="223">
        <v>0</v>
      </c>
      <c r="R43" s="226">
        <f>+'HULP-velden'!$D$21</f>
        <v>520000</v>
      </c>
      <c r="S43" s="223"/>
      <c r="T43" s="223"/>
      <c r="U43" s="223"/>
      <c r="V43" s="226">
        <f>'HULP-velden'!$AE$59</f>
        <v>463000</v>
      </c>
      <c r="W43" s="223"/>
      <c r="X43" s="331">
        <f>+'HULP-velden'!$AJ$59</f>
        <v>51.5</v>
      </c>
      <c r="Y43" s="331">
        <f>+'HULP-velden'!$AK$59</f>
        <v>61.5</v>
      </c>
      <c r="Z43" s="331">
        <f>+'HULP-velden'!$AL$59</f>
        <v>71.5</v>
      </c>
      <c r="AA43" s="331">
        <f>+'HULP-velden'!$AM$59</f>
        <v>81.5</v>
      </c>
      <c r="AB43" s="331">
        <f>+'HULP-velden'!$AN$59</f>
        <v>91.5</v>
      </c>
      <c r="AC43" s="331">
        <f>+'HULP-velden'!$AO$59</f>
        <v>101.49999999999999</v>
      </c>
      <c r="AD43" s="331">
        <f>+'HULP-velden'!$AP$59</f>
        <v>111.5</v>
      </c>
      <c r="AE43" s="331">
        <f>+'HULP-velden'!$AP$55</f>
        <v>113.5</v>
      </c>
    </row>
    <row r="44" spans="16:31" s="2" customFormat="1" ht="27.95" customHeight="1" x14ac:dyDescent="0.25">
      <c r="P44" s="223" t="s">
        <v>186</v>
      </c>
      <c r="Q44" s="223">
        <f>'HULP-velden'!$C$26</f>
        <v>-1000</v>
      </c>
      <c r="R44" s="223">
        <f>'HULP-velden'!$D$26</f>
        <v>-1000</v>
      </c>
      <c r="S44" s="223"/>
      <c r="T44" s="223"/>
      <c r="U44" s="223"/>
      <c r="V44" s="226">
        <f>'HULP-velden'!$AE$60</f>
        <v>462000</v>
      </c>
      <c r="W44" s="223"/>
      <c r="X44" s="331">
        <f>+'HULP-velden'!$AJ$60</f>
        <v>51</v>
      </c>
      <c r="Y44" s="331">
        <f>+'HULP-velden'!$AK$60</f>
        <v>61</v>
      </c>
      <c r="Z44" s="331">
        <f>+'HULP-velden'!$AL$60</f>
        <v>71</v>
      </c>
      <c r="AA44" s="331">
        <f>+'HULP-velden'!$AM$60</f>
        <v>81</v>
      </c>
      <c r="AB44" s="331">
        <f>+'HULP-velden'!$AN$60</f>
        <v>91</v>
      </c>
      <c r="AC44" s="331">
        <f>+'HULP-velden'!$AO$60</f>
        <v>101</v>
      </c>
      <c r="AD44" s="331">
        <f>+'HULP-velden'!$AP$60</f>
        <v>111.00000000000001</v>
      </c>
      <c r="AE44" s="331">
        <f>+'HULP-velden'!$AP$56</f>
        <v>112.99999999999999</v>
      </c>
    </row>
    <row r="45" spans="16:31" s="2" customFormat="1" ht="27.95" customHeight="1" x14ac:dyDescent="0.25">
      <c r="P45" s="223" t="s">
        <v>130</v>
      </c>
      <c r="Q45" s="223">
        <f>'HULP-velden'!$C$28</f>
        <v>0</v>
      </c>
      <c r="R45" s="223">
        <f>'HULP-velden'!$D$28</f>
        <v>0</v>
      </c>
      <c r="S45" s="223"/>
      <c r="T45" s="223"/>
      <c r="U45" s="223"/>
      <c r="V45" s="226">
        <f>'HULP-velden'!$AE$61</f>
        <v>461000</v>
      </c>
      <c r="W45" s="223"/>
      <c r="X45" s="331">
        <f>+'HULP-velden'!$AJ$61</f>
        <v>50.5</v>
      </c>
      <c r="Y45" s="331">
        <f>+'HULP-velden'!$AK$61</f>
        <v>60.5</v>
      </c>
      <c r="Z45" s="331">
        <f>+'HULP-velden'!$AL$61</f>
        <v>70.5</v>
      </c>
      <c r="AA45" s="331">
        <f>+'HULP-velden'!$AM$61</f>
        <v>80.5</v>
      </c>
      <c r="AB45" s="331">
        <f>+'HULP-velden'!$AN$61</f>
        <v>90.5</v>
      </c>
      <c r="AC45" s="331">
        <f>+'HULP-velden'!$AO$61</f>
        <v>100.49999999999999</v>
      </c>
      <c r="AD45" s="331">
        <f>+'HULP-velden'!$AP$61</f>
        <v>110.5</v>
      </c>
      <c r="AE45" s="331">
        <f>+'HULP-velden'!$AP$57</f>
        <v>112.5</v>
      </c>
    </row>
    <row r="46" spans="16:31" s="2" customFormat="1" ht="27.95" customHeight="1" x14ac:dyDescent="0.25">
      <c r="P46" s="223" t="s">
        <v>187</v>
      </c>
      <c r="Q46" s="223">
        <f>+Q45</f>
        <v>0</v>
      </c>
      <c r="R46" s="223">
        <v>0</v>
      </c>
      <c r="S46" s="223"/>
      <c r="T46" s="223"/>
      <c r="U46" s="223"/>
      <c r="V46" s="226">
        <f>'HULP-velden'!$AE$62</f>
        <v>460000</v>
      </c>
      <c r="W46" s="223"/>
      <c r="X46" s="331">
        <f>+'HULP-velden'!$AJ$62</f>
        <v>50</v>
      </c>
      <c r="Y46" s="331">
        <f>+'HULP-velden'!$AK$62</f>
        <v>60</v>
      </c>
      <c r="Z46" s="331">
        <f>+'HULP-velden'!$AL$62</f>
        <v>70</v>
      </c>
      <c r="AA46" s="331">
        <f>+'HULP-velden'!$AM$62</f>
        <v>80</v>
      </c>
      <c r="AB46" s="331">
        <f>+'HULP-velden'!$AN$62</f>
        <v>90</v>
      </c>
      <c r="AC46" s="331">
        <f>+'HULP-velden'!$AO$62</f>
        <v>100</v>
      </c>
      <c r="AD46" s="331">
        <f>+'HULP-velden'!$AP$62</f>
        <v>110.00000000000001</v>
      </c>
      <c r="AE46" s="331">
        <f>+'HULP-velden'!$AP$58</f>
        <v>112.00000000000001</v>
      </c>
    </row>
    <row r="47" spans="16:31" s="2" customFormat="1" ht="27.95" customHeight="1" x14ac:dyDescent="0.25">
      <c r="P47" s="223" t="s">
        <v>188</v>
      </c>
      <c r="Q47" s="224">
        <f>Q10</f>
        <v>500</v>
      </c>
      <c r="R47" s="223">
        <v>0</v>
      </c>
      <c r="S47" s="223"/>
      <c r="T47" s="223"/>
      <c r="U47" s="223"/>
      <c r="V47" s="226">
        <f>'HULP-velden'!$AE$63</f>
        <v>459000</v>
      </c>
      <c r="W47" s="223"/>
      <c r="X47" s="331">
        <f>+'HULP-velden'!$AJ$63</f>
        <v>49.5</v>
      </c>
      <c r="Y47" s="331">
        <f>+'HULP-velden'!$AK$63</f>
        <v>59.5</v>
      </c>
      <c r="Z47" s="331">
        <f>+'HULP-velden'!$AL$63</f>
        <v>69.5</v>
      </c>
      <c r="AA47" s="331">
        <f>+'HULP-velden'!$AM$63</f>
        <v>79.5</v>
      </c>
      <c r="AB47" s="331">
        <f>+'HULP-velden'!$AN$63</f>
        <v>89.5</v>
      </c>
      <c r="AC47" s="331">
        <f>+'HULP-velden'!$AO$63</f>
        <v>99.5</v>
      </c>
      <c r="AD47" s="331">
        <f>+'HULP-velden'!$AP$63</f>
        <v>109.5</v>
      </c>
      <c r="AE47" s="331">
        <f>+'HULP-velden'!$AP$59</f>
        <v>111.5</v>
      </c>
    </row>
    <row r="48" spans="16:31" s="2" customFormat="1" ht="27.95" customHeight="1" x14ac:dyDescent="0.25">
      <c r="P48" s="223" t="s">
        <v>189</v>
      </c>
      <c r="Q48" s="223">
        <f>'HULP-velden'!$C$29</f>
        <v>0</v>
      </c>
      <c r="R48" s="223"/>
      <c r="S48" s="223"/>
      <c r="T48" s="223"/>
      <c r="U48" s="223"/>
      <c r="V48" s="226">
        <f>'HULP-velden'!$AE$64</f>
        <v>458000</v>
      </c>
      <c r="W48" s="223"/>
      <c r="X48" s="331">
        <f>+'HULP-velden'!$AJ$64</f>
        <v>49</v>
      </c>
      <c r="Y48" s="331">
        <f>+'HULP-velden'!$AK$64</f>
        <v>59</v>
      </c>
      <c r="Z48" s="331">
        <f>+'HULP-velden'!$AL$64</f>
        <v>69</v>
      </c>
      <c r="AA48" s="331">
        <f>+'HULP-velden'!$AM$64</f>
        <v>79</v>
      </c>
      <c r="AB48" s="331">
        <f>+'HULP-velden'!$AN$64</f>
        <v>89</v>
      </c>
      <c r="AC48" s="331">
        <f>+'HULP-velden'!$AO$64</f>
        <v>99</v>
      </c>
      <c r="AD48" s="331">
        <f>+'HULP-velden'!$AP$64</f>
        <v>109.00000000000001</v>
      </c>
      <c r="AE48" s="331">
        <f>+'HULP-velden'!$AP$60</f>
        <v>111.00000000000001</v>
      </c>
    </row>
    <row r="49" spans="16:31" s="2" customFormat="1" ht="27.95" customHeight="1" x14ac:dyDescent="0.25">
      <c r="P49" s="223" t="s">
        <v>190</v>
      </c>
      <c r="Q49" s="224">
        <f>'HULP-velden'!$C$30</f>
        <v>500</v>
      </c>
      <c r="R49" s="223"/>
      <c r="S49" s="223"/>
      <c r="T49" s="223"/>
      <c r="U49" s="223"/>
      <c r="V49" s="226">
        <f>'HULP-velden'!$AE$65</f>
        <v>457000</v>
      </c>
      <c r="W49" s="223"/>
      <c r="X49" s="331">
        <f>+'HULP-velden'!$AJ$65</f>
        <v>48.5</v>
      </c>
      <c r="Y49" s="331">
        <f>+'HULP-velden'!$AK$65</f>
        <v>58.5</v>
      </c>
      <c r="Z49" s="331">
        <f>+'HULP-velden'!$AL$65</f>
        <v>68.5</v>
      </c>
      <c r="AA49" s="331">
        <f>+'HULP-velden'!$AM$65</f>
        <v>78.5</v>
      </c>
      <c r="AB49" s="331">
        <f>+'HULP-velden'!$AN$65</f>
        <v>88.5</v>
      </c>
      <c r="AC49" s="331">
        <f>+'HULP-velden'!$AO$65</f>
        <v>98.5</v>
      </c>
      <c r="AD49" s="331">
        <f>+'HULP-velden'!$AP$65</f>
        <v>108.5</v>
      </c>
      <c r="AE49" s="331">
        <f>+'HULP-velden'!$AP$61</f>
        <v>110.5</v>
      </c>
    </row>
    <row r="50" spans="16:31" s="2" customFormat="1" ht="27.95" customHeight="1" x14ac:dyDescent="0.25">
      <c r="P50" s="223" t="s">
        <v>74</v>
      </c>
      <c r="Q50" s="223">
        <f>'HULP-velden'!$C$26</f>
        <v>-1000</v>
      </c>
      <c r="R50" s="223">
        <f>'HULP-velden'!$D$26</f>
        <v>-1000</v>
      </c>
      <c r="S50" s="223"/>
      <c r="T50" s="223"/>
      <c r="U50" s="223"/>
      <c r="V50" s="226">
        <f>'HULP-velden'!$AE$66</f>
        <v>456000</v>
      </c>
      <c r="W50" s="223"/>
      <c r="X50" s="331">
        <f>+'HULP-velden'!$AJ$66</f>
        <v>48</v>
      </c>
      <c r="Y50" s="331">
        <f>+'HULP-velden'!$AK$66</f>
        <v>57.999999999999993</v>
      </c>
      <c r="Z50" s="331">
        <f>+'HULP-velden'!$AL$66</f>
        <v>68</v>
      </c>
      <c r="AA50" s="331">
        <f>+'HULP-velden'!$AM$66</f>
        <v>78</v>
      </c>
      <c r="AB50" s="331">
        <f>+'HULP-velden'!$AN$66</f>
        <v>88</v>
      </c>
      <c r="AC50" s="331">
        <f>+'HULP-velden'!$AO$66</f>
        <v>98</v>
      </c>
      <c r="AD50" s="331">
        <f>+'HULP-velden'!$AP$66</f>
        <v>108</v>
      </c>
      <c r="AE50" s="331">
        <f>+'HULP-velden'!$AP$62</f>
        <v>110.00000000000001</v>
      </c>
    </row>
    <row r="51" spans="16:31" s="2" customFormat="1" ht="27.95" customHeight="1" x14ac:dyDescent="0.25">
      <c r="P51" s="223" t="s">
        <v>191</v>
      </c>
      <c r="Q51" s="223" t="str">
        <f>'HULP-velden'!$G$15</f>
        <v xml:space="preserve">LAQ = </v>
      </c>
      <c r="R51" s="223"/>
      <c r="S51" s="223"/>
      <c r="T51" s="223"/>
      <c r="U51" s="223"/>
      <c r="V51" s="226">
        <f>'HULP-velden'!$AE$67</f>
        <v>455000</v>
      </c>
      <c r="W51" s="223"/>
      <c r="X51" s="331">
        <f>+'HULP-velden'!$AJ$67</f>
        <v>47.5</v>
      </c>
      <c r="Y51" s="331">
        <f>+'HULP-velden'!$AK$67</f>
        <v>57.499999999999993</v>
      </c>
      <c r="Z51" s="331">
        <f>+'HULP-velden'!$AL$67</f>
        <v>67.5</v>
      </c>
      <c r="AA51" s="331">
        <f>+'HULP-velden'!$AM$67</f>
        <v>77.5</v>
      </c>
      <c r="AB51" s="331">
        <f>+'HULP-velden'!$AN$67</f>
        <v>87.5</v>
      </c>
      <c r="AC51" s="331">
        <f>+'HULP-velden'!$AO$67</f>
        <v>97.5</v>
      </c>
      <c r="AD51" s="331">
        <f>+'HULP-velden'!$AP$67</f>
        <v>107.5</v>
      </c>
      <c r="AE51" s="331">
        <f>+'HULP-velden'!$AP$63</f>
        <v>109.5</v>
      </c>
    </row>
    <row r="52" spans="16:31" s="2" customFormat="1" ht="27.95" customHeight="1" x14ac:dyDescent="0.25">
      <c r="P52" s="223" t="s">
        <v>72</v>
      </c>
      <c r="Q52" s="226">
        <f>'HULP-velden'!$C$13</f>
        <v>-100000</v>
      </c>
      <c r="R52" s="228">
        <f>+Q52</f>
        <v>-100000</v>
      </c>
      <c r="S52" s="223"/>
      <c r="T52" s="223"/>
      <c r="U52" s="223"/>
      <c r="V52" s="226">
        <f>'HULP-velden'!$AE$68</f>
        <v>454000</v>
      </c>
      <c r="W52" s="223"/>
      <c r="X52" s="331">
        <f>+'HULP-velden'!$AJ$68</f>
        <v>47</v>
      </c>
      <c r="Y52" s="331">
        <f>+'HULP-velden'!$AK$68</f>
        <v>56.999999999999993</v>
      </c>
      <c r="Z52" s="331">
        <f>+'HULP-velden'!$AL$68</f>
        <v>67</v>
      </c>
      <c r="AA52" s="331">
        <f>+'HULP-velden'!$AM$68</f>
        <v>77</v>
      </c>
      <c r="AB52" s="331">
        <f>+'HULP-velden'!$AN$68</f>
        <v>87</v>
      </c>
      <c r="AC52" s="331">
        <f>+'HULP-velden'!$AO$68</f>
        <v>97</v>
      </c>
      <c r="AD52" s="331">
        <f>+'HULP-velden'!$AP$68</f>
        <v>107</v>
      </c>
      <c r="AE52" s="331">
        <f>+'HULP-velden'!$AP$64</f>
        <v>109.00000000000001</v>
      </c>
    </row>
    <row r="53" spans="16:31" s="2" customFormat="1" ht="27.95" customHeight="1" x14ac:dyDescent="0.25">
      <c r="P53" s="223" t="s">
        <v>191</v>
      </c>
      <c r="Q53" s="223" t="str">
        <f>'HULP-velden'!$G$16</f>
        <v>Plafondprijs; -€ 100</v>
      </c>
      <c r="R53" s="223"/>
      <c r="S53" s="223"/>
      <c r="T53" s="223"/>
      <c r="U53" s="223"/>
      <c r="V53" s="226">
        <f>'HULP-velden'!$AE$69</f>
        <v>453000</v>
      </c>
      <c r="W53" s="223"/>
      <c r="X53" s="331">
        <f>+'HULP-velden'!$AJ$69</f>
        <v>46.5</v>
      </c>
      <c r="Y53" s="331">
        <f>+'HULP-velden'!$AK$69</f>
        <v>56.499999999999993</v>
      </c>
      <c r="Z53" s="331">
        <f>+'HULP-velden'!$AL$69</f>
        <v>66.5</v>
      </c>
      <c r="AA53" s="331">
        <f>+'HULP-velden'!$AM$69</f>
        <v>76.5</v>
      </c>
      <c r="AB53" s="331">
        <f>+'HULP-velden'!$AN$69</f>
        <v>86.5</v>
      </c>
      <c r="AC53" s="331">
        <f>+'HULP-velden'!$AO$69</f>
        <v>96.5</v>
      </c>
      <c r="AD53" s="331">
        <f>+'HULP-velden'!$AP$69</f>
        <v>106.5</v>
      </c>
      <c r="AE53" s="331">
        <f>+'HULP-velden'!$AP$65</f>
        <v>108.5</v>
      </c>
    </row>
    <row r="54" spans="16:31" s="2" customFormat="1" ht="27.95" customHeight="1" x14ac:dyDescent="0.25">
      <c r="P54" s="223"/>
      <c r="Q54" s="223"/>
      <c r="R54" s="223"/>
      <c r="S54" s="223"/>
      <c r="T54" s="223"/>
      <c r="U54" s="223"/>
      <c r="V54" s="226">
        <f>'HULP-velden'!$AE$70</f>
        <v>452000</v>
      </c>
      <c r="W54" s="223"/>
      <c r="X54" s="331">
        <f>+'HULP-velden'!$AJ$70</f>
        <v>46</v>
      </c>
      <c r="Y54" s="331">
        <f>+'HULP-velden'!$AK$70</f>
        <v>56.000000000000007</v>
      </c>
      <c r="Z54" s="331">
        <f>+'HULP-velden'!$AL$70</f>
        <v>66</v>
      </c>
      <c r="AA54" s="331">
        <f>+'HULP-velden'!$AM$70</f>
        <v>76</v>
      </c>
      <c r="AB54" s="331">
        <f>+'HULP-velden'!$AN$70</f>
        <v>86</v>
      </c>
      <c r="AC54" s="331">
        <f>+'HULP-velden'!$AO$70</f>
        <v>96</v>
      </c>
      <c r="AD54" s="331">
        <f>+'HULP-velden'!$AP$70</f>
        <v>106</v>
      </c>
      <c r="AE54" s="331">
        <f>+'HULP-velden'!$AP$66</f>
        <v>108</v>
      </c>
    </row>
    <row r="55" spans="16:31" s="2" customFormat="1" ht="27.95" customHeight="1" x14ac:dyDescent="0.25">
      <c r="P55" s="243"/>
      <c r="Q55" s="223"/>
      <c r="R55" s="223"/>
      <c r="S55" s="223"/>
      <c r="T55" s="223"/>
      <c r="U55" s="223"/>
      <c r="V55" s="226">
        <f>'HULP-velden'!$AE$71</f>
        <v>451000</v>
      </c>
      <c r="W55" s="223"/>
      <c r="X55" s="331">
        <f>+'HULP-velden'!$AJ$71</f>
        <v>45.5</v>
      </c>
      <c r="Y55" s="331">
        <f>+'HULP-velden'!$AK$71</f>
        <v>55.500000000000007</v>
      </c>
      <c r="Z55" s="331">
        <f>+'HULP-velden'!$AL$71</f>
        <v>65.5</v>
      </c>
      <c r="AA55" s="331">
        <f>+'HULP-velden'!$AM$71</f>
        <v>75.5</v>
      </c>
      <c r="AB55" s="331">
        <f>+'HULP-velden'!$AN$71</f>
        <v>85.5</v>
      </c>
      <c r="AC55" s="331">
        <f>+'HULP-velden'!$AO$71</f>
        <v>95.5</v>
      </c>
      <c r="AD55" s="331">
        <f>+'HULP-velden'!$AP$71</f>
        <v>105.5</v>
      </c>
      <c r="AE55" s="331">
        <f>+'HULP-velden'!$AP$67</f>
        <v>107.5</v>
      </c>
    </row>
    <row r="56" spans="16:31" s="2" customFormat="1" ht="27.95" customHeight="1" x14ac:dyDescent="0.25">
      <c r="P56" s="223"/>
      <c r="Q56" s="223"/>
      <c r="R56" s="223"/>
      <c r="S56" s="223"/>
      <c r="T56" s="223"/>
      <c r="U56" s="223"/>
      <c r="V56" s="226">
        <f>'HULP-velden'!$AE$72</f>
        <v>450000</v>
      </c>
      <c r="W56" s="223"/>
      <c r="X56" s="331">
        <f>+'HULP-velden'!$AJ$72</f>
        <v>45</v>
      </c>
      <c r="Y56" s="331">
        <f>+'HULP-velden'!$AK$72</f>
        <v>55.000000000000007</v>
      </c>
      <c r="Z56" s="331">
        <f>+'HULP-velden'!$AL$72</f>
        <v>65</v>
      </c>
      <c r="AA56" s="331">
        <f>+'HULP-velden'!$AM$72</f>
        <v>75</v>
      </c>
      <c r="AB56" s="331">
        <f>+'HULP-velden'!$AN$72</f>
        <v>85</v>
      </c>
      <c r="AC56" s="331">
        <f>+'HULP-velden'!$AO$72</f>
        <v>95</v>
      </c>
      <c r="AD56" s="331">
        <f>+'HULP-velden'!$AP$72</f>
        <v>105</v>
      </c>
      <c r="AE56" s="331">
        <f>+'HULP-velden'!$AP$68</f>
        <v>107</v>
      </c>
    </row>
    <row r="57" spans="16:31" s="2" customFormat="1" ht="27.95" customHeight="1" x14ac:dyDescent="0.25">
      <c r="P57" s="223" t="s">
        <v>261</v>
      </c>
      <c r="Q57" s="223"/>
      <c r="R57" s="223"/>
      <c r="S57" s="223"/>
      <c r="T57" s="223"/>
      <c r="U57" s="223"/>
      <c r="V57" s="226">
        <f>'HULP-velden'!$AE$73</f>
        <v>449000</v>
      </c>
      <c r="W57" s="223"/>
      <c r="X57" s="331">
        <f>+'HULP-velden'!$AJ$73</f>
        <v>44.5</v>
      </c>
      <c r="Y57" s="331">
        <f>+'HULP-velden'!$AK$73</f>
        <v>54.500000000000007</v>
      </c>
      <c r="Z57" s="331">
        <f>+'HULP-velden'!$AL$73</f>
        <v>64.5</v>
      </c>
      <c r="AA57" s="331">
        <f>+'HULP-velden'!$AM$73</f>
        <v>74.5</v>
      </c>
      <c r="AB57" s="331">
        <f>+'HULP-velden'!$AN$73</f>
        <v>84.5</v>
      </c>
      <c r="AC57" s="331">
        <f>+'HULP-velden'!$AO$73</f>
        <v>94.5</v>
      </c>
      <c r="AD57" s="331">
        <f>+'HULP-velden'!$AP$73</f>
        <v>104.5</v>
      </c>
      <c r="AE57" s="331">
        <f>+'HULP-velden'!$AP$69</f>
        <v>106.5</v>
      </c>
    </row>
    <row r="58" spans="16:31" s="2" customFormat="1" ht="27.95" customHeight="1" x14ac:dyDescent="0.25">
      <c r="P58" s="223"/>
      <c r="Q58" s="223" t="s">
        <v>2</v>
      </c>
      <c r="R58" s="225" t="s">
        <v>262</v>
      </c>
      <c r="S58" s="225" t="s">
        <v>171</v>
      </c>
      <c r="T58" s="225" t="s">
        <v>24</v>
      </c>
      <c r="U58" s="225" t="s">
        <v>144</v>
      </c>
      <c r="V58" s="226">
        <f>'HULP-velden'!$AE$74</f>
        <v>448000</v>
      </c>
      <c r="W58" s="223"/>
      <c r="X58" s="331">
        <f>+'HULP-velden'!$AJ$74</f>
        <v>44</v>
      </c>
      <c r="Y58" s="331">
        <f>+'HULP-velden'!$AK$74</f>
        <v>54</v>
      </c>
      <c r="Z58" s="331">
        <f>+'HULP-velden'!$AL$74</f>
        <v>64</v>
      </c>
      <c r="AA58" s="331">
        <f>+'HULP-velden'!$AM$74</f>
        <v>74</v>
      </c>
      <c r="AB58" s="331">
        <f>+'HULP-velden'!$AN$74</f>
        <v>84</v>
      </c>
      <c r="AC58" s="331">
        <f>+'HULP-velden'!$AO$74</f>
        <v>94</v>
      </c>
      <c r="AD58" s="331">
        <f>+'HULP-velden'!$AP$74</f>
        <v>104</v>
      </c>
      <c r="AE58" s="331">
        <f>+'HULP-velden'!$AP$70</f>
        <v>106</v>
      </c>
    </row>
    <row r="59" spans="16:31" s="2" customFormat="1" ht="27.95" customHeight="1" x14ac:dyDescent="0.25">
      <c r="P59" s="223" t="str">
        <f>'HULP-velden'!$D$51</f>
        <v/>
      </c>
      <c r="Q59" s="226" t="str">
        <f>'HULP-velden'!$E$51</f>
        <v/>
      </c>
      <c r="R59" s="223" t="str">
        <f>'HULP-velden'!$F$51</f>
        <v/>
      </c>
      <c r="S59" s="294" t="str">
        <f>IF(R59="","",R59/Q10*100)</f>
        <v/>
      </c>
      <c r="T59" s="446" t="str">
        <f>IF(R59="","",'HULP-velden'!$H$51)</f>
        <v/>
      </c>
      <c r="U59" s="225" t="str">
        <f>IF(R59="","",'HULP-velden'!$K$51)</f>
        <v/>
      </c>
      <c r="V59" s="226">
        <f>'HULP-velden'!$AE$75</f>
        <v>447000</v>
      </c>
      <c r="W59" s="223"/>
      <c r="X59" s="331">
        <f>+'HULP-velden'!$AJ$75</f>
        <v>43.5</v>
      </c>
      <c r="Y59" s="331">
        <f>+'HULP-velden'!$AK$75</f>
        <v>53.5</v>
      </c>
      <c r="Z59" s="331">
        <f>+'HULP-velden'!$AL$75</f>
        <v>63.5</v>
      </c>
      <c r="AA59" s="331">
        <f>+'HULP-velden'!$AM$75</f>
        <v>73.5</v>
      </c>
      <c r="AB59" s="331">
        <f>+'HULP-velden'!$AN$75</f>
        <v>83.5</v>
      </c>
      <c r="AC59" s="331">
        <f>+'HULP-velden'!$AO$75</f>
        <v>93.5</v>
      </c>
      <c r="AD59" s="331">
        <f>+'HULP-velden'!$AP$75</f>
        <v>103.49999999999999</v>
      </c>
      <c r="AE59" s="331">
        <f>+'HULP-velden'!$AP$71</f>
        <v>105.5</v>
      </c>
    </row>
    <row r="60" spans="16:31" s="2" customFormat="1" ht="27.95" customHeight="1" x14ac:dyDescent="0.25">
      <c r="P60" s="223" t="str">
        <f>'HULP-velden'!$D$52</f>
        <v/>
      </c>
      <c r="Q60" s="226" t="str">
        <f>'HULP-velden'!$E$52</f>
        <v/>
      </c>
      <c r="R60" s="223" t="str">
        <f>'HULP-velden'!$F$52</f>
        <v/>
      </c>
      <c r="S60" s="294" t="str">
        <f>IF(R60="","",R60/Q10*100)</f>
        <v/>
      </c>
      <c r="T60" s="446" t="str">
        <f>IF(R60="","",'HULP-velden'!$H$52)</f>
        <v/>
      </c>
      <c r="U60" s="225" t="str">
        <f>IF(R60="","",'HULP-velden'!$K$52)</f>
        <v/>
      </c>
      <c r="V60" s="226">
        <f>'HULP-velden'!$AE$76</f>
        <v>446000</v>
      </c>
      <c r="W60" s="223"/>
      <c r="X60" s="331">
        <f>+'HULP-velden'!$AJ$76</f>
        <v>43</v>
      </c>
      <c r="Y60" s="331">
        <f>+'HULP-velden'!$AK$76</f>
        <v>53</v>
      </c>
      <c r="Z60" s="331">
        <f>+'HULP-velden'!$AL$76</f>
        <v>63</v>
      </c>
      <c r="AA60" s="331">
        <f>+'HULP-velden'!$AM$76</f>
        <v>73</v>
      </c>
      <c r="AB60" s="331">
        <f>+'HULP-velden'!$AN$76</f>
        <v>83</v>
      </c>
      <c r="AC60" s="331">
        <f>+'HULP-velden'!$AO$76</f>
        <v>93</v>
      </c>
      <c r="AD60" s="331">
        <f>+'HULP-velden'!$AP$76</f>
        <v>103</v>
      </c>
      <c r="AE60" s="331">
        <f>+'HULP-velden'!$AP$72</f>
        <v>105</v>
      </c>
    </row>
    <row r="61" spans="16:31" s="2" customFormat="1" ht="27.95" customHeight="1" x14ac:dyDescent="0.25">
      <c r="P61" s="223" t="str">
        <f>'HULP-velden'!$D$53</f>
        <v/>
      </c>
      <c r="Q61" s="226" t="str">
        <f>'HULP-velden'!$E$53</f>
        <v/>
      </c>
      <c r="R61" s="223" t="str">
        <f>'HULP-velden'!$F$53</f>
        <v/>
      </c>
      <c r="S61" s="294" t="str">
        <f>IF(R61="","",R61/Q10*100)</f>
        <v/>
      </c>
      <c r="T61" s="446" t="str">
        <f>IF(R61="","",'HULP-velden'!$H$53)</f>
        <v/>
      </c>
      <c r="U61" s="225" t="str">
        <f>IF(R61="","",'HULP-velden'!$K$53)</f>
        <v/>
      </c>
      <c r="V61" s="226">
        <f>'HULP-velden'!$AE$77</f>
        <v>445000</v>
      </c>
      <c r="W61" s="223"/>
      <c r="X61" s="331">
        <f>+'HULP-velden'!$AJ$77</f>
        <v>42.5</v>
      </c>
      <c r="Y61" s="331">
        <f>+'HULP-velden'!$AK$77</f>
        <v>52.5</v>
      </c>
      <c r="Z61" s="331">
        <f>+'HULP-velden'!$AL$77</f>
        <v>62.5</v>
      </c>
      <c r="AA61" s="331">
        <f>+'HULP-velden'!$AM$77</f>
        <v>72.5</v>
      </c>
      <c r="AB61" s="331">
        <f>+'HULP-velden'!$AN$77</f>
        <v>82.5</v>
      </c>
      <c r="AC61" s="331">
        <f>+'HULP-velden'!$AO$77</f>
        <v>92.5</v>
      </c>
      <c r="AD61" s="331">
        <f>+'HULP-velden'!$AP$77</f>
        <v>102.49999999999999</v>
      </c>
      <c r="AE61" s="331">
        <f>+'HULP-velden'!$AP$73</f>
        <v>104.5</v>
      </c>
    </row>
    <row r="62" spans="16:31" s="2" customFormat="1" ht="27.95" customHeight="1" x14ac:dyDescent="0.25">
      <c r="P62" s="223" t="str">
        <f>'HULP-velden'!$D$54</f>
        <v/>
      </c>
      <c r="Q62" s="226" t="str">
        <f>'HULP-velden'!$E$54</f>
        <v/>
      </c>
      <c r="R62" s="223" t="str">
        <f>'HULP-velden'!$F$54</f>
        <v/>
      </c>
      <c r="S62" s="294" t="str">
        <f>IF(R62="","",R62/Q10*100)</f>
        <v/>
      </c>
      <c r="T62" s="446" t="str">
        <f>IF(R62="","",'HULP-velden'!$H$54)</f>
        <v/>
      </c>
      <c r="U62" s="225" t="str">
        <f>IF(R62="","",'HULP-velden'!$K$54)</f>
        <v/>
      </c>
      <c r="V62" s="226">
        <f>'HULP-velden'!$AE$78</f>
        <v>444000</v>
      </c>
      <c r="W62" s="223"/>
      <c r="X62" s="331">
        <f>+'HULP-velden'!$AJ$78</f>
        <v>42</v>
      </c>
      <c r="Y62" s="331">
        <f>+'HULP-velden'!$AK$78</f>
        <v>52</v>
      </c>
      <c r="Z62" s="331">
        <f>+'HULP-velden'!$AL$78</f>
        <v>62</v>
      </c>
      <c r="AA62" s="331">
        <f>+'HULP-velden'!$AM$78</f>
        <v>72</v>
      </c>
      <c r="AB62" s="331">
        <f>+'HULP-velden'!$AN$78</f>
        <v>82</v>
      </c>
      <c r="AC62" s="331">
        <f>+'HULP-velden'!$AO$78</f>
        <v>92</v>
      </c>
      <c r="AD62" s="331">
        <f>+'HULP-velden'!$AP$78</f>
        <v>102</v>
      </c>
      <c r="AE62" s="331">
        <f>+'HULP-velden'!$AP$74</f>
        <v>104</v>
      </c>
    </row>
    <row r="63" spans="16:31" s="2" customFormat="1" ht="27.95" customHeight="1" x14ac:dyDescent="0.25">
      <c r="P63" s="223" t="str">
        <f>'HULP-velden'!$D$55</f>
        <v/>
      </c>
      <c r="Q63" s="226" t="str">
        <f>'HULP-velden'!$E$55</f>
        <v/>
      </c>
      <c r="R63" s="223" t="str">
        <f>'HULP-velden'!$F$55</f>
        <v/>
      </c>
      <c r="S63" s="294" t="str">
        <f>IF(R63="","",R63/Q10*100)</f>
        <v/>
      </c>
      <c r="T63" s="446" t="str">
        <f>IF(R63="","",'HULP-velden'!$H$55)</f>
        <v/>
      </c>
      <c r="U63" s="225" t="str">
        <f>IF(R63="","",'HULP-velden'!$K$55)</f>
        <v/>
      </c>
      <c r="V63" s="226">
        <f>'HULP-velden'!$AE$79</f>
        <v>443000</v>
      </c>
      <c r="W63" s="223"/>
      <c r="X63" s="331">
        <f>+'HULP-velden'!$AJ$79</f>
        <v>41.5</v>
      </c>
      <c r="Y63" s="331">
        <f>+'HULP-velden'!$AK$79</f>
        <v>51.5</v>
      </c>
      <c r="Z63" s="331">
        <f>+'HULP-velden'!$AL$79</f>
        <v>61.5</v>
      </c>
      <c r="AA63" s="331">
        <f>+'HULP-velden'!$AM$79</f>
        <v>71.5</v>
      </c>
      <c r="AB63" s="331">
        <f>+'HULP-velden'!$AN$79</f>
        <v>81.5</v>
      </c>
      <c r="AC63" s="331">
        <f>+'HULP-velden'!$AO$79</f>
        <v>91.5</v>
      </c>
      <c r="AD63" s="331">
        <f>+'HULP-velden'!$AP$79</f>
        <v>101.49999999999999</v>
      </c>
      <c r="AE63" s="331">
        <f>+'HULP-velden'!$AP$75</f>
        <v>103.49999999999999</v>
      </c>
    </row>
    <row r="64" spans="16:31" s="2" customFormat="1" ht="27.95" customHeight="1" x14ac:dyDescent="0.25">
      <c r="P64" s="223" t="str">
        <f>'HULP-velden'!$D$56</f>
        <v/>
      </c>
      <c r="Q64" s="226" t="str">
        <f>'HULP-velden'!$E$56</f>
        <v/>
      </c>
      <c r="R64" s="223" t="str">
        <f>'HULP-velden'!$F$56</f>
        <v/>
      </c>
      <c r="S64" s="294" t="str">
        <f>IF(R64="","",R64/Q10*100)</f>
        <v/>
      </c>
      <c r="T64" s="446" t="str">
        <f>IF(R64="","",'HULP-velden'!$H$56)</f>
        <v/>
      </c>
      <c r="U64" s="225" t="str">
        <f>IF(R64="","",'HULP-velden'!$K$56)</f>
        <v/>
      </c>
      <c r="V64" s="226">
        <f>'HULP-velden'!$AE$80</f>
        <v>442000</v>
      </c>
      <c r="W64" s="223"/>
      <c r="X64" s="331">
        <f>+'HULP-velden'!$AJ$80</f>
        <v>41</v>
      </c>
      <c r="Y64" s="331">
        <f>+'HULP-velden'!$AK$80</f>
        <v>51</v>
      </c>
      <c r="Z64" s="331">
        <f>+'HULP-velden'!$AL$80</f>
        <v>61</v>
      </c>
      <c r="AA64" s="331">
        <f>+'HULP-velden'!$AM$80</f>
        <v>71</v>
      </c>
      <c r="AB64" s="331">
        <f>+'HULP-velden'!$AN$80</f>
        <v>81</v>
      </c>
      <c r="AC64" s="331">
        <f>+'HULP-velden'!$AO$80</f>
        <v>91</v>
      </c>
      <c r="AD64" s="331">
        <f>+'HULP-velden'!$AP$80</f>
        <v>101</v>
      </c>
      <c r="AE64" s="331">
        <f>+'HULP-velden'!$AP$76</f>
        <v>103</v>
      </c>
    </row>
    <row r="65" spans="16:31" s="2" customFormat="1" ht="27.95" customHeight="1" x14ac:dyDescent="0.25">
      <c r="P65" s="223" t="str">
        <f>'HULP-velden'!$D$57</f>
        <v/>
      </c>
      <c r="Q65" s="226" t="str">
        <f>'HULP-velden'!$E$57</f>
        <v/>
      </c>
      <c r="R65" s="223" t="str">
        <f>'HULP-velden'!$F$57</f>
        <v/>
      </c>
      <c r="S65" s="294" t="str">
        <f>IF(R65="","",R65/Q10*100)</f>
        <v/>
      </c>
      <c r="T65" s="446" t="str">
        <f>IF(R65="","",'HULP-velden'!$H$57)</f>
        <v/>
      </c>
      <c r="U65" s="225" t="str">
        <f>IF(R65="","",'HULP-velden'!$K$57)</f>
        <v/>
      </c>
      <c r="V65" s="226">
        <f>'HULP-velden'!$AE$81</f>
        <v>441000</v>
      </c>
      <c r="W65" s="223"/>
      <c r="X65" s="331">
        <f>+'HULP-velden'!$AJ$81</f>
        <v>40.5</v>
      </c>
      <c r="Y65" s="331">
        <f>+'HULP-velden'!$AK$81</f>
        <v>50.5</v>
      </c>
      <c r="Z65" s="331">
        <f>+'HULP-velden'!$AL$81</f>
        <v>60.5</v>
      </c>
      <c r="AA65" s="331">
        <f>+'HULP-velden'!$AM$81</f>
        <v>70.5</v>
      </c>
      <c r="AB65" s="331">
        <f>+'HULP-velden'!$AN$81</f>
        <v>80.5</v>
      </c>
      <c r="AC65" s="331">
        <f>+'HULP-velden'!$AO$81</f>
        <v>90.5</v>
      </c>
      <c r="AD65" s="331">
        <f>+'HULP-velden'!$AP$81</f>
        <v>100.49999999999999</v>
      </c>
      <c r="AE65" s="331">
        <f>+'HULP-velden'!$AP$77</f>
        <v>102.49999999999999</v>
      </c>
    </row>
    <row r="66" spans="16:31" s="2" customFormat="1" ht="27.95" customHeight="1" x14ac:dyDescent="0.25">
      <c r="P66" s="223" t="str">
        <f>'HULP-velden'!$D$58</f>
        <v/>
      </c>
      <c r="Q66" s="226" t="str">
        <f>'HULP-velden'!$E$58</f>
        <v/>
      </c>
      <c r="R66" s="223" t="str">
        <f>'HULP-velden'!$F$58</f>
        <v/>
      </c>
      <c r="S66" s="294" t="str">
        <f>IF(R66="","",R66/Q10*100)</f>
        <v/>
      </c>
      <c r="T66" s="446" t="str">
        <f>IF(R66="","",'HULP-velden'!$H$58)</f>
        <v/>
      </c>
      <c r="U66" s="225" t="str">
        <f>IF(R66="","",'HULP-velden'!$K$58)</f>
        <v/>
      </c>
      <c r="V66" s="226">
        <f>'HULP-velden'!$AE$82</f>
        <v>440000</v>
      </c>
      <c r="W66" s="223"/>
      <c r="X66" s="331">
        <f>+'HULP-velden'!$AJ$82</f>
        <v>40</v>
      </c>
      <c r="Y66" s="331">
        <f>+'HULP-velden'!$AK$82</f>
        <v>50</v>
      </c>
      <c r="Z66" s="331">
        <f>+'HULP-velden'!$AL$82</f>
        <v>60</v>
      </c>
      <c r="AA66" s="331">
        <f>+'HULP-velden'!$AM$82</f>
        <v>70</v>
      </c>
      <c r="AB66" s="331">
        <f>+'HULP-velden'!$AN$82</f>
        <v>80</v>
      </c>
      <c r="AC66" s="331">
        <f>+'HULP-velden'!$AO$82</f>
        <v>90</v>
      </c>
      <c r="AD66" s="331">
        <f>+'HULP-velden'!$AP$82</f>
        <v>100</v>
      </c>
      <c r="AE66" s="331">
        <f>+'HULP-velden'!$AP$78</f>
        <v>102</v>
      </c>
    </row>
    <row r="67" spans="16:31" s="2" customFormat="1" ht="27.95" customHeight="1" x14ac:dyDescent="0.25">
      <c r="P67" s="223" t="str">
        <f>'HULP-velden'!$D$59</f>
        <v/>
      </c>
      <c r="Q67" s="226" t="str">
        <f>'HULP-velden'!$E$59</f>
        <v/>
      </c>
      <c r="R67" s="223" t="str">
        <f>'HULP-velden'!$F$59</f>
        <v/>
      </c>
      <c r="S67" s="294" t="str">
        <f>IF(R67="","",R67/Q10*100)</f>
        <v/>
      </c>
      <c r="T67" s="446" t="str">
        <f>IF(R67="","",'HULP-velden'!$H$59)</f>
        <v/>
      </c>
      <c r="U67" s="225" t="str">
        <f>IF(R67="","",'HULP-velden'!$K$59)</f>
        <v/>
      </c>
      <c r="V67" s="226">
        <f>'HULP-velden'!$AE$83</f>
        <v>439000</v>
      </c>
      <c r="W67" s="223"/>
      <c r="X67" s="331">
        <f>+'HULP-velden'!$AJ$83</f>
        <v>39.5</v>
      </c>
      <c r="Y67" s="331">
        <f>+'HULP-velden'!$AK$83</f>
        <v>49.5</v>
      </c>
      <c r="Z67" s="331">
        <f>+'HULP-velden'!$AL$83</f>
        <v>59.5</v>
      </c>
      <c r="AA67" s="331">
        <f>+'HULP-velden'!$AM$83</f>
        <v>69.5</v>
      </c>
      <c r="AB67" s="331">
        <f>+'HULP-velden'!$AN$83</f>
        <v>79.5</v>
      </c>
      <c r="AC67" s="331">
        <f>+'HULP-velden'!$AO$83</f>
        <v>89.5</v>
      </c>
      <c r="AD67" s="331">
        <f>+'HULP-velden'!$AP$83</f>
        <v>99.5</v>
      </c>
      <c r="AE67" s="331">
        <f>+'HULP-velden'!$AP$79</f>
        <v>101.49999999999999</v>
      </c>
    </row>
    <row r="68" spans="16:31" s="2" customFormat="1" ht="27.95" customHeight="1" x14ac:dyDescent="0.25">
      <c r="P68" s="223" t="str">
        <f>'HULP-velden'!$D$60</f>
        <v/>
      </c>
      <c r="Q68" s="226" t="str">
        <f>'HULP-velden'!$E$60</f>
        <v/>
      </c>
      <c r="R68" s="223" t="str">
        <f>'HULP-velden'!$F$60</f>
        <v/>
      </c>
      <c r="S68" s="294" t="str">
        <f>IF(R68="","",R68/Q10*100)</f>
        <v/>
      </c>
      <c r="T68" s="446" t="str">
        <f>IF(R68="","",'HULP-velden'!$H$60)</f>
        <v/>
      </c>
      <c r="U68" s="225" t="str">
        <f>IF(R68="","",'HULP-velden'!$K$60)</f>
        <v/>
      </c>
      <c r="V68" s="226">
        <f>'HULP-velden'!$AE$84</f>
        <v>438000</v>
      </c>
      <c r="W68" s="223"/>
      <c r="X68" s="331">
        <f>+'HULP-velden'!$AJ$84</f>
        <v>39</v>
      </c>
      <c r="Y68" s="331">
        <f>+'HULP-velden'!$AK$84</f>
        <v>49</v>
      </c>
      <c r="Z68" s="331">
        <f>+'HULP-velden'!$AL$84</f>
        <v>59</v>
      </c>
      <c r="AA68" s="331">
        <f>+'HULP-velden'!$AM$84</f>
        <v>69</v>
      </c>
      <c r="AB68" s="331">
        <f>+'HULP-velden'!$AN$84</f>
        <v>79</v>
      </c>
      <c r="AC68" s="331">
        <f>+'HULP-velden'!$AO$84</f>
        <v>89</v>
      </c>
      <c r="AD68" s="331">
        <f>+'HULP-velden'!$AP$84</f>
        <v>99</v>
      </c>
      <c r="AE68" s="331">
        <f>+'HULP-velden'!$AP$80</f>
        <v>101</v>
      </c>
    </row>
    <row r="69" spans="16:31" s="2" customFormat="1" ht="27.95" customHeight="1" x14ac:dyDescent="0.25">
      <c r="P69" s="223" t="str">
        <f>'HULP-velden'!$D$61</f>
        <v/>
      </c>
      <c r="Q69" s="226" t="str">
        <f>'HULP-velden'!$E$61</f>
        <v/>
      </c>
      <c r="R69" s="223" t="str">
        <f>'HULP-velden'!$F$61</f>
        <v/>
      </c>
      <c r="S69" s="294" t="str">
        <f>IF(R69="","",R69/Q10*100)</f>
        <v/>
      </c>
      <c r="T69" s="446" t="str">
        <f>IF(R69="","",'HULP-velden'!$H$61)</f>
        <v/>
      </c>
      <c r="U69" s="225" t="str">
        <f>IF(R69="","",'HULP-velden'!$K$61)</f>
        <v/>
      </c>
      <c r="V69" s="226">
        <f>'HULP-velden'!$AE$85</f>
        <v>437000</v>
      </c>
      <c r="W69" s="223"/>
      <c r="X69" s="331">
        <f>+'HULP-velden'!$AJ$85</f>
        <v>38.5</v>
      </c>
      <c r="Y69" s="331">
        <f>+'HULP-velden'!$AK$85</f>
        <v>48.5</v>
      </c>
      <c r="Z69" s="331">
        <f>+'HULP-velden'!$AL$85</f>
        <v>58.5</v>
      </c>
      <c r="AA69" s="331">
        <f>+'HULP-velden'!$AM$85</f>
        <v>68.5</v>
      </c>
      <c r="AB69" s="331">
        <f>+'HULP-velden'!$AN$85</f>
        <v>78.5</v>
      </c>
      <c r="AC69" s="331">
        <f>+'HULP-velden'!$AO$85</f>
        <v>88.5</v>
      </c>
      <c r="AD69" s="331">
        <f>+'HULP-velden'!$AP$85</f>
        <v>98.5</v>
      </c>
      <c r="AE69" s="331">
        <f>+'HULP-velden'!$AP$81</f>
        <v>100.49999999999999</v>
      </c>
    </row>
    <row r="70" spans="16:31" s="2" customFormat="1" ht="27.95" customHeight="1" x14ac:dyDescent="0.25">
      <c r="P70" s="223" t="str">
        <f>'HULP-velden'!$D$62</f>
        <v/>
      </c>
      <c r="Q70" s="226" t="str">
        <f>'HULP-velden'!$E$62</f>
        <v/>
      </c>
      <c r="R70" s="223" t="str">
        <f>'HULP-velden'!$F$62</f>
        <v/>
      </c>
      <c r="S70" s="294" t="str">
        <f>IF(R70="","",R70/Q10*100)</f>
        <v/>
      </c>
      <c r="T70" s="446" t="str">
        <f>IF(R70="","",'HULP-velden'!$H$62)</f>
        <v/>
      </c>
      <c r="U70" s="225" t="str">
        <f>IF(R70="","",'HULP-velden'!$K$62)</f>
        <v/>
      </c>
      <c r="V70" s="226">
        <f>'HULP-velden'!$AE$86</f>
        <v>436000</v>
      </c>
      <c r="W70" s="223"/>
      <c r="X70" s="331">
        <f>+'HULP-velden'!$AJ$86</f>
        <v>38</v>
      </c>
      <c r="Y70" s="331">
        <f>+'HULP-velden'!$AK$86</f>
        <v>48</v>
      </c>
      <c r="Z70" s="331">
        <f>+'HULP-velden'!$AL$86</f>
        <v>57.999999999999993</v>
      </c>
      <c r="AA70" s="331">
        <f>+'HULP-velden'!$AM$86</f>
        <v>68</v>
      </c>
      <c r="AB70" s="331">
        <f>+'HULP-velden'!$AN$86</f>
        <v>78</v>
      </c>
      <c r="AC70" s="331">
        <f>+'HULP-velden'!$AO$86</f>
        <v>88</v>
      </c>
      <c r="AD70" s="331">
        <f>+'HULP-velden'!$AP$86</f>
        <v>98</v>
      </c>
      <c r="AE70" s="331">
        <f>+'HULP-velden'!$AP$82</f>
        <v>100</v>
      </c>
    </row>
    <row r="71" spans="16:31" s="2" customFormat="1" ht="27.95" customHeight="1" x14ac:dyDescent="0.25">
      <c r="P71" s="223" t="str">
        <f>'HULP-velden'!$D$63</f>
        <v>Referentie</v>
      </c>
      <c r="Q71" s="226">
        <f>'HULP-velden'!$E$63</f>
        <v>400000</v>
      </c>
      <c r="R71" s="223">
        <f>'HULP-velden'!$F$63</f>
        <v>250</v>
      </c>
      <c r="S71" s="294">
        <f>IF(R71="","",R71/Q10*100)</f>
        <v>50</v>
      </c>
      <c r="T71" s="446">
        <f>IF(R71="","",'HULP-velden'!$H$63)</f>
        <v>500</v>
      </c>
      <c r="U71" s="225"/>
      <c r="V71" s="226">
        <f>'HULP-velden'!$AE$87</f>
        <v>435000</v>
      </c>
      <c r="W71" s="223"/>
      <c r="X71" s="331">
        <f>+'HULP-velden'!$AJ$87</f>
        <v>37.5</v>
      </c>
      <c r="Y71" s="331">
        <f>+'HULP-velden'!$AK$87</f>
        <v>47.5</v>
      </c>
      <c r="Z71" s="331">
        <f>+'HULP-velden'!$AL$87</f>
        <v>57.499999999999993</v>
      </c>
      <c r="AA71" s="331">
        <f>+'HULP-velden'!$AM$87</f>
        <v>67.5</v>
      </c>
      <c r="AB71" s="331">
        <f>+'HULP-velden'!$AN$87</f>
        <v>77.5</v>
      </c>
      <c r="AC71" s="331">
        <f>+'HULP-velden'!$AO$87</f>
        <v>87.5</v>
      </c>
      <c r="AD71" s="331">
        <f>+'HULP-velden'!$AP$87</f>
        <v>97.5</v>
      </c>
      <c r="AE71" s="331">
        <f>+'HULP-velden'!$AP$83</f>
        <v>99.5</v>
      </c>
    </row>
    <row r="72" spans="16:31" s="2" customFormat="1" ht="27.95" customHeight="1" x14ac:dyDescent="0.25">
      <c r="P72" s="223"/>
      <c r="Q72" s="223"/>
      <c r="R72" s="223"/>
      <c r="S72" s="223"/>
      <c r="T72" s="223"/>
      <c r="U72" s="223"/>
      <c r="V72" s="226">
        <f>'HULP-velden'!$AE$88</f>
        <v>434000</v>
      </c>
      <c r="W72" s="223"/>
      <c r="X72" s="331">
        <f>+'HULP-velden'!$AJ$88</f>
        <v>37</v>
      </c>
      <c r="Y72" s="331">
        <f>+'HULP-velden'!$AK$88</f>
        <v>47</v>
      </c>
      <c r="Z72" s="331">
        <f>+'HULP-velden'!$AL$88</f>
        <v>56.999999999999993</v>
      </c>
      <c r="AA72" s="331">
        <f>+'HULP-velden'!$AM$88</f>
        <v>67</v>
      </c>
      <c r="AB72" s="331">
        <f>+'HULP-velden'!$AN$88</f>
        <v>77</v>
      </c>
      <c r="AC72" s="331">
        <f>+'HULP-velden'!$AO$88</f>
        <v>87</v>
      </c>
      <c r="AD72" s="331">
        <f>+'HULP-velden'!$AP$88</f>
        <v>97</v>
      </c>
      <c r="AE72" s="331">
        <f>+'HULP-velden'!$AP$84</f>
        <v>99</v>
      </c>
    </row>
    <row r="73" spans="16:31" s="2" customFormat="1" ht="27.95" customHeight="1" x14ac:dyDescent="0.25">
      <c r="P73" s="223"/>
      <c r="Q73" s="223"/>
      <c r="R73" s="223"/>
      <c r="S73" s="223"/>
      <c r="T73" s="223"/>
      <c r="U73" s="223"/>
      <c r="V73" s="226">
        <f>'HULP-velden'!$AE$89</f>
        <v>433000</v>
      </c>
      <c r="W73" s="223"/>
      <c r="X73" s="331">
        <f>+'HULP-velden'!$AJ$89</f>
        <v>36.5</v>
      </c>
      <c r="Y73" s="331">
        <f>+'HULP-velden'!$AK$89</f>
        <v>46.5</v>
      </c>
      <c r="Z73" s="331">
        <f>+'HULP-velden'!$AL$89</f>
        <v>56.499999999999993</v>
      </c>
      <c r="AA73" s="331">
        <f>+'HULP-velden'!$AM$89</f>
        <v>66.5</v>
      </c>
      <c r="AB73" s="331">
        <f>+'HULP-velden'!$AN$89</f>
        <v>76.5</v>
      </c>
      <c r="AC73" s="331">
        <f>+'HULP-velden'!$AO$89</f>
        <v>86.5</v>
      </c>
      <c r="AD73" s="331">
        <f>+'HULP-velden'!$AP$89</f>
        <v>96.5</v>
      </c>
      <c r="AE73" s="331">
        <f>+'HULP-velden'!$AP$85</f>
        <v>98.5</v>
      </c>
    </row>
    <row r="74" spans="16:31" s="2" customFormat="1" ht="27.95" customHeight="1" x14ac:dyDescent="0.25">
      <c r="P74" s="223"/>
      <c r="Q74" s="223"/>
      <c r="R74" s="223"/>
      <c r="S74" s="223"/>
      <c r="T74" s="223"/>
      <c r="U74" s="223"/>
      <c r="V74" s="226">
        <f>'HULP-velden'!$AE$90</f>
        <v>432000</v>
      </c>
      <c r="W74" s="223"/>
      <c r="X74" s="331">
        <f>+'HULP-velden'!$AJ$90</f>
        <v>36</v>
      </c>
      <c r="Y74" s="331">
        <f>+'HULP-velden'!$AK$90</f>
        <v>46</v>
      </c>
      <c r="Z74" s="331">
        <f>+'HULP-velden'!$AL$90</f>
        <v>56.000000000000007</v>
      </c>
      <c r="AA74" s="331">
        <f>+'HULP-velden'!$AM$90</f>
        <v>66</v>
      </c>
      <c r="AB74" s="331">
        <f>+'HULP-velden'!$AN$90</f>
        <v>76</v>
      </c>
      <c r="AC74" s="331">
        <f>+'HULP-velden'!$AO$90</f>
        <v>86</v>
      </c>
      <c r="AD74" s="331">
        <f>+'HULP-velden'!$AP$90</f>
        <v>96</v>
      </c>
      <c r="AE74" s="331">
        <f>+'HULP-velden'!$AP$86</f>
        <v>98</v>
      </c>
    </row>
    <row r="75" spans="16:31" s="2" customFormat="1" ht="27.95" customHeight="1" x14ac:dyDescent="0.25">
      <c r="P75" s="223"/>
      <c r="Q75" s="223"/>
      <c r="R75" s="223"/>
      <c r="S75" s="223"/>
      <c r="T75" s="223"/>
      <c r="U75" s="223"/>
      <c r="V75" s="226">
        <f>'HULP-velden'!$AE$91</f>
        <v>431000</v>
      </c>
      <c r="W75" s="223"/>
      <c r="X75" s="331">
        <f>+'HULP-velden'!$AJ$91</f>
        <v>35.5</v>
      </c>
      <c r="Y75" s="331">
        <f>+'HULP-velden'!$AK$91</f>
        <v>45.5</v>
      </c>
      <c r="Z75" s="331">
        <f>+'HULP-velden'!$AL$91</f>
        <v>55.500000000000007</v>
      </c>
      <c r="AA75" s="331">
        <f>+'HULP-velden'!$AM$91</f>
        <v>65.5</v>
      </c>
      <c r="AB75" s="331">
        <f>+'HULP-velden'!$AN$91</f>
        <v>75.5</v>
      </c>
      <c r="AC75" s="331">
        <f>+'HULP-velden'!$AO$91</f>
        <v>85.5</v>
      </c>
      <c r="AD75" s="331">
        <f>+'HULP-velden'!$AP$91</f>
        <v>95.5</v>
      </c>
      <c r="AE75" s="331">
        <f>+'HULP-velden'!$AP$87</f>
        <v>97.5</v>
      </c>
    </row>
    <row r="76" spans="16:31" s="2" customFormat="1" ht="27.95" customHeight="1" x14ac:dyDescent="0.25">
      <c r="P76" s="223"/>
      <c r="Q76" s="223"/>
      <c r="R76" s="223"/>
      <c r="S76" s="223"/>
      <c r="T76" s="223"/>
      <c r="U76" s="223"/>
      <c r="V76" s="226">
        <f>'HULP-velden'!$AE$92</f>
        <v>430000</v>
      </c>
      <c r="W76" s="223"/>
      <c r="X76" s="331">
        <f>+'HULP-velden'!$AJ$92</f>
        <v>35</v>
      </c>
      <c r="Y76" s="331">
        <f>+'HULP-velden'!$AK$92</f>
        <v>45</v>
      </c>
      <c r="Z76" s="331">
        <f>+'HULP-velden'!$AL$92</f>
        <v>55.000000000000007</v>
      </c>
      <c r="AA76" s="331">
        <f>+'HULP-velden'!$AM$92</f>
        <v>65</v>
      </c>
      <c r="AB76" s="331">
        <f>+'HULP-velden'!$AN$92</f>
        <v>75</v>
      </c>
      <c r="AC76" s="331">
        <f>+'HULP-velden'!$AO$92</f>
        <v>85</v>
      </c>
      <c r="AD76" s="331">
        <f>+'HULP-velden'!$AP$92</f>
        <v>95</v>
      </c>
      <c r="AE76" s="331">
        <f>+'HULP-velden'!$AP$88</f>
        <v>97</v>
      </c>
    </row>
    <row r="77" spans="16:31" s="2" customFormat="1" ht="27.95" customHeight="1" x14ac:dyDescent="0.25">
      <c r="P77" s="223"/>
      <c r="Q77" s="223"/>
      <c r="R77" s="223"/>
      <c r="S77" s="223"/>
      <c r="T77" s="223"/>
      <c r="U77" s="223"/>
      <c r="V77" s="226">
        <f>'HULP-velden'!$AE$93</f>
        <v>429000</v>
      </c>
      <c r="W77" s="223"/>
      <c r="X77" s="331">
        <f>+'HULP-velden'!$AJ$93</f>
        <v>34.5</v>
      </c>
      <c r="Y77" s="331">
        <f>+'HULP-velden'!$AK$93</f>
        <v>44.5</v>
      </c>
      <c r="Z77" s="331">
        <f>+'HULP-velden'!$AL$93</f>
        <v>54.500000000000007</v>
      </c>
      <c r="AA77" s="331">
        <f>+'HULP-velden'!$AM$93</f>
        <v>64.5</v>
      </c>
      <c r="AB77" s="331">
        <f>+'HULP-velden'!$AN$93</f>
        <v>74.5</v>
      </c>
      <c r="AC77" s="331">
        <f>+'HULP-velden'!$AO$93</f>
        <v>84.5</v>
      </c>
      <c r="AD77" s="331">
        <f>+'HULP-velden'!$AP$93</f>
        <v>94.5</v>
      </c>
      <c r="AE77" s="331">
        <f>+'HULP-velden'!$AP$89</f>
        <v>96.5</v>
      </c>
    </row>
    <row r="78" spans="16:31" s="2" customFormat="1" ht="27.95" customHeight="1" x14ac:dyDescent="0.25">
      <c r="P78" s="223"/>
      <c r="Q78" s="223"/>
      <c r="R78" s="223"/>
      <c r="S78" s="223"/>
      <c r="T78" s="223"/>
      <c r="U78" s="223"/>
      <c r="V78" s="226">
        <f>'HULP-velden'!$AE$94</f>
        <v>428000</v>
      </c>
      <c r="W78" s="223"/>
      <c r="X78" s="331">
        <f>+'HULP-velden'!$AJ$94</f>
        <v>34</v>
      </c>
      <c r="Y78" s="331">
        <f>+'HULP-velden'!$AK$94</f>
        <v>44</v>
      </c>
      <c r="Z78" s="331">
        <f>+'HULP-velden'!$AL$94</f>
        <v>54</v>
      </c>
      <c r="AA78" s="331">
        <f>+'HULP-velden'!$AM$94</f>
        <v>64</v>
      </c>
      <c r="AB78" s="331">
        <f>+'HULP-velden'!$AN$94</f>
        <v>74</v>
      </c>
      <c r="AC78" s="331">
        <f>+'HULP-velden'!$AO$94</f>
        <v>84</v>
      </c>
      <c r="AD78" s="331">
        <f>+'HULP-velden'!$AP$94</f>
        <v>94</v>
      </c>
      <c r="AE78" s="331">
        <f>+'HULP-velden'!$AP$90</f>
        <v>96</v>
      </c>
    </row>
    <row r="79" spans="16:31" s="2" customFormat="1" ht="27.95" customHeight="1" x14ac:dyDescent="0.25">
      <c r="P79" s="223"/>
      <c r="Q79" s="223"/>
      <c r="R79" s="223"/>
      <c r="S79" s="223"/>
      <c r="T79" s="223"/>
      <c r="U79" s="223"/>
      <c r="V79" s="226">
        <f>'HULP-velden'!$AE$95</f>
        <v>427000</v>
      </c>
      <c r="W79" s="223"/>
      <c r="X79" s="331">
        <f>+'HULP-velden'!$AJ$95</f>
        <v>33.5</v>
      </c>
      <c r="Y79" s="331">
        <f>+'HULP-velden'!$AK$95</f>
        <v>43.5</v>
      </c>
      <c r="Z79" s="331">
        <f>+'HULP-velden'!$AL$95</f>
        <v>53.5</v>
      </c>
      <c r="AA79" s="331">
        <f>+'HULP-velden'!$AM$95</f>
        <v>63.5</v>
      </c>
      <c r="AB79" s="331">
        <f>+'HULP-velden'!$AN$95</f>
        <v>73.5</v>
      </c>
      <c r="AC79" s="331">
        <f>+'HULP-velden'!$AO$95</f>
        <v>83.5</v>
      </c>
      <c r="AD79" s="331">
        <f>+'HULP-velden'!$AP$95</f>
        <v>93.5</v>
      </c>
      <c r="AE79" s="331">
        <f>+'HULP-velden'!$AP$91</f>
        <v>95.5</v>
      </c>
    </row>
    <row r="80" spans="16:31" s="2" customFormat="1" ht="27.95" customHeight="1" x14ac:dyDescent="0.25">
      <c r="P80" s="223"/>
      <c r="Q80" s="223"/>
      <c r="R80" s="223"/>
      <c r="S80" s="223"/>
      <c r="T80" s="223"/>
      <c r="U80" s="223"/>
      <c r="V80" s="226">
        <f>'HULP-velden'!$AE$96</f>
        <v>426000</v>
      </c>
      <c r="W80" s="223"/>
      <c r="X80" s="331">
        <f>+'HULP-velden'!$AJ$96</f>
        <v>33</v>
      </c>
      <c r="Y80" s="331">
        <f>+'HULP-velden'!$AK$96</f>
        <v>43</v>
      </c>
      <c r="Z80" s="331">
        <f>+'HULP-velden'!$AL$96</f>
        <v>53</v>
      </c>
      <c r="AA80" s="331">
        <f>+'HULP-velden'!$AM$96</f>
        <v>63</v>
      </c>
      <c r="AB80" s="331">
        <f>+'HULP-velden'!$AN$96</f>
        <v>73</v>
      </c>
      <c r="AC80" s="331">
        <f>+'HULP-velden'!$AO$96</f>
        <v>83</v>
      </c>
      <c r="AD80" s="331">
        <f>+'HULP-velden'!$AP$96</f>
        <v>93</v>
      </c>
      <c r="AE80" s="331">
        <f>+'HULP-velden'!$AP$92</f>
        <v>95</v>
      </c>
    </row>
    <row r="81" spans="4:31" s="2" customFormat="1" ht="27.95" customHeight="1" x14ac:dyDescent="0.25">
      <c r="P81" s="223"/>
      <c r="Q81" s="223"/>
      <c r="R81" s="223"/>
      <c r="S81" s="223"/>
      <c r="T81" s="223"/>
      <c r="U81" s="223"/>
      <c r="V81" s="226">
        <f>'HULP-velden'!$AE$97</f>
        <v>425000</v>
      </c>
      <c r="W81" s="223"/>
      <c r="X81" s="331">
        <f>+'HULP-velden'!$AJ$97</f>
        <v>32.5</v>
      </c>
      <c r="Y81" s="331">
        <f>+'HULP-velden'!$AK$97</f>
        <v>42.5</v>
      </c>
      <c r="Z81" s="331">
        <f>+'HULP-velden'!$AL$97</f>
        <v>52.5</v>
      </c>
      <c r="AA81" s="331">
        <f>+'HULP-velden'!$AM$97</f>
        <v>62.5</v>
      </c>
      <c r="AB81" s="331">
        <f>+'HULP-velden'!$AN$97</f>
        <v>72.5</v>
      </c>
      <c r="AC81" s="331">
        <f>+'HULP-velden'!$AO$97</f>
        <v>82.5</v>
      </c>
      <c r="AD81" s="331">
        <f>+'HULP-velden'!$AP$97</f>
        <v>92.5</v>
      </c>
      <c r="AE81" s="331">
        <f>+'HULP-velden'!$AP$93</f>
        <v>94.5</v>
      </c>
    </row>
    <row r="82" spans="4:31" s="2" customFormat="1" ht="27.95" customHeight="1" x14ac:dyDescent="0.25">
      <c r="P82" s="223"/>
      <c r="Q82" s="223"/>
      <c r="R82" s="223"/>
      <c r="S82" s="223"/>
      <c r="T82" s="223"/>
      <c r="U82" s="223"/>
      <c r="V82" s="226">
        <f>'HULP-velden'!$AE$98</f>
        <v>424000</v>
      </c>
      <c r="W82" s="223"/>
      <c r="X82" s="331">
        <f>+'HULP-velden'!$AJ$98</f>
        <v>32</v>
      </c>
      <c r="Y82" s="331">
        <f>+'HULP-velden'!$AK$98</f>
        <v>42</v>
      </c>
      <c r="Z82" s="331">
        <f>+'HULP-velden'!$AL$98</f>
        <v>52</v>
      </c>
      <c r="AA82" s="331">
        <f>+'HULP-velden'!$AM$98</f>
        <v>62</v>
      </c>
      <c r="AB82" s="331">
        <f>+'HULP-velden'!$AN$98</f>
        <v>72</v>
      </c>
      <c r="AC82" s="331">
        <f>+'HULP-velden'!$AO$98</f>
        <v>82</v>
      </c>
      <c r="AD82" s="331">
        <f>+'HULP-velden'!$AP$98</f>
        <v>92</v>
      </c>
      <c r="AE82" s="331">
        <f>+'HULP-velden'!$AP$94</f>
        <v>94</v>
      </c>
    </row>
    <row r="83" spans="4:31" s="2" customFormat="1" ht="27.95" customHeight="1" x14ac:dyDescent="0.25">
      <c r="P83" s="223"/>
      <c r="Q83" s="223"/>
      <c r="R83" s="223"/>
      <c r="S83" s="223"/>
      <c r="T83" s="223"/>
      <c r="U83" s="223"/>
      <c r="V83" s="226">
        <f>'HULP-velden'!$AE$99</f>
        <v>423000</v>
      </c>
      <c r="W83" s="223"/>
      <c r="X83" s="331">
        <f>+'HULP-velden'!$AJ$99</f>
        <v>31.5</v>
      </c>
      <c r="Y83" s="331">
        <f>+'HULP-velden'!$AK$99</f>
        <v>41.5</v>
      </c>
      <c r="Z83" s="331">
        <f>+'HULP-velden'!$AL$99</f>
        <v>51.5</v>
      </c>
      <c r="AA83" s="331">
        <f>+'HULP-velden'!$AM$99</f>
        <v>61.5</v>
      </c>
      <c r="AB83" s="331">
        <f>+'HULP-velden'!$AN$99</f>
        <v>71.5</v>
      </c>
      <c r="AC83" s="331">
        <f>+'HULP-velden'!$AO$99</f>
        <v>81.5</v>
      </c>
      <c r="AD83" s="331">
        <f>+'HULP-velden'!$AP$99</f>
        <v>91.5</v>
      </c>
      <c r="AE83" s="331">
        <f>+'HULP-velden'!$AP$95</f>
        <v>93.5</v>
      </c>
    </row>
    <row r="84" spans="4:31" s="2" customFormat="1" ht="27.95" customHeight="1" x14ac:dyDescent="0.25">
      <c r="E84" s="17"/>
      <c r="F84" s="17"/>
      <c r="G84" s="17"/>
      <c r="H84" s="17"/>
      <c r="I84" s="17"/>
      <c r="P84" s="223"/>
      <c r="Q84" s="223"/>
      <c r="R84" s="223"/>
      <c r="S84" s="223"/>
      <c r="T84" s="223"/>
      <c r="U84" s="223"/>
      <c r="V84" s="226">
        <f>'HULP-velden'!$AE$100</f>
        <v>422000</v>
      </c>
      <c r="W84" s="223"/>
      <c r="X84" s="331">
        <f>+'HULP-velden'!$AJ$100</f>
        <v>31</v>
      </c>
      <c r="Y84" s="331">
        <f>+'HULP-velden'!$AK$100</f>
        <v>41</v>
      </c>
      <c r="Z84" s="331">
        <f>+'HULP-velden'!$AL$100</f>
        <v>51</v>
      </c>
      <c r="AA84" s="331">
        <f>+'HULP-velden'!$AM$100</f>
        <v>61</v>
      </c>
      <c r="AB84" s="331">
        <f>+'HULP-velden'!$AN$100</f>
        <v>71</v>
      </c>
      <c r="AC84" s="331">
        <f>+'HULP-velden'!$AO$100</f>
        <v>81</v>
      </c>
      <c r="AD84" s="331">
        <f>+'HULP-velden'!$AP$100</f>
        <v>91</v>
      </c>
      <c r="AE84" s="331">
        <f>+'HULP-velden'!$AP$96</f>
        <v>93</v>
      </c>
    </row>
    <row r="85" spans="4:31" s="2" customFormat="1" ht="27.95" customHeight="1" x14ac:dyDescent="0.25">
      <c r="E85" s="17"/>
      <c r="F85" s="17"/>
      <c r="G85" s="17"/>
      <c r="H85" s="17"/>
      <c r="I85" s="17"/>
      <c r="P85" s="223"/>
      <c r="Q85" s="223"/>
      <c r="R85" s="223"/>
      <c r="S85" s="223"/>
      <c r="T85" s="223"/>
      <c r="U85" s="223"/>
      <c r="V85" s="226">
        <f>'HULP-velden'!$AE$101</f>
        <v>421000</v>
      </c>
      <c r="W85" s="223"/>
      <c r="X85" s="331">
        <f>+'HULP-velden'!$AJ$101</f>
        <v>30.5</v>
      </c>
      <c r="Y85" s="331">
        <f>+'HULP-velden'!$AK$101</f>
        <v>40.5</v>
      </c>
      <c r="Z85" s="331">
        <f>+'HULP-velden'!$AL$101</f>
        <v>50.5</v>
      </c>
      <c r="AA85" s="331">
        <f>+'HULP-velden'!$AM$101</f>
        <v>60.5</v>
      </c>
      <c r="AB85" s="331">
        <f>+'HULP-velden'!$AN$101</f>
        <v>70.5</v>
      </c>
      <c r="AC85" s="331">
        <f>+'HULP-velden'!$AO$101</f>
        <v>80.5</v>
      </c>
      <c r="AD85" s="331">
        <f>+'HULP-velden'!$AP$101</f>
        <v>90.5</v>
      </c>
      <c r="AE85" s="331">
        <f>+'HULP-velden'!$AP$97</f>
        <v>92.5</v>
      </c>
    </row>
    <row r="86" spans="4:31" s="2" customFormat="1" ht="27.95" customHeight="1" x14ac:dyDescent="0.25">
      <c r="E86" s="17"/>
      <c r="F86" s="17"/>
      <c r="G86" s="17"/>
      <c r="H86" s="17"/>
      <c r="I86" s="17"/>
      <c r="J86" s="17"/>
      <c r="K86" s="17"/>
      <c r="L86" s="17"/>
      <c r="P86" s="223"/>
      <c r="Q86" s="223"/>
      <c r="R86" s="223"/>
      <c r="S86" s="223"/>
      <c r="T86" s="223"/>
      <c r="U86" s="223"/>
      <c r="V86" s="226">
        <f>'HULP-velden'!$AE$102</f>
        <v>420000</v>
      </c>
      <c r="W86" s="223"/>
      <c r="X86" s="331">
        <f>+'HULP-velden'!$AJ$102</f>
        <v>30</v>
      </c>
      <c r="Y86" s="331">
        <f>+'HULP-velden'!$AK$102</f>
        <v>40</v>
      </c>
      <c r="Z86" s="331">
        <f>+'HULP-velden'!$AL$102</f>
        <v>50</v>
      </c>
      <c r="AA86" s="331">
        <f>+'HULP-velden'!$AM$102</f>
        <v>60</v>
      </c>
      <c r="AB86" s="331">
        <f>+'HULP-velden'!$AN$102</f>
        <v>70</v>
      </c>
      <c r="AC86" s="331">
        <f>+'HULP-velden'!$AO$102</f>
        <v>80</v>
      </c>
      <c r="AD86" s="331">
        <f>+'HULP-velden'!$AP$102</f>
        <v>90</v>
      </c>
      <c r="AE86" s="331">
        <f>+'HULP-velden'!$AP$98</f>
        <v>92</v>
      </c>
    </row>
    <row r="87" spans="4:31" s="2" customFormat="1" ht="27.95" customHeight="1" x14ac:dyDescent="0.25">
      <c r="E87" s="17"/>
      <c r="F87" s="17"/>
      <c r="G87" s="17"/>
      <c r="H87" s="17"/>
      <c r="I87" s="17"/>
      <c r="J87" s="17"/>
      <c r="K87" s="17"/>
      <c r="L87" s="17"/>
      <c r="P87" s="223"/>
      <c r="Q87" s="223"/>
      <c r="R87" s="223"/>
      <c r="S87" s="223"/>
      <c r="T87" s="223"/>
      <c r="U87" s="223"/>
      <c r="V87" s="226">
        <f>'HULP-velden'!$AE$103</f>
        <v>419000</v>
      </c>
      <c r="W87" s="223"/>
      <c r="X87" s="331">
        <f>+'HULP-velden'!$AJ$103</f>
        <v>29.5</v>
      </c>
      <c r="Y87" s="331">
        <f>+'HULP-velden'!$AK$103</f>
        <v>39.5</v>
      </c>
      <c r="Z87" s="331">
        <f>+'HULP-velden'!$AL$103</f>
        <v>49.5</v>
      </c>
      <c r="AA87" s="331">
        <f>+'HULP-velden'!$AM$103</f>
        <v>59.5</v>
      </c>
      <c r="AB87" s="331">
        <f>+'HULP-velden'!$AN$103</f>
        <v>69.5</v>
      </c>
      <c r="AC87" s="331">
        <f>+'HULP-velden'!$AO$103</f>
        <v>79.5</v>
      </c>
      <c r="AD87" s="331">
        <f>+'HULP-velden'!$AP$103</f>
        <v>89.5</v>
      </c>
      <c r="AE87" s="331">
        <f>+'HULP-velden'!$AP$99</f>
        <v>91.5</v>
      </c>
    </row>
    <row r="88" spans="4:31" s="2" customFormat="1" ht="27.95" customHeight="1" x14ac:dyDescent="0.25">
      <c r="E88" s="17"/>
      <c r="F88" s="17"/>
      <c r="G88" s="17"/>
      <c r="H88" s="17"/>
      <c r="I88" s="17"/>
      <c r="J88" s="17"/>
      <c r="K88" s="17"/>
      <c r="L88" s="17"/>
      <c r="P88" s="223"/>
      <c r="Q88" s="223"/>
      <c r="R88" s="223"/>
      <c r="S88" s="223"/>
      <c r="T88" s="223"/>
      <c r="U88" s="223"/>
      <c r="V88" s="226">
        <f>'HULP-velden'!$AE$104</f>
        <v>418000</v>
      </c>
      <c r="W88" s="223"/>
      <c r="X88" s="331">
        <f>+'HULP-velden'!$AJ$104</f>
        <v>28.999999999999996</v>
      </c>
      <c r="Y88" s="331">
        <f>+'HULP-velden'!$AK$104</f>
        <v>39</v>
      </c>
      <c r="Z88" s="331">
        <f>+'HULP-velden'!$AL$104</f>
        <v>49</v>
      </c>
      <c r="AA88" s="331">
        <f>+'HULP-velden'!$AM$104</f>
        <v>59</v>
      </c>
      <c r="AB88" s="331">
        <f>+'HULP-velden'!$AN$104</f>
        <v>69</v>
      </c>
      <c r="AC88" s="331">
        <f>+'HULP-velden'!$AO$104</f>
        <v>79</v>
      </c>
      <c r="AD88" s="331">
        <f>+'HULP-velden'!$AP$104</f>
        <v>89</v>
      </c>
      <c r="AE88" s="331">
        <f>+'HULP-velden'!$AP$100</f>
        <v>91</v>
      </c>
    </row>
    <row r="89" spans="4:31" s="2" customFormat="1" ht="27.95" customHeight="1" x14ac:dyDescent="0.25">
      <c r="E89" s="17"/>
      <c r="F89" s="17"/>
      <c r="G89" s="17"/>
      <c r="H89" s="17"/>
      <c r="I89" s="17"/>
      <c r="J89" s="17"/>
      <c r="K89" s="17"/>
      <c r="L89" s="17"/>
      <c r="P89" s="223"/>
      <c r="Q89" s="223"/>
      <c r="R89" s="223"/>
      <c r="S89" s="223"/>
      <c r="T89" s="223"/>
      <c r="U89" s="223"/>
      <c r="V89" s="226">
        <f>'HULP-velden'!$AE$105</f>
        <v>417000</v>
      </c>
      <c r="W89" s="223"/>
      <c r="X89" s="331">
        <f>+'HULP-velden'!$AJ$105</f>
        <v>28.499999999999996</v>
      </c>
      <c r="Y89" s="331">
        <f>+'HULP-velden'!$AK$105</f>
        <v>38.5</v>
      </c>
      <c r="Z89" s="331">
        <f>+'HULP-velden'!$AL$105</f>
        <v>48.5</v>
      </c>
      <c r="AA89" s="331">
        <f>+'HULP-velden'!$AM$105</f>
        <v>58.5</v>
      </c>
      <c r="AB89" s="331">
        <f>+'HULP-velden'!$AN$105</f>
        <v>68.5</v>
      </c>
      <c r="AC89" s="331">
        <f>+'HULP-velden'!$AO$105</f>
        <v>78.5</v>
      </c>
      <c r="AD89" s="331">
        <f>+'HULP-velden'!$AP$105</f>
        <v>88.5</v>
      </c>
      <c r="AE89" s="331">
        <f>+'HULP-velden'!$AP$101</f>
        <v>90.5</v>
      </c>
    </row>
    <row r="90" spans="4:31" s="2" customFormat="1" ht="27.75" customHeight="1" x14ac:dyDescent="0.25">
      <c r="E90" s="17"/>
      <c r="F90" s="17"/>
      <c r="G90" s="17"/>
      <c r="H90" s="17"/>
      <c r="I90" s="17"/>
      <c r="J90" s="17"/>
      <c r="K90" s="17"/>
      <c r="L90" s="17"/>
      <c r="P90" s="223"/>
      <c r="Q90" s="223"/>
      <c r="R90" s="223"/>
      <c r="S90" s="223"/>
      <c r="T90" s="223"/>
      <c r="U90" s="223"/>
      <c r="V90" s="226">
        <f>'HULP-velden'!$AE$106</f>
        <v>416000</v>
      </c>
      <c r="W90" s="223"/>
      <c r="X90" s="331">
        <f>+'HULP-velden'!$AJ$106</f>
        <v>28.000000000000004</v>
      </c>
      <c r="Y90" s="331">
        <f>+'HULP-velden'!$AK$106</f>
        <v>38</v>
      </c>
      <c r="Z90" s="331">
        <f>+'HULP-velden'!$AL$106</f>
        <v>48</v>
      </c>
      <c r="AA90" s="331">
        <f>+'HULP-velden'!$AM$106</f>
        <v>57.999999999999993</v>
      </c>
      <c r="AB90" s="331">
        <f>+'HULP-velden'!$AN$106</f>
        <v>68</v>
      </c>
      <c r="AC90" s="331">
        <f>+'HULP-velden'!$AO$106</f>
        <v>78</v>
      </c>
      <c r="AD90" s="331">
        <f>+'HULP-velden'!$AP$106</f>
        <v>88</v>
      </c>
      <c r="AE90" s="331">
        <f>+'HULP-velden'!$AP$102</f>
        <v>90</v>
      </c>
    </row>
    <row r="91" spans="4:31" s="2" customFormat="1" ht="27.95" customHeight="1" x14ac:dyDescent="0.25">
      <c r="E91" s="17"/>
      <c r="F91" s="17"/>
      <c r="G91" s="17"/>
      <c r="H91" s="17"/>
      <c r="I91" s="17"/>
      <c r="J91" s="17"/>
      <c r="K91" s="17"/>
      <c r="L91" s="17"/>
      <c r="P91" s="223"/>
      <c r="Q91" s="223"/>
      <c r="R91" s="223"/>
      <c r="S91" s="223"/>
      <c r="T91" s="223"/>
      <c r="U91" s="223"/>
      <c r="V91" s="226">
        <f>'HULP-velden'!$AE$107</f>
        <v>415000</v>
      </c>
      <c r="W91" s="223"/>
      <c r="X91" s="331">
        <f>+'HULP-velden'!$AJ$107</f>
        <v>27.500000000000004</v>
      </c>
      <c r="Y91" s="331">
        <f>+'HULP-velden'!$AK$107</f>
        <v>37.5</v>
      </c>
      <c r="Z91" s="331">
        <f>+'HULP-velden'!$AL$107</f>
        <v>47.5</v>
      </c>
      <c r="AA91" s="331">
        <f>+'HULP-velden'!$AM$107</f>
        <v>57.499999999999993</v>
      </c>
      <c r="AB91" s="331">
        <f>+'HULP-velden'!$AN$107</f>
        <v>67.5</v>
      </c>
      <c r="AC91" s="331">
        <f>+'HULP-velden'!$AO$107</f>
        <v>77.5</v>
      </c>
      <c r="AD91" s="331">
        <f>+'HULP-velden'!$AP$107</f>
        <v>87.5</v>
      </c>
      <c r="AE91" s="331">
        <f>+'HULP-velden'!$AP$103</f>
        <v>89.5</v>
      </c>
    </row>
    <row r="92" spans="4:31" s="2" customFormat="1" ht="27.95" customHeight="1" x14ac:dyDescent="0.25">
      <c r="E92" s="17"/>
      <c r="F92" s="17"/>
      <c r="G92" s="17"/>
      <c r="H92" s="17"/>
      <c r="I92" s="17"/>
      <c r="J92" s="17"/>
      <c r="K92" s="17"/>
      <c r="L92" s="17"/>
      <c r="P92" s="223"/>
      <c r="Q92" s="223"/>
      <c r="R92" s="223"/>
      <c r="S92" s="223"/>
      <c r="T92" s="223"/>
      <c r="U92" s="223"/>
      <c r="V92" s="226">
        <f>'HULP-velden'!$AE$108</f>
        <v>414000</v>
      </c>
      <c r="W92" s="223"/>
      <c r="X92" s="331">
        <f>+'HULP-velden'!$AJ$108</f>
        <v>27</v>
      </c>
      <c r="Y92" s="331">
        <f>+'HULP-velden'!$AK$108</f>
        <v>37</v>
      </c>
      <c r="Z92" s="331">
        <f>+'HULP-velden'!$AL$108</f>
        <v>47</v>
      </c>
      <c r="AA92" s="331">
        <f>+'HULP-velden'!$AM$108</f>
        <v>56.999999999999993</v>
      </c>
      <c r="AB92" s="331">
        <f>+'HULP-velden'!$AN$108</f>
        <v>67</v>
      </c>
      <c r="AC92" s="331">
        <f>+'HULP-velden'!$AO$108</f>
        <v>77</v>
      </c>
      <c r="AD92" s="331">
        <f>+'HULP-velden'!$AP$108</f>
        <v>87</v>
      </c>
      <c r="AE92" s="331">
        <f>+'HULP-velden'!$AP$104</f>
        <v>89</v>
      </c>
    </row>
    <row r="93" spans="4:31" s="2" customFormat="1" ht="27.95" customHeight="1" x14ac:dyDescent="0.25">
      <c r="E93" s="17"/>
      <c r="F93" s="17"/>
      <c r="G93" s="17"/>
      <c r="H93" s="17"/>
      <c r="I93" s="17"/>
      <c r="J93" s="17"/>
      <c r="K93" s="17"/>
      <c r="L93" s="17"/>
      <c r="P93" s="223"/>
      <c r="Q93" s="223"/>
      <c r="R93" s="223"/>
      <c r="S93" s="223"/>
      <c r="T93" s="223"/>
      <c r="U93" s="223"/>
      <c r="V93" s="226">
        <f>'HULP-velden'!$AE$109</f>
        <v>413000</v>
      </c>
      <c r="W93" s="223"/>
      <c r="X93" s="331">
        <f>+'HULP-velden'!$AJ$109</f>
        <v>26.5</v>
      </c>
      <c r="Y93" s="331">
        <f>+'HULP-velden'!$AK$109</f>
        <v>36.5</v>
      </c>
      <c r="Z93" s="331">
        <f>+'HULP-velden'!$AL$109</f>
        <v>46.5</v>
      </c>
      <c r="AA93" s="331">
        <f>+'HULP-velden'!$AM$109</f>
        <v>56.499999999999993</v>
      </c>
      <c r="AB93" s="331">
        <f>+'HULP-velden'!$AN$109</f>
        <v>66.5</v>
      </c>
      <c r="AC93" s="331">
        <f>+'HULP-velden'!$AO$109</f>
        <v>76.5</v>
      </c>
      <c r="AD93" s="331">
        <f>+'HULP-velden'!$AP$109</f>
        <v>86.5</v>
      </c>
      <c r="AE93" s="331">
        <f>+'HULP-velden'!$AP$105</f>
        <v>88.5</v>
      </c>
    </row>
    <row r="94" spans="4:31" s="2" customFormat="1" ht="27.95" customHeight="1" x14ac:dyDescent="0.25">
      <c r="E94" s="17"/>
      <c r="F94" s="17"/>
      <c r="G94" s="17"/>
      <c r="H94" s="17"/>
      <c r="I94" s="17"/>
      <c r="J94" s="17"/>
      <c r="K94" s="17"/>
      <c r="L94" s="17"/>
      <c r="P94" s="223"/>
      <c r="Q94" s="223"/>
      <c r="R94" s="223"/>
      <c r="S94" s="223"/>
      <c r="T94" s="223"/>
      <c r="U94" s="223"/>
      <c r="V94" s="226">
        <f>'HULP-velden'!$AE$110</f>
        <v>412000</v>
      </c>
      <c r="W94" s="223"/>
      <c r="X94" s="331">
        <f>+'HULP-velden'!$AJ$110</f>
        <v>26</v>
      </c>
      <c r="Y94" s="331">
        <f>+'HULP-velden'!$AK$110</f>
        <v>36</v>
      </c>
      <c r="Z94" s="331">
        <f>+'HULP-velden'!$AL$110</f>
        <v>46</v>
      </c>
      <c r="AA94" s="331">
        <f>+'HULP-velden'!$AM$110</f>
        <v>56.000000000000007</v>
      </c>
      <c r="AB94" s="331">
        <f>+'HULP-velden'!$AN$110</f>
        <v>66</v>
      </c>
      <c r="AC94" s="331">
        <f>+'HULP-velden'!$AO$110</f>
        <v>76</v>
      </c>
      <c r="AD94" s="331">
        <f>+'HULP-velden'!$AP$110</f>
        <v>86</v>
      </c>
      <c r="AE94" s="331">
        <f>+'HULP-velden'!$AP$106</f>
        <v>88</v>
      </c>
    </row>
    <row r="95" spans="4:31" s="2" customFormat="1" ht="27.95" customHeight="1" x14ac:dyDescent="0.25">
      <c r="D95" s="17"/>
      <c r="E95" s="17"/>
      <c r="F95" s="17"/>
      <c r="G95" s="17"/>
      <c r="H95" s="17"/>
      <c r="I95" s="17"/>
      <c r="J95" s="17"/>
      <c r="K95" s="17"/>
      <c r="L95" s="17"/>
      <c r="N95" s="17"/>
      <c r="O95" s="17"/>
      <c r="P95" s="223"/>
      <c r="Q95" s="223"/>
      <c r="R95" s="223"/>
      <c r="S95" s="223"/>
      <c r="T95" s="223"/>
      <c r="U95" s="223"/>
      <c r="V95" s="226">
        <f>'HULP-velden'!$AE$111</f>
        <v>411000</v>
      </c>
      <c r="W95" s="223"/>
      <c r="X95" s="331">
        <f>+'HULP-velden'!$AJ$111</f>
        <v>25.5</v>
      </c>
      <c r="Y95" s="331">
        <f>+'HULP-velden'!$AK$111</f>
        <v>35.5</v>
      </c>
      <c r="Z95" s="331">
        <f>+'HULP-velden'!$AL$111</f>
        <v>45.5</v>
      </c>
      <c r="AA95" s="331">
        <f>+'HULP-velden'!$AM$111</f>
        <v>55.500000000000007</v>
      </c>
      <c r="AB95" s="331">
        <f>+'HULP-velden'!$AN$111</f>
        <v>65.5</v>
      </c>
      <c r="AC95" s="331">
        <f>+'HULP-velden'!$AO$111</f>
        <v>75.5</v>
      </c>
      <c r="AD95" s="331">
        <f>+'HULP-velden'!$AP$111</f>
        <v>85.5</v>
      </c>
      <c r="AE95" s="331">
        <f>+'HULP-velden'!$AP$107</f>
        <v>87.5</v>
      </c>
    </row>
    <row r="96" spans="4:31" ht="27.95" customHeight="1" x14ac:dyDescent="0.25">
      <c r="P96" s="223"/>
      <c r="Q96" s="223"/>
      <c r="R96" s="223"/>
      <c r="S96" s="223"/>
      <c r="T96" s="223"/>
      <c r="U96" s="223"/>
      <c r="V96" s="226">
        <f>'HULP-velden'!$AE$112</f>
        <v>410000</v>
      </c>
      <c r="W96" s="223"/>
      <c r="X96" s="331">
        <f>+'HULP-velden'!$AJ$112</f>
        <v>25</v>
      </c>
      <c r="Y96" s="331">
        <f>+'HULP-velden'!$AK$112</f>
        <v>35</v>
      </c>
      <c r="Z96" s="331">
        <f>+'HULP-velden'!$AL$112</f>
        <v>45</v>
      </c>
      <c r="AA96" s="331">
        <f>+'HULP-velden'!$AM$112</f>
        <v>55.000000000000007</v>
      </c>
      <c r="AB96" s="331">
        <f>+'HULP-velden'!$AN$112</f>
        <v>65</v>
      </c>
      <c r="AC96" s="331">
        <f>+'HULP-velden'!$AO$112</f>
        <v>75</v>
      </c>
      <c r="AD96" s="331">
        <f>+'HULP-velden'!$AP$112</f>
        <v>85</v>
      </c>
      <c r="AE96" s="331">
        <f>+'HULP-velden'!$AP$108</f>
        <v>87</v>
      </c>
    </row>
    <row r="97" spans="16:31" ht="27.95" customHeight="1" x14ac:dyDescent="0.25">
      <c r="P97" s="223"/>
      <c r="Q97" s="223"/>
      <c r="R97" s="223"/>
      <c r="S97" s="223"/>
      <c r="T97" s="223"/>
      <c r="U97" s="223"/>
      <c r="V97" s="226">
        <f>'HULP-velden'!$AE$113</f>
        <v>409000</v>
      </c>
      <c r="W97" s="223"/>
      <c r="X97" s="331">
        <f>+'HULP-velden'!$AJ$113</f>
        <v>24.5</v>
      </c>
      <c r="Y97" s="331">
        <f>+'HULP-velden'!$AK$113</f>
        <v>34.5</v>
      </c>
      <c r="Z97" s="331">
        <f>+'HULP-velden'!$AL$113</f>
        <v>44.5</v>
      </c>
      <c r="AA97" s="331">
        <f>+'HULP-velden'!$AM$113</f>
        <v>54.500000000000007</v>
      </c>
      <c r="AB97" s="331">
        <f>+'HULP-velden'!$AN$113</f>
        <v>64.5</v>
      </c>
      <c r="AC97" s="331">
        <f>+'HULP-velden'!$AO$113</f>
        <v>74.5</v>
      </c>
      <c r="AD97" s="331">
        <f>+'HULP-velden'!$AP$113</f>
        <v>84.5</v>
      </c>
      <c r="AE97" s="331">
        <f>+'HULP-velden'!$AP$109</f>
        <v>86.5</v>
      </c>
    </row>
    <row r="98" spans="16:31" ht="27.95" customHeight="1" x14ac:dyDescent="0.25">
      <c r="P98" s="223"/>
      <c r="Q98" s="223"/>
      <c r="R98" s="223"/>
      <c r="S98" s="223"/>
      <c r="T98" s="223"/>
      <c r="U98" s="223"/>
      <c r="V98" s="226">
        <f>'HULP-velden'!$AE$114</f>
        <v>408000</v>
      </c>
      <c r="W98" s="223"/>
      <c r="X98" s="331">
        <f>+'HULP-velden'!$AJ$114</f>
        <v>24</v>
      </c>
      <c r="Y98" s="331">
        <f>+'HULP-velden'!$AK$114</f>
        <v>34</v>
      </c>
      <c r="Z98" s="331">
        <f>+'HULP-velden'!$AL$114</f>
        <v>44</v>
      </c>
      <c r="AA98" s="331">
        <f>+'HULP-velden'!$AM$114</f>
        <v>54</v>
      </c>
      <c r="AB98" s="331">
        <f>+'HULP-velden'!$AN$114</f>
        <v>64</v>
      </c>
      <c r="AC98" s="331">
        <f>+'HULP-velden'!$AO$114</f>
        <v>74</v>
      </c>
      <c r="AD98" s="331">
        <f>+'HULP-velden'!$AP$114</f>
        <v>84</v>
      </c>
      <c r="AE98" s="331">
        <f>+'HULP-velden'!$AP$110</f>
        <v>86</v>
      </c>
    </row>
    <row r="99" spans="16:31" ht="27.95" customHeight="1" x14ac:dyDescent="0.25">
      <c r="P99" s="223"/>
      <c r="Q99" s="223"/>
      <c r="R99" s="223"/>
      <c r="S99" s="223"/>
      <c r="T99" s="223"/>
      <c r="U99" s="223"/>
      <c r="V99" s="226">
        <f>'HULP-velden'!$AE$115</f>
        <v>407000</v>
      </c>
      <c r="W99" s="223"/>
      <c r="X99" s="331">
        <f>+'HULP-velden'!$AJ$115</f>
        <v>23.5</v>
      </c>
      <c r="Y99" s="331">
        <f>+'HULP-velden'!$AK$115</f>
        <v>33.5</v>
      </c>
      <c r="Z99" s="331">
        <f>+'HULP-velden'!$AL$115</f>
        <v>43.5</v>
      </c>
      <c r="AA99" s="331">
        <f>+'HULP-velden'!$AM$115</f>
        <v>53.5</v>
      </c>
      <c r="AB99" s="331">
        <f>+'HULP-velden'!$AN$115</f>
        <v>63.5</v>
      </c>
      <c r="AC99" s="331">
        <f>+'HULP-velden'!$AO$115</f>
        <v>73.5</v>
      </c>
      <c r="AD99" s="331">
        <f>+'HULP-velden'!$AP$115</f>
        <v>83.5</v>
      </c>
      <c r="AE99" s="331">
        <f>+'HULP-velden'!$AP$111</f>
        <v>85.5</v>
      </c>
    </row>
    <row r="100" spans="16:31" ht="27.95" customHeight="1" x14ac:dyDescent="0.25">
      <c r="P100" s="223"/>
      <c r="Q100" s="223"/>
      <c r="R100" s="223"/>
      <c r="S100" s="223"/>
      <c r="T100" s="223"/>
      <c r="U100" s="223"/>
      <c r="V100" s="226">
        <f>'HULP-velden'!$AE$116</f>
        <v>406000</v>
      </c>
      <c r="W100" s="223"/>
      <c r="X100" s="331">
        <f>+'HULP-velden'!$AJ$116</f>
        <v>23</v>
      </c>
      <c r="Y100" s="331">
        <f>+'HULP-velden'!$AK$116</f>
        <v>33</v>
      </c>
      <c r="Z100" s="331">
        <f>+'HULP-velden'!$AL$116</f>
        <v>43</v>
      </c>
      <c r="AA100" s="331">
        <f>+'HULP-velden'!$AM$116</f>
        <v>53</v>
      </c>
      <c r="AB100" s="331">
        <f>+'HULP-velden'!$AN$116</f>
        <v>63</v>
      </c>
      <c r="AC100" s="331">
        <f>+'HULP-velden'!$AO$116</f>
        <v>73</v>
      </c>
      <c r="AD100" s="331">
        <f>+'HULP-velden'!$AP$116</f>
        <v>83</v>
      </c>
      <c r="AE100" s="331">
        <f>+'HULP-velden'!$AP$112</f>
        <v>85</v>
      </c>
    </row>
    <row r="101" spans="16:31" ht="27.95" customHeight="1" x14ac:dyDescent="0.25">
      <c r="P101" s="223"/>
      <c r="Q101" s="223"/>
      <c r="R101" s="223"/>
      <c r="S101" s="223"/>
      <c r="T101" s="223"/>
      <c r="U101" s="223"/>
      <c r="V101" s="226">
        <f>'HULP-velden'!$AE$117</f>
        <v>405000</v>
      </c>
      <c r="W101" s="223"/>
      <c r="X101" s="331">
        <f>+'HULP-velden'!$AJ$117</f>
        <v>22.5</v>
      </c>
      <c r="Y101" s="331">
        <f>+'HULP-velden'!$AK$117</f>
        <v>32.5</v>
      </c>
      <c r="Z101" s="331">
        <f>+'HULP-velden'!$AL$117</f>
        <v>42.5</v>
      </c>
      <c r="AA101" s="331">
        <f>+'HULP-velden'!$AM$117</f>
        <v>52.5</v>
      </c>
      <c r="AB101" s="331">
        <f>+'HULP-velden'!$AN$117</f>
        <v>62.5</v>
      </c>
      <c r="AC101" s="331">
        <f>+'HULP-velden'!$AO$117</f>
        <v>72.5</v>
      </c>
      <c r="AD101" s="331">
        <f>+'HULP-velden'!$AP$117</f>
        <v>82.5</v>
      </c>
      <c r="AE101" s="331">
        <f>+'HULP-velden'!$AP$113</f>
        <v>84.5</v>
      </c>
    </row>
    <row r="102" spans="16:31" ht="27.95" customHeight="1" x14ac:dyDescent="0.25">
      <c r="P102" s="223"/>
      <c r="Q102" s="223"/>
      <c r="R102" s="223"/>
      <c r="S102" s="223"/>
      <c r="T102" s="223"/>
      <c r="U102" s="223"/>
      <c r="V102" s="226">
        <f>'HULP-velden'!$AE$118</f>
        <v>404000</v>
      </c>
      <c r="W102" s="223"/>
      <c r="X102" s="331">
        <f>+'HULP-velden'!$AJ$118</f>
        <v>22</v>
      </c>
      <c r="Y102" s="331">
        <f>+'HULP-velden'!$AK$118</f>
        <v>32</v>
      </c>
      <c r="Z102" s="331">
        <f>+'HULP-velden'!$AL$118</f>
        <v>42</v>
      </c>
      <c r="AA102" s="331">
        <f>+'HULP-velden'!$AM$118</f>
        <v>52</v>
      </c>
      <c r="AB102" s="331">
        <f>+'HULP-velden'!$AN$118</f>
        <v>62</v>
      </c>
      <c r="AC102" s="331">
        <f>+'HULP-velden'!$AO$118</f>
        <v>72</v>
      </c>
      <c r="AD102" s="331">
        <f>+'HULP-velden'!$AP$118</f>
        <v>82</v>
      </c>
      <c r="AE102" s="331">
        <f>+'HULP-velden'!$AP$114</f>
        <v>84</v>
      </c>
    </row>
    <row r="103" spans="16:31" ht="27.95" customHeight="1" x14ac:dyDescent="0.25">
      <c r="P103" s="223"/>
      <c r="Q103" s="223"/>
      <c r="R103" s="223"/>
      <c r="S103" s="223"/>
      <c r="T103" s="223"/>
      <c r="U103" s="223"/>
      <c r="V103" s="226">
        <f>'HULP-velden'!$AE$119</f>
        <v>403000</v>
      </c>
      <c r="W103" s="223"/>
      <c r="X103" s="331">
        <f>+'HULP-velden'!$AJ$119</f>
        <v>21.5</v>
      </c>
      <c r="Y103" s="331">
        <f>+'HULP-velden'!$AK$119</f>
        <v>31.5</v>
      </c>
      <c r="Z103" s="331">
        <f>+'HULP-velden'!$AL$119</f>
        <v>41.5</v>
      </c>
      <c r="AA103" s="331">
        <f>+'HULP-velden'!$AM$119</f>
        <v>51.5</v>
      </c>
      <c r="AB103" s="331">
        <f>+'HULP-velden'!$AN$119</f>
        <v>61.5</v>
      </c>
      <c r="AC103" s="331">
        <f>+'HULP-velden'!$AO$119</f>
        <v>71.5</v>
      </c>
      <c r="AD103" s="331">
        <f>+'HULP-velden'!$AP$119</f>
        <v>81.5</v>
      </c>
      <c r="AE103" s="331">
        <f>+'HULP-velden'!$AP$115</f>
        <v>83.5</v>
      </c>
    </row>
    <row r="104" spans="16:31" ht="27.95" customHeight="1" x14ac:dyDescent="0.25">
      <c r="P104" s="223"/>
      <c r="Q104" s="223"/>
      <c r="R104" s="223"/>
      <c r="S104" s="223"/>
      <c r="T104" s="223"/>
      <c r="U104" s="223"/>
      <c r="V104" s="226">
        <f>'HULP-velden'!$AE$120</f>
        <v>402000</v>
      </c>
      <c r="W104" s="223"/>
      <c r="X104" s="331">
        <f>+'HULP-velden'!$AJ$120</f>
        <v>21</v>
      </c>
      <c r="Y104" s="331">
        <f>+'HULP-velden'!$AK$120</f>
        <v>31</v>
      </c>
      <c r="Z104" s="331">
        <f>+'HULP-velden'!$AL$120</f>
        <v>41</v>
      </c>
      <c r="AA104" s="331">
        <f>+'HULP-velden'!$AM$120</f>
        <v>51</v>
      </c>
      <c r="AB104" s="331">
        <f>+'HULP-velden'!$AN$120</f>
        <v>61</v>
      </c>
      <c r="AC104" s="331">
        <f>+'HULP-velden'!$AO$120</f>
        <v>71</v>
      </c>
      <c r="AD104" s="331">
        <f>+'HULP-velden'!$AP$120</f>
        <v>81</v>
      </c>
      <c r="AE104" s="331">
        <f>+'HULP-velden'!$AP$116</f>
        <v>83</v>
      </c>
    </row>
    <row r="105" spans="16:31" ht="27.95" customHeight="1" x14ac:dyDescent="0.25">
      <c r="P105" s="223"/>
      <c r="Q105" s="223"/>
      <c r="R105" s="223"/>
      <c r="S105" s="223"/>
      <c r="T105" s="223"/>
      <c r="U105" s="223"/>
      <c r="V105" s="226">
        <f>'HULP-velden'!$AE$121</f>
        <v>401000</v>
      </c>
      <c r="W105" s="223"/>
      <c r="X105" s="331">
        <f>+'HULP-velden'!$AJ$121</f>
        <v>20.5</v>
      </c>
      <c r="Y105" s="331">
        <f>+'HULP-velden'!$AK$121</f>
        <v>30.5</v>
      </c>
      <c r="Z105" s="331">
        <f>+'HULP-velden'!$AL$121</f>
        <v>40.5</v>
      </c>
      <c r="AA105" s="331">
        <f>+'HULP-velden'!$AM$121</f>
        <v>50.5</v>
      </c>
      <c r="AB105" s="331">
        <f>+'HULP-velden'!$AN$121</f>
        <v>60.5</v>
      </c>
      <c r="AC105" s="331">
        <f>+'HULP-velden'!$AO$121</f>
        <v>70.5</v>
      </c>
      <c r="AD105" s="331">
        <f>+'HULP-velden'!$AP$121</f>
        <v>80.5</v>
      </c>
      <c r="AE105" s="331">
        <f>+'HULP-velden'!$AP$117</f>
        <v>82.5</v>
      </c>
    </row>
    <row r="106" spans="16:31" ht="27.95" customHeight="1" x14ac:dyDescent="0.25">
      <c r="P106" s="223"/>
      <c r="Q106" s="223"/>
      <c r="R106" s="223"/>
      <c r="S106" s="223"/>
      <c r="T106" s="223"/>
      <c r="U106" s="223"/>
      <c r="V106" s="226">
        <f>'HULP-velden'!$AE$122</f>
        <v>400000</v>
      </c>
      <c r="W106" s="223"/>
      <c r="X106" s="331">
        <f>+'HULP-velden'!$AJ$122</f>
        <v>20</v>
      </c>
      <c r="Y106" s="331">
        <f>+'HULP-velden'!$AK$122</f>
        <v>30</v>
      </c>
      <c r="Z106" s="331">
        <f>+'HULP-velden'!$AL$122</f>
        <v>40</v>
      </c>
      <c r="AA106" s="331">
        <f>+'HULP-velden'!$AM$122</f>
        <v>50</v>
      </c>
      <c r="AB106" s="331">
        <f>+'HULP-velden'!$AN$122</f>
        <v>60</v>
      </c>
      <c r="AC106" s="331">
        <f>+'HULP-velden'!$AO$122</f>
        <v>70</v>
      </c>
      <c r="AD106" s="331">
        <f>+'HULP-velden'!$AP$122</f>
        <v>80</v>
      </c>
      <c r="AE106" s="331">
        <f>+'HULP-velden'!$AP$118</f>
        <v>82</v>
      </c>
    </row>
    <row r="107" spans="16:31" ht="27.95" customHeight="1" x14ac:dyDescent="0.25">
      <c r="P107" s="223"/>
      <c r="Q107" s="223"/>
      <c r="R107" s="223"/>
      <c r="S107" s="223"/>
      <c r="T107" s="223"/>
      <c r="U107" s="223"/>
      <c r="V107" s="226">
        <f>'HULP-velden'!$AE$123</f>
        <v>399000</v>
      </c>
      <c r="W107" s="223"/>
      <c r="X107" s="331">
        <f>+'HULP-velden'!$AJ$123</f>
        <v>19.5</v>
      </c>
      <c r="Y107" s="331">
        <f>+'HULP-velden'!$AK$123</f>
        <v>29.5</v>
      </c>
      <c r="Z107" s="331">
        <f>+'HULP-velden'!$AL$123</f>
        <v>39.5</v>
      </c>
      <c r="AA107" s="331">
        <f>+'HULP-velden'!$AM$123</f>
        <v>49.5</v>
      </c>
      <c r="AB107" s="331">
        <f>+'HULP-velden'!$AN$123</f>
        <v>59.5</v>
      </c>
      <c r="AC107" s="331">
        <f>+'HULP-velden'!$AO$123</f>
        <v>69.5</v>
      </c>
      <c r="AD107" s="331">
        <f>+'HULP-velden'!$AP$123</f>
        <v>79.5</v>
      </c>
      <c r="AE107" s="331">
        <f>+'HULP-velden'!$AP$119</f>
        <v>81.5</v>
      </c>
    </row>
    <row r="108" spans="16:31" ht="15" customHeight="1" x14ac:dyDescent="0.25">
      <c r="P108" s="223"/>
      <c r="Q108" s="223"/>
      <c r="R108" s="223"/>
      <c r="S108" s="223"/>
      <c r="T108" s="223"/>
      <c r="U108" s="223"/>
      <c r="V108" s="226">
        <f>'HULP-velden'!$AE$124</f>
        <v>398000</v>
      </c>
      <c r="W108" s="223"/>
      <c r="X108" s="331">
        <f>+'HULP-velden'!$AJ$124</f>
        <v>19</v>
      </c>
      <c r="Y108" s="331">
        <f>+'HULP-velden'!$AK$124</f>
        <v>28.999999999999996</v>
      </c>
      <c r="Z108" s="331">
        <f>+'HULP-velden'!$AL$124</f>
        <v>39</v>
      </c>
      <c r="AA108" s="331">
        <f>+'HULP-velden'!$AM$124</f>
        <v>49</v>
      </c>
      <c r="AB108" s="331">
        <f>+'HULP-velden'!$AN$124</f>
        <v>59</v>
      </c>
      <c r="AC108" s="331">
        <f>+'HULP-velden'!$AO$124</f>
        <v>69</v>
      </c>
      <c r="AD108" s="331">
        <f>+'HULP-velden'!$AP$124</f>
        <v>79</v>
      </c>
      <c r="AE108" s="331">
        <f>+'HULP-velden'!$AP$120</f>
        <v>81</v>
      </c>
    </row>
    <row r="109" spans="16:31" ht="15" customHeight="1" x14ac:dyDescent="0.25">
      <c r="P109" s="223"/>
      <c r="Q109" s="223"/>
      <c r="R109" s="223"/>
      <c r="S109" s="223"/>
      <c r="T109" s="223"/>
      <c r="U109" s="223"/>
      <c r="V109" s="226">
        <f>'HULP-velden'!$AE$125</f>
        <v>397000</v>
      </c>
      <c r="W109" s="223"/>
      <c r="X109" s="331">
        <f>+'HULP-velden'!$AJ$125</f>
        <v>18.5</v>
      </c>
      <c r="Y109" s="331">
        <f>+'HULP-velden'!$AK$125</f>
        <v>28.499999999999996</v>
      </c>
      <c r="Z109" s="331">
        <f>+'HULP-velden'!$AL$125</f>
        <v>38.5</v>
      </c>
      <c r="AA109" s="331">
        <f>+'HULP-velden'!$AM$125</f>
        <v>48.5</v>
      </c>
      <c r="AB109" s="331">
        <f>+'HULP-velden'!$AN$125</f>
        <v>58.5</v>
      </c>
      <c r="AC109" s="331">
        <f>+'HULP-velden'!$AO$125</f>
        <v>68.5</v>
      </c>
      <c r="AD109" s="331">
        <f>+'HULP-velden'!$AP$125</f>
        <v>78.5</v>
      </c>
      <c r="AE109" s="331">
        <f>+'HULP-velden'!$AP$121</f>
        <v>80.5</v>
      </c>
    </row>
    <row r="110" spans="16:31" ht="15" customHeight="1" x14ac:dyDescent="0.25">
      <c r="P110" s="223"/>
      <c r="Q110" s="223"/>
      <c r="R110" s="223"/>
      <c r="S110" s="223"/>
      <c r="T110" s="223"/>
      <c r="U110" s="223"/>
      <c r="V110" s="226">
        <f>'HULP-velden'!$AE$126</f>
        <v>396000</v>
      </c>
      <c r="W110" s="223"/>
      <c r="X110" s="331">
        <f>+'HULP-velden'!$AJ$126</f>
        <v>18</v>
      </c>
      <c r="Y110" s="331">
        <f>+'HULP-velden'!$AK$126</f>
        <v>28.000000000000004</v>
      </c>
      <c r="Z110" s="331">
        <f>+'HULP-velden'!$AL$126</f>
        <v>38</v>
      </c>
      <c r="AA110" s="331">
        <f>+'HULP-velden'!$AM$126</f>
        <v>48</v>
      </c>
      <c r="AB110" s="331">
        <f>+'HULP-velden'!$AN$126</f>
        <v>57.999999999999993</v>
      </c>
      <c r="AC110" s="331">
        <f>+'HULP-velden'!$AO$126</f>
        <v>68</v>
      </c>
      <c r="AD110" s="331">
        <f>+'HULP-velden'!$AP$126</f>
        <v>78</v>
      </c>
      <c r="AE110" s="331">
        <f>+'HULP-velden'!$AP$122</f>
        <v>80</v>
      </c>
    </row>
    <row r="111" spans="16:31" ht="15" customHeight="1" x14ac:dyDescent="0.25">
      <c r="P111" s="223"/>
      <c r="Q111" s="223"/>
      <c r="R111" s="223"/>
      <c r="S111" s="223"/>
      <c r="T111" s="223"/>
      <c r="U111" s="223"/>
      <c r="V111" s="226">
        <f>'HULP-velden'!$AE$127</f>
        <v>395000</v>
      </c>
      <c r="W111" s="223"/>
      <c r="X111" s="331">
        <f>+'HULP-velden'!$AJ$127</f>
        <v>17.5</v>
      </c>
      <c r="Y111" s="331">
        <f>+'HULP-velden'!$AK$127</f>
        <v>27.500000000000004</v>
      </c>
      <c r="Z111" s="331">
        <f>+'HULP-velden'!$AL$127</f>
        <v>37.5</v>
      </c>
      <c r="AA111" s="331">
        <f>+'HULP-velden'!$AM$127</f>
        <v>47.5</v>
      </c>
      <c r="AB111" s="331">
        <f>+'HULP-velden'!$AN$127</f>
        <v>57.499999999999993</v>
      </c>
      <c r="AC111" s="331">
        <f>+'HULP-velden'!$AO$127</f>
        <v>67.5</v>
      </c>
      <c r="AD111" s="331">
        <f>+'HULP-velden'!$AP$127</f>
        <v>77.5</v>
      </c>
      <c r="AE111" s="331">
        <f>+'HULP-velden'!$AP$123</f>
        <v>79.5</v>
      </c>
    </row>
    <row r="112" spans="16:31" ht="15" customHeight="1" x14ac:dyDescent="0.25">
      <c r="P112" s="223"/>
      <c r="Q112" s="223"/>
      <c r="R112" s="223"/>
      <c r="S112" s="223"/>
      <c r="T112" s="223"/>
      <c r="U112" s="223"/>
      <c r="V112" s="226">
        <f>'HULP-velden'!$AE$128</f>
        <v>394000</v>
      </c>
      <c r="W112" s="223"/>
      <c r="X112" s="331">
        <f>+'HULP-velden'!$AJ$128</f>
        <v>17</v>
      </c>
      <c r="Y112" s="331">
        <f>+'HULP-velden'!$AK$128</f>
        <v>27</v>
      </c>
      <c r="Z112" s="331">
        <f>+'HULP-velden'!$AL$128</f>
        <v>37</v>
      </c>
      <c r="AA112" s="331">
        <f>+'HULP-velden'!$AM$128</f>
        <v>47</v>
      </c>
      <c r="AB112" s="331">
        <f>+'HULP-velden'!$AN$128</f>
        <v>56.999999999999993</v>
      </c>
      <c r="AC112" s="331">
        <f>+'HULP-velden'!$AO$128</f>
        <v>67</v>
      </c>
      <c r="AD112" s="331">
        <f>+'HULP-velden'!$AP$128</f>
        <v>77</v>
      </c>
      <c r="AE112" s="331">
        <f>+'HULP-velden'!$AP$124</f>
        <v>79</v>
      </c>
    </row>
    <row r="113" spans="16:31" ht="15" customHeight="1" x14ac:dyDescent="0.25">
      <c r="P113" s="223"/>
      <c r="Q113" s="223"/>
      <c r="R113" s="223"/>
      <c r="S113" s="223"/>
      <c r="T113" s="223"/>
      <c r="U113" s="223"/>
      <c r="V113" s="226">
        <f>'HULP-velden'!$AE$129</f>
        <v>393000</v>
      </c>
      <c r="W113" s="223"/>
      <c r="X113" s="331">
        <f>+'HULP-velden'!$AJ$129</f>
        <v>16.5</v>
      </c>
      <c r="Y113" s="331">
        <f>+'HULP-velden'!$AK$129</f>
        <v>26.5</v>
      </c>
      <c r="Z113" s="331">
        <f>+'HULP-velden'!$AL$129</f>
        <v>36.5</v>
      </c>
      <c r="AA113" s="331">
        <f>+'HULP-velden'!$AM$129</f>
        <v>46.5</v>
      </c>
      <c r="AB113" s="331">
        <f>+'HULP-velden'!$AN$129</f>
        <v>56.499999999999993</v>
      </c>
      <c r="AC113" s="331">
        <f>+'HULP-velden'!$AO$129</f>
        <v>66.5</v>
      </c>
      <c r="AD113" s="331">
        <f>+'HULP-velden'!$AP$129</f>
        <v>76.5</v>
      </c>
      <c r="AE113" s="331">
        <f>+'HULP-velden'!$AP$125</f>
        <v>78.5</v>
      </c>
    </row>
    <row r="114" spans="16:31" ht="15" customHeight="1" x14ac:dyDescent="0.25">
      <c r="P114" s="223"/>
      <c r="Q114" s="223"/>
      <c r="R114" s="223"/>
      <c r="S114" s="223"/>
      <c r="T114" s="223"/>
      <c r="U114" s="223"/>
      <c r="V114" s="226">
        <f>'HULP-velden'!$AE$130</f>
        <v>392000</v>
      </c>
      <c r="W114" s="223"/>
      <c r="X114" s="331">
        <f>+'HULP-velden'!$AJ$130</f>
        <v>16</v>
      </c>
      <c r="Y114" s="331">
        <f>+'HULP-velden'!$AK$130</f>
        <v>26</v>
      </c>
      <c r="Z114" s="331">
        <f>+'HULP-velden'!$AL$130</f>
        <v>36</v>
      </c>
      <c r="AA114" s="331">
        <f>+'HULP-velden'!$AM$130</f>
        <v>46</v>
      </c>
      <c r="AB114" s="331">
        <f>+'HULP-velden'!$AN$130</f>
        <v>56.000000000000007</v>
      </c>
      <c r="AC114" s="331">
        <f>+'HULP-velden'!$AO$130</f>
        <v>66</v>
      </c>
      <c r="AD114" s="331">
        <f>+'HULP-velden'!$AP$130</f>
        <v>76</v>
      </c>
      <c r="AE114" s="331">
        <f>+'HULP-velden'!$AP$126</f>
        <v>78</v>
      </c>
    </row>
    <row r="115" spans="16:31" ht="15" customHeight="1" x14ac:dyDescent="0.25">
      <c r="P115" s="223"/>
      <c r="Q115" s="223"/>
      <c r="R115" s="223"/>
      <c r="S115" s="223"/>
      <c r="T115" s="223"/>
      <c r="U115" s="223"/>
      <c r="V115" s="226">
        <f>'HULP-velden'!$AE$131</f>
        <v>391000</v>
      </c>
      <c r="W115" s="223"/>
      <c r="X115" s="331">
        <f>+'HULP-velden'!$AJ$131</f>
        <v>15.5</v>
      </c>
      <c r="Y115" s="331">
        <f>+'HULP-velden'!$AK$131</f>
        <v>25.5</v>
      </c>
      <c r="Z115" s="331">
        <f>+'HULP-velden'!$AL$131</f>
        <v>35.5</v>
      </c>
      <c r="AA115" s="331">
        <f>+'HULP-velden'!$AM$131</f>
        <v>45.5</v>
      </c>
      <c r="AB115" s="331">
        <f>+'HULP-velden'!$AN$131</f>
        <v>55.500000000000007</v>
      </c>
      <c r="AC115" s="331">
        <f>+'HULP-velden'!$AO$131</f>
        <v>65.5</v>
      </c>
      <c r="AD115" s="331">
        <f>+'HULP-velden'!$AP$131</f>
        <v>75.5</v>
      </c>
      <c r="AE115" s="331">
        <f>+'HULP-velden'!$AP$127</f>
        <v>77.5</v>
      </c>
    </row>
    <row r="116" spans="16:31" ht="15" customHeight="1" x14ac:dyDescent="0.25">
      <c r="P116" s="223"/>
      <c r="Q116" s="223"/>
      <c r="R116" s="223"/>
      <c r="S116" s="223"/>
      <c r="T116" s="223"/>
      <c r="U116" s="223"/>
      <c r="V116" s="226">
        <f>'HULP-velden'!$AE$132</f>
        <v>390000</v>
      </c>
      <c r="W116" s="223"/>
      <c r="X116" s="331">
        <f>+'HULP-velden'!$AJ$132</f>
        <v>15</v>
      </c>
      <c r="Y116" s="331">
        <f>+'HULP-velden'!$AK$132</f>
        <v>25</v>
      </c>
      <c r="Z116" s="331">
        <f>+'HULP-velden'!$AL$132</f>
        <v>35</v>
      </c>
      <c r="AA116" s="331">
        <f>+'HULP-velden'!$AM$132</f>
        <v>45</v>
      </c>
      <c r="AB116" s="331">
        <f>+'HULP-velden'!$AN$132</f>
        <v>55.000000000000007</v>
      </c>
      <c r="AC116" s="331">
        <f>+'HULP-velden'!$AO$132</f>
        <v>65</v>
      </c>
      <c r="AD116" s="331">
        <f>+'HULP-velden'!$AP$132</f>
        <v>75</v>
      </c>
      <c r="AE116" s="331">
        <f>+'HULP-velden'!$AP$128</f>
        <v>77</v>
      </c>
    </row>
    <row r="117" spans="16:31" ht="15" customHeight="1" x14ac:dyDescent="0.25">
      <c r="P117" s="223"/>
      <c r="Q117" s="223"/>
      <c r="R117" s="223"/>
      <c r="S117" s="223"/>
      <c r="T117" s="223"/>
      <c r="U117" s="223"/>
      <c r="V117" s="226">
        <f>'HULP-velden'!$AE$133</f>
        <v>389000</v>
      </c>
      <c r="W117" s="223"/>
      <c r="X117" s="331">
        <f>+'HULP-velden'!$AJ$133</f>
        <v>14.499999999999998</v>
      </c>
      <c r="Y117" s="331">
        <f>+'HULP-velden'!$AK$133</f>
        <v>24.5</v>
      </c>
      <c r="Z117" s="331">
        <f>+'HULP-velden'!$AL$133</f>
        <v>34.5</v>
      </c>
      <c r="AA117" s="331">
        <f>+'HULP-velden'!$AM$133</f>
        <v>44.5</v>
      </c>
      <c r="AB117" s="331">
        <f>+'HULP-velden'!$AN$133</f>
        <v>54.500000000000007</v>
      </c>
      <c r="AC117" s="331">
        <f>+'HULP-velden'!$AO$133</f>
        <v>64.5</v>
      </c>
      <c r="AD117" s="331">
        <f>+'HULP-velden'!$AP$133</f>
        <v>74.5</v>
      </c>
      <c r="AE117" s="331">
        <f>+'HULP-velden'!$AP$129</f>
        <v>76.5</v>
      </c>
    </row>
    <row r="118" spans="16:31" ht="15" customHeight="1" x14ac:dyDescent="0.25">
      <c r="P118" s="223"/>
      <c r="Q118" s="223"/>
      <c r="R118" s="223"/>
      <c r="S118" s="223"/>
      <c r="T118" s="223"/>
      <c r="U118" s="223"/>
      <c r="V118" s="226">
        <f>'HULP-velden'!$AE$134</f>
        <v>388000</v>
      </c>
      <c r="W118" s="223"/>
      <c r="X118" s="331">
        <f>+'HULP-velden'!$AJ$134</f>
        <v>14.000000000000002</v>
      </c>
      <c r="Y118" s="331">
        <f>+'HULP-velden'!$AK$134</f>
        <v>24</v>
      </c>
      <c r="Z118" s="331">
        <f>+'HULP-velden'!$AL$134</f>
        <v>34</v>
      </c>
      <c r="AA118" s="331">
        <f>+'HULP-velden'!$AM$134</f>
        <v>44</v>
      </c>
      <c r="AB118" s="331">
        <f>+'HULP-velden'!$AN$134</f>
        <v>54</v>
      </c>
      <c r="AC118" s="331">
        <f>+'HULP-velden'!$AO$134</f>
        <v>64</v>
      </c>
      <c r="AD118" s="331">
        <f>+'HULP-velden'!$AP$134</f>
        <v>74</v>
      </c>
      <c r="AE118" s="331">
        <f>+'HULP-velden'!$AP$130</f>
        <v>76</v>
      </c>
    </row>
    <row r="119" spans="16:31" ht="15" customHeight="1" x14ac:dyDescent="0.25">
      <c r="P119" s="223"/>
      <c r="Q119" s="223"/>
      <c r="R119" s="223"/>
      <c r="S119" s="223"/>
      <c r="T119" s="223"/>
      <c r="U119" s="223"/>
      <c r="V119" s="226">
        <f>'HULP-velden'!$AE$135</f>
        <v>387000</v>
      </c>
      <c r="W119" s="223"/>
      <c r="X119" s="331">
        <f>+'HULP-velden'!$AJ$135</f>
        <v>13.5</v>
      </c>
      <c r="Y119" s="331">
        <f>+'HULP-velden'!$AK$135</f>
        <v>23.5</v>
      </c>
      <c r="Z119" s="331">
        <f>+'HULP-velden'!$AL$135</f>
        <v>33.5</v>
      </c>
      <c r="AA119" s="331">
        <f>+'HULP-velden'!$AM$135</f>
        <v>43.5</v>
      </c>
      <c r="AB119" s="331">
        <f>+'HULP-velden'!$AN$135</f>
        <v>53.5</v>
      </c>
      <c r="AC119" s="331">
        <f>+'HULP-velden'!$AO$135</f>
        <v>63.5</v>
      </c>
      <c r="AD119" s="331">
        <f>+'HULP-velden'!$AP$135</f>
        <v>73.5</v>
      </c>
      <c r="AE119" s="331">
        <f>+'HULP-velden'!$AP$131</f>
        <v>75.5</v>
      </c>
    </row>
    <row r="120" spans="16:31" ht="15" customHeight="1" x14ac:dyDescent="0.25">
      <c r="P120" s="223"/>
      <c r="Q120" s="223"/>
      <c r="R120" s="223"/>
      <c r="S120" s="223"/>
      <c r="T120" s="223"/>
      <c r="U120" s="223"/>
      <c r="V120" s="226">
        <f>'HULP-velden'!$AE$136</f>
        <v>386000</v>
      </c>
      <c r="W120" s="223"/>
      <c r="X120" s="331">
        <f>+'HULP-velden'!$AJ$136</f>
        <v>13</v>
      </c>
      <c r="Y120" s="331">
        <f>+'HULP-velden'!$AK$136</f>
        <v>23</v>
      </c>
      <c r="Z120" s="331">
        <f>+'HULP-velden'!$AL$136</f>
        <v>33</v>
      </c>
      <c r="AA120" s="331">
        <f>+'HULP-velden'!$AM$136</f>
        <v>43</v>
      </c>
      <c r="AB120" s="331">
        <f>+'HULP-velden'!$AN$136</f>
        <v>53</v>
      </c>
      <c r="AC120" s="331">
        <f>+'HULP-velden'!$AO$136</f>
        <v>63</v>
      </c>
      <c r="AD120" s="331">
        <f>+'HULP-velden'!$AP$136</f>
        <v>73</v>
      </c>
      <c r="AE120" s="331">
        <f>+'HULP-velden'!$AP$132</f>
        <v>75</v>
      </c>
    </row>
    <row r="121" spans="16:31" ht="15" customHeight="1" x14ac:dyDescent="0.25">
      <c r="P121" s="223"/>
      <c r="Q121" s="223"/>
      <c r="R121" s="223"/>
      <c r="S121" s="223"/>
      <c r="T121" s="223"/>
      <c r="U121" s="223"/>
      <c r="V121" s="226">
        <f>'HULP-velden'!$AE$137</f>
        <v>385000</v>
      </c>
      <c r="W121" s="223"/>
      <c r="X121" s="331">
        <f>+'HULP-velden'!$AJ$137</f>
        <v>12.5</v>
      </c>
      <c r="Y121" s="331">
        <f>+'HULP-velden'!$AK$137</f>
        <v>22.5</v>
      </c>
      <c r="Z121" s="331">
        <f>+'HULP-velden'!$AL$137</f>
        <v>32.5</v>
      </c>
      <c r="AA121" s="331">
        <f>+'HULP-velden'!$AM$137</f>
        <v>42.5</v>
      </c>
      <c r="AB121" s="331">
        <f>+'HULP-velden'!$AN$137</f>
        <v>52.5</v>
      </c>
      <c r="AC121" s="331">
        <f>+'HULP-velden'!$AO$137</f>
        <v>62.5</v>
      </c>
      <c r="AD121" s="331">
        <f>+'HULP-velden'!$AP$137</f>
        <v>72.5</v>
      </c>
      <c r="AE121" s="331">
        <f>+'HULP-velden'!$AP$133</f>
        <v>74.5</v>
      </c>
    </row>
    <row r="122" spans="16:31" ht="15" customHeight="1" x14ac:dyDescent="0.25">
      <c r="P122" s="223"/>
      <c r="Q122" s="223"/>
      <c r="R122" s="223"/>
      <c r="S122" s="223"/>
      <c r="T122" s="223"/>
      <c r="U122" s="223"/>
      <c r="V122" s="226">
        <f>'HULP-velden'!$AE$138</f>
        <v>384000</v>
      </c>
      <c r="W122" s="223"/>
      <c r="X122" s="331">
        <f>+'HULP-velden'!$AJ$138</f>
        <v>12</v>
      </c>
      <c r="Y122" s="331">
        <f>+'HULP-velden'!$AK$138</f>
        <v>22</v>
      </c>
      <c r="Z122" s="331">
        <f>+'HULP-velden'!$AL$138</f>
        <v>32</v>
      </c>
      <c r="AA122" s="331">
        <f>+'HULP-velden'!$AM$138</f>
        <v>42</v>
      </c>
      <c r="AB122" s="331">
        <f>+'HULP-velden'!$AN$138</f>
        <v>52</v>
      </c>
      <c r="AC122" s="331">
        <f>+'HULP-velden'!$AO$138</f>
        <v>62</v>
      </c>
      <c r="AD122" s="331">
        <f>+'HULP-velden'!$AP$138</f>
        <v>72</v>
      </c>
      <c r="AE122" s="331">
        <f>+'HULP-velden'!$AP$134</f>
        <v>74</v>
      </c>
    </row>
    <row r="123" spans="16:31" ht="15" customHeight="1" x14ac:dyDescent="0.25">
      <c r="P123" s="223"/>
      <c r="Q123" s="223"/>
      <c r="R123" s="223"/>
      <c r="S123" s="223"/>
      <c r="T123" s="223"/>
      <c r="U123" s="223"/>
      <c r="V123" s="226">
        <f>'HULP-velden'!$AE$139</f>
        <v>383000</v>
      </c>
      <c r="W123" s="223"/>
      <c r="X123" s="331">
        <f>+'HULP-velden'!$AJ$139</f>
        <v>11.5</v>
      </c>
      <c r="Y123" s="331">
        <f>+'HULP-velden'!$AK$139</f>
        <v>21.5</v>
      </c>
      <c r="Z123" s="331">
        <f>+'HULP-velden'!$AL$139</f>
        <v>31.5</v>
      </c>
      <c r="AA123" s="331">
        <f>+'HULP-velden'!$AM$139</f>
        <v>41.5</v>
      </c>
      <c r="AB123" s="331">
        <f>+'HULP-velden'!$AN$139</f>
        <v>51.5</v>
      </c>
      <c r="AC123" s="331">
        <f>+'HULP-velden'!$AO$139</f>
        <v>61.5</v>
      </c>
      <c r="AD123" s="331">
        <f>+'HULP-velden'!$AP$139</f>
        <v>71.5</v>
      </c>
      <c r="AE123" s="331">
        <f>+'HULP-velden'!$AP$135</f>
        <v>73.5</v>
      </c>
    </row>
    <row r="124" spans="16:31" ht="15" customHeight="1" x14ac:dyDescent="0.25">
      <c r="P124" s="223"/>
      <c r="Q124" s="223"/>
      <c r="R124" s="223"/>
      <c r="S124" s="223"/>
      <c r="T124" s="223"/>
      <c r="U124" s="223"/>
      <c r="V124" s="226">
        <f>'HULP-velden'!$AE$140</f>
        <v>382000</v>
      </c>
      <c r="W124" s="223"/>
      <c r="X124" s="331">
        <f>+'HULP-velden'!$AJ$140</f>
        <v>11</v>
      </c>
      <c r="Y124" s="331">
        <f>+'HULP-velden'!$AK$140</f>
        <v>21</v>
      </c>
      <c r="Z124" s="331">
        <f>+'HULP-velden'!$AL$140</f>
        <v>31</v>
      </c>
      <c r="AA124" s="331">
        <f>+'HULP-velden'!$AM$140</f>
        <v>41</v>
      </c>
      <c r="AB124" s="331">
        <f>+'HULP-velden'!$AN$140</f>
        <v>51</v>
      </c>
      <c r="AC124" s="331">
        <f>+'HULP-velden'!$AO$140</f>
        <v>61</v>
      </c>
      <c r="AD124" s="331">
        <f>+'HULP-velden'!$AP$140</f>
        <v>71</v>
      </c>
      <c r="AE124" s="331">
        <f>+'HULP-velden'!$AP$136</f>
        <v>73</v>
      </c>
    </row>
    <row r="125" spans="16:31" ht="15" customHeight="1" x14ac:dyDescent="0.25">
      <c r="P125" s="223"/>
      <c r="Q125" s="223"/>
      <c r="R125" s="223"/>
      <c r="S125" s="223"/>
      <c r="T125" s="223"/>
      <c r="U125" s="223"/>
      <c r="V125" s="226">
        <f>'HULP-velden'!$AE$141</f>
        <v>381000</v>
      </c>
      <c r="W125" s="223"/>
      <c r="X125" s="331">
        <f>+'HULP-velden'!$AJ$141</f>
        <v>10.5</v>
      </c>
      <c r="Y125" s="331">
        <f>+'HULP-velden'!$AK$141</f>
        <v>20.5</v>
      </c>
      <c r="Z125" s="331">
        <f>+'HULP-velden'!$AL$141</f>
        <v>30.5</v>
      </c>
      <c r="AA125" s="331">
        <f>+'HULP-velden'!$AM$141</f>
        <v>40.5</v>
      </c>
      <c r="AB125" s="331">
        <f>+'HULP-velden'!$AN$141</f>
        <v>50.5</v>
      </c>
      <c r="AC125" s="331">
        <f>+'HULP-velden'!$AO$141</f>
        <v>60.5</v>
      </c>
      <c r="AD125" s="331">
        <f>+'HULP-velden'!$AP$141</f>
        <v>70.5</v>
      </c>
      <c r="AE125" s="331">
        <f>+'HULP-velden'!$AP$137</f>
        <v>72.5</v>
      </c>
    </row>
    <row r="126" spans="16:31" ht="15" customHeight="1" x14ac:dyDescent="0.25">
      <c r="P126" s="223"/>
      <c r="Q126" s="223"/>
      <c r="R126" s="223"/>
      <c r="S126" s="223"/>
      <c r="T126" s="223"/>
      <c r="U126" s="223"/>
      <c r="V126" s="226">
        <f>'HULP-velden'!$AE$142</f>
        <v>380000</v>
      </c>
      <c r="W126" s="223"/>
      <c r="X126" s="331">
        <f>+'HULP-velden'!$AJ$142</f>
        <v>10</v>
      </c>
      <c r="Y126" s="331">
        <f>+'HULP-velden'!$AK$142</f>
        <v>20</v>
      </c>
      <c r="Z126" s="331">
        <f>+'HULP-velden'!$AL$142</f>
        <v>30</v>
      </c>
      <c r="AA126" s="331">
        <f>+'HULP-velden'!$AM$142</f>
        <v>40</v>
      </c>
      <c r="AB126" s="331">
        <f>+'HULP-velden'!$AN$142</f>
        <v>50</v>
      </c>
      <c r="AC126" s="331">
        <f>+'HULP-velden'!$AO$142</f>
        <v>60</v>
      </c>
      <c r="AD126" s="331">
        <f>+'HULP-velden'!$AP$142</f>
        <v>70</v>
      </c>
      <c r="AE126" s="331">
        <f>+'HULP-velden'!$AP$138</f>
        <v>72</v>
      </c>
    </row>
    <row r="127" spans="16:31" ht="15" customHeight="1" x14ac:dyDescent="0.25">
      <c r="P127" s="223"/>
      <c r="Q127" s="223"/>
      <c r="R127" s="223"/>
      <c r="S127" s="223"/>
      <c r="T127" s="223"/>
      <c r="U127" s="223"/>
      <c r="V127" s="226">
        <f>'HULP-velden'!$AE$143</f>
        <v>379000</v>
      </c>
      <c r="W127" s="223"/>
      <c r="X127" s="331">
        <f>+'HULP-velden'!$AJ$143</f>
        <v>9.5</v>
      </c>
      <c r="Y127" s="331">
        <f>+'HULP-velden'!$AK$143</f>
        <v>19.5</v>
      </c>
      <c r="Z127" s="331">
        <f>+'HULP-velden'!$AL$143</f>
        <v>29.5</v>
      </c>
      <c r="AA127" s="331">
        <f>+'HULP-velden'!$AM$143</f>
        <v>39.5</v>
      </c>
      <c r="AB127" s="331">
        <f>+'HULP-velden'!$AN$143</f>
        <v>49.5</v>
      </c>
      <c r="AC127" s="331">
        <f>+'HULP-velden'!$AO$143</f>
        <v>59.5</v>
      </c>
      <c r="AD127" s="331">
        <f>+'HULP-velden'!$AP$143</f>
        <v>69.5</v>
      </c>
      <c r="AE127" s="331">
        <f>+'HULP-velden'!$AP$139</f>
        <v>71.5</v>
      </c>
    </row>
    <row r="128" spans="16:31" ht="15" customHeight="1" x14ac:dyDescent="0.25">
      <c r="P128" s="223"/>
      <c r="Q128" s="223"/>
      <c r="R128" s="223"/>
      <c r="S128" s="223"/>
      <c r="T128" s="223"/>
      <c r="U128" s="223"/>
      <c r="V128" s="226">
        <f>'HULP-velden'!$AE$144</f>
        <v>378000</v>
      </c>
      <c r="W128" s="223"/>
      <c r="X128" s="331">
        <f>+'HULP-velden'!$AJ$144</f>
        <v>9</v>
      </c>
      <c r="Y128" s="331">
        <f>+'HULP-velden'!$AK$144</f>
        <v>19</v>
      </c>
      <c r="Z128" s="331">
        <f>+'HULP-velden'!$AL$144</f>
        <v>28.999999999999996</v>
      </c>
      <c r="AA128" s="331">
        <f>+'HULP-velden'!$AM$144</f>
        <v>39</v>
      </c>
      <c r="AB128" s="331">
        <f>+'HULP-velden'!$AN$144</f>
        <v>49</v>
      </c>
      <c r="AC128" s="331">
        <f>+'HULP-velden'!$AO$144</f>
        <v>59</v>
      </c>
      <c r="AD128" s="331">
        <f>+'HULP-velden'!$AP$144</f>
        <v>69</v>
      </c>
      <c r="AE128" s="331">
        <f>+'HULP-velden'!$AP$140</f>
        <v>71</v>
      </c>
    </row>
    <row r="129" spans="16:31" ht="15" customHeight="1" x14ac:dyDescent="0.25">
      <c r="P129" s="223"/>
      <c r="Q129" s="223"/>
      <c r="R129" s="223"/>
      <c r="S129" s="223"/>
      <c r="T129" s="223"/>
      <c r="U129" s="223"/>
      <c r="V129" s="226">
        <f>'HULP-velden'!$AE$145</f>
        <v>377000</v>
      </c>
      <c r="W129" s="223"/>
      <c r="X129" s="331">
        <f>+'HULP-velden'!$AJ$145</f>
        <v>8.5</v>
      </c>
      <c r="Y129" s="331">
        <f>+'HULP-velden'!$AK$145</f>
        <v>18.5</v>
      </c>
      <c r="Z129" s="331">
        <f>+'HULP-velden'!$AL$145</f>
        <v>28.499999999999996</v>
      </c>
      <c r="AA129" s="331">
        <f>+'HULP-velden'!$AM$145</f>
        <v>38.5</v>
      </c>
      <c r="AB129" s="331">
        <f>+'HULP-velden'!$AN$145</f>
        <v>48.5</v>
      </c>
      <c r="AC129" s="331">
        <f>+'HULP-velden'!$AO$145</f>
        <v>58.5</v>
      </c>
      <c r="AD129" s="331">
        <f>+'HULP-velden'!$AP$145</f>
        <v>68.5</v>
      </c>
      <c r="AE129" s="331">
        <f>+'HULP-velden'!$AP$141</f>
        <v>70.5</v>
      </c>
    </row>
    <row r="130" spans="16:31" ht="15" customHeight="1" x14ac:dyDescent="0.25">
      <c r="P130" s="223"/>
      <c r="Q130" s="223"/>
      <c r="R130" s="223"/>
      <c r="S130" s="223"/>
      <c r="T130" s="223"/>
      <c r="U130" s="223"/>
      <c r="V130" s="226">
        <f>'HULP-velden'!$AE$146</f>
        <v>376000</v>
      </c>
      <c r="W130" s="223"/>
      <c r="X130" s="331">
        <f>+'HULP-velden'!$AJ$146</f>
        <v>8</v>
      </c>
      <c r="Y130" s="331">
        <f>+'HULP-velden'!$AK$146</f>
        <v>18</v>
      </c>
      <c r="Z130" s="331">
        <f>+'HULP-velden'!$AL$146</f>
        <v>28.000000000000004</v>
      </c>
      <c r="AA130" s="331">
        <f>+'HULP-velden'!$AM$146</f>
        <v>38</v>
      </c>
      <c r="AB130" s="331">
        <f>+'HULP-velden'!$AN$146</f>
        <v>48</v>
      </c>
      <c r="AC130" s="331">
        <f>+'HULP-velden'!$AO$146</f>
        <v>57.999999999999993</v>
      </c>
      <c r="AD130" s="331">
        <f>+'HULP-velden'!$AP$146</f>
        <v>68</v>
      </c>
      <c r="AE130" s="331">
        <f>+'HULP-velden'!$AP$142</f>
        <v>70</v>
      </c>
    </row>
    <row r="131" spans="16:31" ht="15" customHeight="1" x14ac:dyDescent="0.25">
      <c r="P131" s="223"/>
      <c r="Q131" s="223"/>
      <c r="R131" s="223"/>
      <c r="S131" s="223"/>
      <c r="T131" s="223"/>
      <c r="U131" s="223"/>
      <c r="V131" s="226">
        <f>'HULP-velden'!$AE$147</f>
        <v>375000</v>
      </c>
      <c r="W131" s="223"/>
      <c r="X131" s="331">
        <f>+'HULP-velden'!$AJ$147</f>
        <v>7.5</v>
      </c>
      <c r="Y131" s="331">
        <f>+'HULP-velden'!$AK$147</f>
        <v>17.5</v>
      </c>
      <c r="Z131" s="331">
        <f>+'HULP-velden'!$AL$147</f>
        <v>27.500000000000004</v>
      </c>
      <c r="AA131" s="331">
        <f>+'HULP-velden'!$AM$147</f>
        <v>37.5</v>
      </c>
      <c r="AB131" s="331">
        <f>+'HULP-velden'!$AN$147</f>
        <v>47.5</v>
      </c>
      <c r="AC131" s="331">
        <f>+'HULP-velden'!$AO$147</f>
        <v>57.499999999999993</v>
      </c>
      <c r="AD131" s="331">
        <f>+'HULP-velden'!$AP$147</f>
        <v>67.5</v>
      </c>
      <c r="AE131" s="331">
        <f>+'HULP-velden'!$AP$143</f>
        <v>69.5</v>
      </c>
    </row>
    <row r="132" spans="16:31" ht="15" customHeight="1" x14ac:dyDescent="0.25">
      <c r="P132" s="223"/>
      <c r="Q132" s="223"/>
      <c r="R132" s="223"/>
      <c r="S132" s="223"/>
      <c r="T132" s="223"/>
      <c r="U132" s="223"/>
      <c r="V132" s="226">
        <f>'HULP-velden'!$AE$148</f>
        <v>374000</v>
      </c>
      <c r="W132" s="223"/>
      <c r="X132" s="331">
        <f>+'HULP-velden'!$AJ$148</f>
        <v>7.0000000000000009</v>
      </c>
      <c r="Y132" s="331">
        <f>+'HULP-velden'!$AK$148</f>
        <v>17</v>
      </c>
      <c r="Z132" s="331">
        <f>+'HULP-velden'!$AL$148</f>
        <v>27</v>
      </c>
      <c r="AA132" s="331">
        <f>+'HULP-velden'!$AM$148</f>
        <v>37</v>
      </c>
      <c r="AB132" s="331">
        <f>+'HULP-velden'!$AN$148</f>
        <v>47</v>
      </c>
      <c r="AC132" s="331">
        <f>+'HULP-velden'!$AO$148</f>
        <v>56.999999999999993</v>
      </c>
      <c r="AD132" s="331">
        <f>+'HULP-velden'!$AP$148</f>
        <v>67</v>
      </c>
      <c r="AE132" s="331">
        <f>+'HULP-velden'!$AP$144</f>
        <v>69</v>
      </c>
    </row>
    <row r="133" spans="16:31" ht="15" customHeight="1" x14ac:dyDescent="0.25">
      <c r="P133" s="223"/>
      <c r="Q133" s="223"/>
      <c r="R133" s="223"/>
      <c r="S133" s="223"/>
      <c r="T133" s="223"/>
      <c r="U133" s="223"/>
      <c r="V133" s="226">
        <f>'HULP-velden'!$AE$149</f>
        <v>373000</v>
      </c>
      <c r="W133" s="223"/>
      <c r="X133" s="331">
        <f>+'HULP-velden'!$AJ$149</f>
        <v>6.5</v>
      </c>
      <c r="Y133" s="331">
        <f>+'HULP-velden'!$AK$149</f>
        <v>16.5</v>
      </c>
      <c r="Z133" s="331">
        <f>+'HULP-velden'!$AL$149</f>
        <v>26.5</v>
      </c>
      <c r="AA133" s="331">
        <f>+'HULP-velden'!$AM$149</f>
        <v>36.5</v>
      </c>
      <c r="AB133" s="331">
        <f>+'HULP-velden'!$AN$149</f>
        <v>46.5</v>
      </c>
      <c r="AC133" s="331">
        <f>+'HULP-velden'!$AO$149</f>
        <v>56.499999999999993</v>
      </c>
      <c r="AD133" s="331">
        <f>+'HULP-velden'!$AP$149</f>
        <v>66.5</v>
      </c>
      <c r="AE133" s="331">
        <f>+'HULP-velden'!$AP$145</f>
        <v>68.5</v>
      </c>
    </row>
    <row r="134" spans="16:31" ht="15" customHeight="1" x14ac:dyDescent="0.25">
      <c r="P134" s="223"/>
      <c r="Q134" s="223"/>
      <c r="R134" s="223"/>
      <c r="S134" s="223"/>
      <c r="T134" s="223"/>
      <c r="U134" s="223"/>
      <c r="V134" s="226">
        <f>'HULP-velden'!$AE$150</f>
        <v>372000</v>
      </c>
      <c r="W134" s="223"/>
      <c r="X134" s="331">
        <f>+'HULP-velden'!$AJ$150</f>
        <v>6</v>
      </c>
      <c r="Y134" s="331">
        <f>+'HULP-velden'!$AK$150</f>
        <v>16</v>
      </c>
      <c r="Z134" s="331">
        <f>+'HULP-velden'!$AL$150</f>
        <v>26</v>
      </c>
      <c r="AA134" s="331">
        <f>+'HULP-velden'!$AM$150</f>
        <v>36</v>
      </c>
      <c r="AB134" s="331">
        <f>+'HULP-velden'!$AN$150</f>
        <v>46</v>
      </c>
      <c r="AC134" s="331">
        <f>+'HULP-velden'!$AO$150</f>
        <v>56.000000000000007</v>
      </c>
      <c r="AD134" s="331">
        <f>+'HULP-velden'!$AP$150</f>
        <v>66</v>
      </c>
      <c r="AE134" s="331">
        <f>+'HULP-velden'!$AP$146</f>
        <v>68</v>
      </c>
    </row>
    <row r="135" spans="16:31" ht="15" customHeight="1" x14ac:dyDescent="0.25">
      <c r="P135" s="223"/>
      <c r="Q135" s="223"/>
      <c r="R135" s="223"/>
      <c r="S135" s="223"/>
      <c r="T135" s="223"/>
      <c r="U135" s="223"/>
      <c r="V135" s="226">
        <f>'HULP-velden'!$AE$151</f>
        <v>371000</v>
      </c>
      <c r="W135" s="223"/>
      <c r="X135" s="331">
        <f>+'HULP-velden'!$AJ$151</f>
        <v>5.5</v>
      </c>
      <c r="Y135" s="331">
        <f>+'HULP-velden'!$AK$151</f>
        <v>15.5</v>
      </c>
      <c r="Z135" s="331">
        <f>+'HULP-velden'!$AL$151</f>
        <v>25.5</v>
      </c>
      <c r="AA135" s="331">
        <f>+'HULP-velden'!$AM$151</f>
        <v>35.5</v>
      </c>
      <c r="AB135" s="331">
        <f>+'HULP-velden'!$AN$151</f>
        <v>45.5</v>
      </c>
      <c r="AC135" s="331">
        <f>+'HULP-velden'!$AO$151</f>
        <v>55.500000000000007</v>
      </c>
      <c r="AD135" s="331">
        <f>+'HULP-velden'!$AP$151</f>
        <v>65.5</v>
      </c>
      <c r="AE135" s="331">
        <f>+'HULP-velden'!$AP$147</f>
        <v>67.5</v>
      </c>
    </row>
    <row r="136" spans="16:31" ht="15" customHeight="1" x14ac:dyDescent="0.25">
      <c r="P136" s="223"/>
      <c r="Q136" s="223"/>
      <c r="R136" s="223"/>
      <c r="S136" s="223"/>
      <c r="T136" s="223"/>
      <c r="U136" s="223"/>
      <c r="V136" s="226">
        <f>'HULP-velden'!$AE$152</f>
        <v>370000</v>
      </c>
      <c r="W136" s="223"/>
      <c r="X136" s="331">
        <f>+'HULP-velden'!$AJ$152</f>
        <v>5</v>
      </c>
      <c r="Y136" s="331">
        <f>+'HULP-velden'!$AK$152</f>
        <v>15</v>
      </c>
      <c r="Z136" s="331">
        <f>+'HULP-velden'!$AL$152</f>
        <v>25</v>
      </c>
      <c r="AA136" s="331">
        <f>+'HULP-velden'!$AM$152</f>
        <v>35</v>
      </c>
      <c r="AB136" s="331">
        <f>+'HULP-velden'!$AN$152</f>
        <v>45</v>
      </c>
      <c r="AC136" s="331">
        <f>+'HULP-velden'!$AO$152</f>
        <v>55.000000000000007</v>
      </c>
      <c r="AD136" s="331">
        <f>+'HULP-velden'!$AP$152</f>
        <v>65</v>
      </c>
      <c r="AE136" s="331">
        <f>+'HULP-velden'!$AP$148</f>
        <v>67</v>
      </c>
    </row>
    <row r="137" spans="16:31" ht="15" customHeight="1" x14ac:dyDescent="0.25">
      <c r="P137" s="223"/>
      <c r="Q137" s="223"/>
      <c r="R137" s="223"/>
      <c r="S137" s="223"/>
      <c r="T137" s="223"/>
      <c r="U137" s="223"/>
      <c r="V137" s="226">
        <f>'HULP-velden'!$AE$153</f>
        <v>369000</v>
      </c>
      <c r="W137" s="223"/>
      <c r="X137" s="331">
        <f>+'HULP-velden'!$AJ$153</f>
        <v>4.5</v>
      </c>
      <c r="Y137" s="331">
        <f>+'HULP-velden'!$AK$153</f>
        <v>14.499999999999998</v>
      </c>
      <c r="Z137" s="331">
        <f>+'HULP-velden'!$AL$153</f>
        <v>24.5</v>
      </c>
      <c r="AA137" s="331">
        <f>+'HULP-velden'!$AM$153</f>
        <v>34.5</v>
      </c>
      <c r="AB137" s="331">
        <f>+'HULP-velden'!$AN$153</f>
        <v>44.5</v>
      </c>
      <c r="AC137" s="331">
        <f>+'HULP-velden'!$AO$153</f>
        <v>54.500000000000007</v>
      </c>
      <c r="AD137" s="331">
        <f>+'HULP-velden'!$AP$153</f>
        <v>64.5</v>
      </c>
      <c r="AE137" s="331">
        <f>+'HULP-velden'!$AP$149</f>
        <v>66.5</v>
      </c>
    </row>
    <row r="138" spans="16:31" ht="15" customHeight="1" x14ac:dyDescent="0.25">
      <c r="P138" s="223"/>
      <c r="Q138" s="223"/>
      <c r="R138" s="223"/>
      <c r="S138" s="223"/>
      <c r="T138" s="223"/>
      <c r="U138" s="223"/>
      <c r="V138" s="226">
        <f>'HULP-velden'!$AE$154</f>
        <v>368000</v>
      </c>
      <c r="W138" s="223"/>
      <c r="X138" s="331">
        <f>+'HULP-velden'!$AJ$154</f>
        <v>4</v>
      </c>
      <c r="Y138" s="331">
        <f>+'HULP-velden'!$AK$154</f>
        <v>14.000000000000002</v>
      </c>
      <c r="Z138" s="331">
        <f>+'HULP-velden'!$AL$154</f>
        <v>24</v>
      </c>
      <c r="AA138" s="331">
        <f>+'HULP-velden'!$AM$154</f>
        <v>34</v>
      </c>
      <c r="AB138" s="331">
        <f>+'HULP-velden'!$AN$154</f>
        <v>44</v>
      </c>
      <c r="AC138" s="331">
        <f>+'HULP-velden'!$AO$154</f>
        <v>54</v>
      </c>
      <c r="AD138" s="331">
        <f>+'HULP-velden'!$AP$154</f>
        <v>64</v>
      </c>
      <c r="AE138" s="331">
        <f>+'HULP-velden'!$AP$150</f>
        <v>66</v>
      </c>
    </row>
    <row r="139" spans="16:31" ht="15" customHeight="1" x14ac:dyDescent="0.25">
      <c r="P139" s="223"/>
      <c r="Q139" s="223"/>
      <c r="R139" s="223"/>
      <c r="S139" s="223"/>
      <c r="T139" s="223"/>
      <c r="U139" s="223"/>
      <c r="V139" s="226">
        <f>'HULP-velden'!$AE$155</f>
        <v>367000</v>
      </c>
      <c r="W139" s="223"/>
      <c r="X139" s="331">
        <f>+'HULP-velden'!$AJ$155</f>
        <v>3.5000000000000004</v>
      </c>
      <c r="Y139" s="331">
        <f>+'HULP-velden'!$AK$155</f>
        <v>13.5</v>
      </c>
      <c r="Z139" s="331">
        <f>+'HULP-velden'!$AL$155</f>
        <v>23.5</v>
      </c>
      <c r="AA139" s="331">
        <f>+'HULP-velden'!$AM$155</f>
        <v>33.5</v>
      </c>
      <c r="AB139" s="331">
        <f>+'HULP-velden'!$AN$155</f>
        <v>43.5</v>
      </c>
      <c r="AC139" s="331">
        <f>+'HULP-velden'!$AO$155</f>
        <v>53.5</v>
      </c>
      <c r="AD139" s="331">
        <f>+'HULP-velden'!$AP$155</f>
        <v>63.5</v>
      </c>
      <c r="AE139" s="331">
        <f>+'HULP-velden'!$AP$151</f>
        <v>65.5</v>
      </c>
    </row>
    <row r="140" spans="16:31" ht="15" customHeight="1" x14ac:dyDescent="0.25">
      <c r="P140" s="223"/>
      <c r="Q140" s="223"/>
      <c r="R140" s="223"/>
      <c r="S140" s="223"/>
      <c r="T140" s="223"/>
      <c r="U140" s="223"/>
      <c r="V140" s="226">
        <f>'HULP-velden'!$AE$156</f>
        <v>366000</v>
      </c>
      <c r="W140" s="223"/>
      <c r="X140" s="331">
        <f>+'HULP-velden'!$AJ$156</f>
        <v>3</v>
      </c>
      <c r="Y140" s="331">
        <f>+'HULP-velden'!$AK$156</f>
        <v>13</v>
      </c>
      <c r="Z140" s="331">
        <f>+'HULP-velden'!$AL$156</f>
        <v>23</v>
      </c>
      <c r="AA140" s="331">
        <f>+'HULP-velden'!$AM$156</f>
        <v>33</v>
      </c>
      <c r="AB140" s="331">
        <f>+'HULP-velden'!$AN$156</f>
        <v>43</v>
      </c>
      <c r="AC140" s="331">
        <f>+'HULP-velden'!$AO$156</f>
        <v>53</v>
      </c>
      <c r="AD140" s="331">
        <f>+'HULP-velden'!$AP$156</f>
        <v>63</v>
      </c>
      <c r="AE140" s="331">
        <f>+'HULP-velden'!$AP$152</f>
        <v>65</v>
      </c>
    </row>
    <row r="141" spans="16:31" ht="15" customHeight="1" x14ac:dyDescent="0.25">
      <c r="P141" s="223"/>
      <c r="Q141" s="223"/>
      <c r="R141" s="223"/>
      <c r="S141" s="223"/>
      <c r="T141" s="223"/>
      <c r="U141" s="223"/>
      <c r="V141" s="226">
        <f>'HULP-velden'!$AE$157</f>
        <v>365000</v>
      </c>
      <c r="W141" s="223"/>
      <c r="X141" s="331">
        <f>+'HULP-velden'!$AJ$157</f>
        <v>2.5</v>
      </c>
      <c r="Y141" s="331">
        <f>+'HULP-velden'!$AK$157</f>
        <v>12.5</v>
      </c>
      <c r="Z141" s="331">
        <f>+'HULP-velden'!$AL$157</f>
        <v>22.5</v>
      </c>
      <c r="AA141" s="331">
        <f>+'HULP-velden'!$AM$157</f>
        <v>32.5</v>
      </c>
      <c r="AB141" s="331">
        <f>+'HULP-velden'!$AN$157</f>
        <v>42.5</v>
      </c>
      <c r="AC141" s="331">
        <f>+'HULP-velden'!$AO$157</f>
        <v>52.5</v>
      </c>
      <c r="AD141" s="331">
        <f>+'HULP-velden'!$AP$157</f>
        <v>62.5</v>
      </c>
      <c r="AE141" s="331">
        <f>+'HULP-velden'!$AP$153</f>
        <v>64.5</v>
      </c>
    </row>
    <row r="142" spans="16:31" ht="15" customHeight="1" x14ac:dyDescent="0.25">
      <c r="P142" s="223"/>
      <c r="Q142" s="223"/>
      <c r="R142" s="223"/>
      <c r="S142" s="223"/>
      <c r="T142" s="223"/>
      <c r="U142" s="223"/>
      <c r="V142" s="226">
        <f>'HULP-velden'!$AE$158</f>
        <v>364000</v>
      </c>
      <c r="W142" s="223"/>
      <c r="X142" s="331">
        <f>+'HULP-velden'!$AJ$158</f>
        <v>2</v>
      </c>
      <c r="Y142" s="331">
        <f>+'HULP-velden'!$AK$158</f>
        <v>12</v>
      </c>
      <c r="Z142" s="331">
        <f>+'HULP-velden'!$AL$158</f>
        <v>22</v>
      </c>
      <c r="AA142" s="331">
        <f>+'HULP-velden'!$AM$158</f>
        <v>32</v>
      </c>
      <c r="AB142" s="331">
        <f>+'HULP-velden'!$AN$158</f>
        <v>42</v>
      </c>
      <c r="AC142" s="331">
        <f>+'HULP-velden'!$AO$158</f>
        <v>52</v>
      </c>
      <c r="AD142" s="331">
        <f>+'HULP-velden'!$AP$158</f>
        <v>62</v>
      </c>
      <c r="AE142" s="331">
        <f>+'HULP-velden'!$AP$154</f>
        <v>64</v>
      </c>
    </row>
    <row r="143" spans="16:31" ht="15" customHeight="1" x14ac:dyDescent="0.25">
      <c r="P143" s="223"/>
      <c r="Q143" s="223"/>
      <c r="R143" s="223"/>
      <c r="S143" s="223"/>
      <c r="T143" s="223"/>
      <c r="U143" s="223"/>
      <c r="V143" s="226">
        <f>'HULP-velden'!$AE$159</f>
        <v>363000</v>
      </c>
      <c r="W143" s="223"/>
      <c r="X143" s="331">
        <f>+'HULP-velden'!$AJ$159</f>
        <v>1.5</v>
      </c>
      <c r="Y143" s="331">
        <f>+'HULP-velden'!$AK$159</f>
        <v>11.5</v>
      </c>
      <c r="Z143" s="331">
        <f>+'HULP-velden'!$AL$159</f>
        <v>21.5</v>
      </c>
      <c r="AA143" s="331">
        <f>+'HULP-velden'!$AM$159</f>
        <v>31.5</v>
      </c>
      <c r="AB143" s="331">
        <f>+'HULP-velden'!$AN$159</f>
        <v>41.5</v>
      </c>
      <c r="AC143" s="331">
        <f>+'HULP-velden'!$AO$159</f>
        <v>51.5</v>
      </c>
      <c r="AD143" s="331">
        <f>+'HULP-velden'!$AP$159</f>
        <v>61.5</v>
      </c>
      <c r="AE143" s="331">
        <f>+'HULP-velden'!$AP$155</f>
        <v>63.5</v>
      </c>
    </row>
    <row r="144" spans="16:31" ht="15" customHeight="1" x14ac:dyDescent="0.25">
      <c r="P144" s="223"/>
      <c r="Q144" s="223"/>
      <c r="R144" s="223"/>
      <c r="S144" s="223"/>
      <c r="T144" s="223"/>
      <c r="U144" s="223"/>
      <c r="V144" s="226">
        <f>'HULP-velden'!$AE$160</f>
        <v>362000</v>
      </c>
      <c r="W144" s="223"/>
      <c r="X144" s="331">
        <f>+'HULP-velden'!$AJ$160</f>
        <v>1</v>
      </c>
      <c r="Y144" s="331">
        <f>+'HULP-velden'!$AK$160</f>
        <v>11</v>
      </c>
      <c r="Z144" s="331">
        <f>+'HULP-velden'!$AL$160</f>
        <v>21</v>
      </c>
      <c r="AA144" s="331">
        <f>+'HULP-velden'!$AM$160</f>
        <v>31</v>
      </c>
      <c r="AB144" s="331">
        <f>+'HULP-velden'!$AN$160</f>
        <v>41</v>
      </c>
      <c r="AC144" s="331">
        <f>+'HULP-velden'!$AO$160</f>
        <v>51</v>
      </c>
      <c r="AD144" s="331">
        <f>+'HULP-velden'!$AP$160</f>
        <v>61</v>
      </c>
      <c r="AE144" s="331">
        <f>+'HULP-velden'!$AP$156</f>
        <v>63</v>
      </c>
    </row>
    <row r="145" spans="16:31" ht="15" customHeight="1" x14ac:dyDescent="0.25">
      <c r="P145" s="223"/>
      <c r="Q145" s="223"/>
      <c r="R145" s="223"/>
      <c r="S145" s="223"/>
      <c r="T145" s="223"/>
      <c r="U145" s="223"/>
      <c r="V145" s="226">
        <f>'HULP-velden'!$AE$161</f>
        <v>361000</v>
      </c>
      <c r="W145" s="223"/>
      <c r="X145" s="331">
        <f>+'HULP-velden'!$AJ$161</f>
        <v>0.5</v>
      </c>
      <c r="Y145" s="331">
        <f>+'HULP-velden'!$AK$161</f>
        <v>10.5</v>
      </c>
      <c r="Z145" s="331">
        <f>+'HULP-velden'!$AL$161</f>
        <v>20.5</v>
      </c>
      <c r="AA145" s="331">
        <f>+'HULP-velden'!$AM$161</f>
        <v>30.5</v>
      </c>
      <c r="AB145" s="331">
        <f>+'HULP-velden'!$AN$161</f>
        <v>40.5</v>
      </c>
      <c r="AC145" s="331">
        <f>+'HULP-velden'!$AO$161</f>
        <v>50.5</v>
      </c>
      <c r="AD145" s="331">
        <f>+'HULP-velden'!$AP$161</f>
        <v>60.5</v>
      </c>
      <c r="AE145" s="331">
        <f>+'HULP-velden'!$AP$157</f>
        <v>62.5</v>
      </c>
    </row>
    <row r="146" spans="16:31" ht="15" customHeight="1" x14ac:dyDescent="0.25">
      <c r="P146" s="223"/>
      <c r="Q146" s="223"/>
      <c r="R146" s="223"/>
      <c r="S146" s="223"/>
      <c r="T146" s="223"/>
      <c r="U146" s="223"/>
      <c r="V146" s="226">
        <f>'HULP-velden'!$AE$162</f>
        <v>360000</v>
      </c>
      <c r="W146" s="223"/>
      <c r="X146" s="331">
        <f>+'HULP-velden'!$AJ$162</f>
        <v>0</v>
      </c>
      <c r="Y146" s="331">
        <f>+'HULP-velden'!$AK$162</f>
        <v>10</v>
      </c>
      <c r="Z146" s="331">
        <f>+'HULP-velden'!$AL$162</f>
        <v>20</v>
      </c>
      <c r="AA146" s="331">
        <f>+'HULP-velden'!$AM$162</f>
        <v>30</v>
      </c>
      <c r="AB146" s="331">
        <f>+'HULP-velden'!$AN$162</f>
        <v>40</v>
      </c>
      <c r="AC146" s="331">
        <f>+'HULP-velden'!$AO$162</f>
        <v>50</v>
      </c>
      <c r="AD146" s="331">
        <f>+'HULP-velden'!$AP$162</f>
        <v>60</v>
      </c>
      <c r="AE146" s="331">
        <f>+'HULP-velden'!$AP$158</f>
        <v>62</v>
      </c>
    </row>
    <row r="147" spans="16:31" ht="15" customHeight="1" x14ac:dyDescent="0.25">
      <c r="P147" s="223"/>
      <c r="Q147" s="223"/>
      <c r="R147" s="223"/>
      <c r="S147" s="223"/>
      <c r="T147" s="223"/>
      <c r="U147" s="223"/>
      <c r="V147" s="226">
        <f>'HULP-velden'!$AE$163</f>
        <v>359000</v>
      </c>
      <c r="W147" s="223"/>
      <c r="X147" s="331">
        <f>+'HULP-velden'!$AJ$163</f>
        <v>-0.5</v>
      </c>
      <c r="Y147" s="331">
        <f>+'HULP-velden'!$AK$163</f>
        <v>9.5</v>
      </c>
      <c r="Z147" s="331">
        <f>+'HULP-velden'!$AL$163</f>
        <v>19.5</v>
      </c>
      <c r="AA147" s="331">
        <f>+'HULP-velden'!$AM$163</f>
        <v>29.5</v>
      </c>
      <c r="AB147" s="331">
        <f>+'HULP-velden'!$AN$163</f>
        <v>39.5</v>
      </c>
      <c r="AC147" s="331">
        <f>+'HULP-velden'!$AO$163</f>
        <v>49.5</v>
      </c>
      <c r="AD147" s="331">
        <f>+'HULP-velden'!$AP$163</f>
        <v>59.5</v>
      </c>
      <c r="AE147" s="331">
        <f>+'HULP-velden'!$AP$159</f>
        <v>61.5</v>
      </c>
    </row>
    <row r="148" spans="16:31" ht="15" customHeight="1" x14ac:dyDescent="0.25">
      <c r="P148" s="223"/>
      <c r="Q148" s="223"/>
      <c r="R148" s="223"/>
      <c r="S148" s="223"/>
      <c r="T148" s="223"/>
      <c r="U148" s="223"/>
      <c r="V148" s="226">
        <f>'HULP-velden'!$AE$164</f>
        <v>358000</v>
      </c>
      <c r="W148" s="223"/>
      <c r="X148" s="331">
        <f>+'HULP-velden'!$AJ$164</f>
        <v>-1</v>
      </c>
      <c r="Y148" s="331">
        <f>+'HULP-velden'!$AK$164</f>
        <v>9</v>
      </c>
      <c r="Z148" s="331">
        <f>+'HULP-velden'!$AL$164</f>
        <v>19</v>
      </c>
      <c r="AA148" s="331">
        <f>+'HULP-velden'!$AM$164</f>
        <v>28.999999999999996</v>
      </c>
      <c r="AB148" s="331">
        <f>+'HULP-velden'!$AN$164</f>
        <v>39</v>
      </c>
      <c r="AC148" s="331">
        <f>+'HULP-velden'!$AO$164</f>
        <v>49</v>
      </c>
      <c r="AD148" s="331">
        <f>+'HULP-velden'!$AP$164</f>
        <v>59</v>
      </c>
      <c r="AE148" s="331">
        <f>+'HULP-velden'!$AP$160</f>
        <v>61</v>
      </c>
    </row>
    <row r="149" spans="16:31" ht="15" customHeight="1" x14ac:dyDescent="0.25">
      <c r="P149" s="223"/>
      <c r="Q149" s="223"/>
      <c r="R149" s="223"/>
      <c r="S149" s="223"/>
      <c r="T149" s="223"/>
      <c r="U149" s="223"/>
      <c r="V149" s="226">
        <f>'HULP-velden'!$AE$165</f>
        <v>357000</v>
      </c>
      <c r="W149" s="223"/>
      <c r="X149" s="331">
        <f>+'HULP-velden'!$AJ$165</f>
        <v>-1.5</v>
      </c>
      <c r="Y149" s="331">
        <f>+'HULP-velden'!$AK$165</f>
        <v>8.5</v>
      </c>
      <c r="Z149" s="331">
        <f>+'HULP-velden'!$AL$165</f>
        <v>18.5</v>
      </c>
      <c r="AA149" s="331">
        <f>+'HULP-velden'!$AM$165</f>
        <v>28.499999999999996</v>
      </c>
      <c r="AB149" s="331">
        <f>+'HULP-velden'!$AN$165</f>
        <v>38.5</v>
      </c>
      <c r="AC149" s="331">
        <f>+'HULP-velden'!$AO$165</f>
        <v>48.5</v>
      </c>
      <c r="AD149" s="331">
        <f>+'HULP-velden'!$AP$165</f>
        <v>58.5</v>
      </c>
      <c r="AE149" s="331">
        <f>+'HULP-velden'!$AP$161</f>
        <v>60.5</v>
      </c>
    </row>
    <row r="150" spans="16:31" ht="15" customHeight="1" x14ac:dyDescent="0.25">
      <c r="P150" s="223"/>
      <c r="Q150" s="223"/>
      <c r="R150" s="223"/>
      <c r="S150" s="223"/>
      <c r="T150" s="223"/>
      <c r="U150" s="223"/>
      <c r="V150" s="226">
        <f>'HULP-velden'!$AE$167</f>
        <v>356000</v>
      </c>
      <c r="W150" s="223"/>
      <c r="X150" s="331">
        <f>+'HULP-velden'!$AJ$167</f>
        <v>-2</v>
      </c>
      <c r="Y150" s="331">
        <f>+'HULP-velden'!$AK$167</f>
        <v>8</v>
      </c>
      <c r="Z150" s="331">
        <f>+'HULP-velden'!$AL$167</f>
        <v>18</v>
      </c>
      <c r="AA150" s="331">
        <f>+'HULP-velden'!$AM$167</f>
        <v>28.000000000000004</v>
      </c>
      <c r="AB150" s="331">
        <f>+'HULP-velden'!$AN$167</f>
        <v>38</v>
      </c>
      <c r="AC150" s="331">
        <f>+'HULP-velden'!$AO$167</f>
        <v>48</v>
      </c>
      <c r="AD150" s="331">
        <f>+'HULP-velden'!$AP$167</f>
        <v>57.999999999999993</v>
      </c>
      <c r="AE150" s="331">
        <f>+'HULP-velden'!$AP$162</f>
        <v>60</v>
      </c>
    </row>
    <row r="151" spans="16:31" ht="15" customHeight="1" x14ac:dyDescent="0.25">
      <c r="P151" s="223"/>
      <c r="Q151" s="223"/>
      <c r="R151" s="223"/>
      <c r="S151" s="223"/>
      <c r="T151" s="223"/>
      <c r="U151" s="223"/>
      <c r="V151" s="226">
        <f>'HULP-velden'!$AE$168</f>
        <v>355000</v>
      </c>
      <c r="W151" s="223"/>
      <c r="X151" s="331">
        <f>+'HULP-velden'!$AJ$168</f>
        <v>-2.5</v>
      </c>
      <c r="Y151" s="331">
        <f>+'HULP-velden'!$AK$168</f>
        <v>7.5</v>
      </c>
      <c r="Z151" s="331">
        <f>+'HULP-velden'!$AL$168</f>
        <v>17.5</v>
      </c>
      <c r="AA151" s="331">
        <f>+'HULP-velden'!$AM$168</f>
        <v>27.500000000000004</v>
      </c>
      <c r="AB151" s="331">
        <f>+'HULP-velden'!$AN$168</f>
        <v>37.5</v>
      </c>
      <c r="AC151" s="331">
        <f>+'HULP-velden'!$AO$168</f>
        <v>47.5</v>
      </c>
      <c r="AD151" s="331">
        <f>+'HULP-velden'!$AP$168</f>
        <v>57.499999999999993</v>
      </c>
      <c r="AE151" s="331">
        <f>+'HULP-velden'!$AP$163</f>
        <v>59.5</v>
      </c>
    </row>
    <row r="152" spans="16:31" ht="15" customHeight="1" x14ac:dyDescent="0.25">
      <c r="P152" s="223"/>
      <c r="Q152" s="223"/>
      <c r="R152" s="223"/>
      <c r="S152" s="223"/>
      <c r="T152" s="223"/>
      <c r="U152" s="223"/>
      <c r="V152" s="226">
        <f>'HULP-velden'!$AE$169</f>
        <v>354000</v>
      </c>
      <c r="W152" s="223"/>
      <c r="X152" s="331">
        <f>+'HULP-velden'!$AJ$169</f>
        <v>-3</v>
      </c>
      <c r="Y152" s="331">
        <f>+'HULP-velden'!$AK$169</f>
        <v>7.0000000000000009</v>
      </c>
      <c r="Z152" s="331">
        <f>+'HULP-velden'!$AL$169</f>
        <v>17</v>
      </c>
      <c r="AA152" s="331">
        <f>+'HULP-velden'!$AM$169</f>
        <v>27</v>
      </c>
      <c r="AB152" s="331">
        <f>+'HULP-velden'!$AN$169</f>
        <v>37</v>
      </c>
      <c r="AC152" s="331">
        <f>+'HULP-velden'!$AO$169</f>
        <v>47</v>
      </c>
      <c r="AD152" s="331">
        <f>+'HULP-velden'!$AP$169</f>
        <v>56.999999999999993</v>
      </c>
      <c r="AE152" s="331">
        <f>+'HULP-velden'!$AP$164</f>
        <v>59</v>
      </c>
    </row>
    <row r="153" spans="16:31" ht="15" customHeight="1" x14ac:dyDescent="0.25">
      <c r="P153" s="223"/>
      <c r="Q153" s="223"/>
      <c r="R153" s="223"/>
      <c r="S153" s="223"/>
      <c r="T153" s="223"/>
      <c r="U153" s="223"/>
      <c r="V153" s="226">
        <f>'HULP-velden'!$AE$170</f>
        <v>353000</v>
      </c>
      <c r="W153" s="223"/>
      <c r="X153" s="331">
        <f>+'HULP-velden'!$AJ$170</f>
        <v>-3.5000000000000004</v>
      </c>
      <c r="Y153" s="331">
        <f>+'HULP-velden'!$AK$170</f>
        <v>6.5</v>
      </c>
      <c r="Z153" s="331">
        <f>+'HULP-velden'!$AL$170</f>
        <v>16.5</v>
      </c>
      <c r="AA153" s="331">
        <f>+'HULP-velden'!$AM$170</f>
        <v>26.5</v>
      </c>
      <c r="AB153" s="331">
        <f>+'HULP-velden'!$AN$170</f>
        <v>36.5</v>
      </c>
      <c r="AC153" s="331">
        <f>+'HULP-velden'!$AO$170</f>
        <v>46.5</v>
      </c>
      <c r="AD153" s="331">
        <f>+'HULP-velden'!$AP$170</f>
        <v>56.499999999999993</v>
      </c>
      <c r="AE153" s="331">
        <f>+'HULP-velden'!$AP$165</f>
        <v>58.5</v>
      </c>
    </row>
    <row r="154" spans="16:31" ht="15" customHeight="1" x14ac:dyDescent="0.25">
      <c r="P154" s="223"/>
      <c r="Q154" s="223"/>
      <c r="R154" s="223"/>
      <c r="S154" s="223"/>
      <c r="T154" s="223"/>
      <c r="U154" s="223"/>
      <c r="V154" s="226">
        <f>'HULP-velden'!$AE$171</f>
        <v>352000</v>
      </c>
      <c r="W154" s="223"/>
      <c r="X154" s="331">
        <f>+'HULP-velden'!$AJ$171</f>
        <v>-4</v>
      </c>
      <c r="Y154" s="331">
        <f>+'HULP-velden'!$AK$171</f>
        <v>6</v>
      </c>
      <c r="Z154" s="331">
        <f>+'HULP-velden'!$AL$171</f>
        <v>16</v>
      </c>
      <c r="AA154" s="331">
        <f>+'HULP-velden'!$AM$171</f>
        <v>26</v>
      </c>
      <c r="AB154" s="331">
        <f>+'HULP-velden'!$AN$171</f>
        <v>36</v>
      </c>
      <c r="AC154" s="331">
        <f>+'HULP-velden'!$AO$171</f>
        <v>46</v>
      </c>
      <c r="AD154" s="331">
        <f>+'HULP-velden'!$AP$171</f>
        <v>56.000000000000007</v>
      </c>
      <c r="AE154" s="331">
        <f>+'HULP-velden'!$AP$167</f>
        <v>57.999999999999993</v>
      </c>
    </row>
    <row r="155" spans="16:31" ht="15" customHeight="1" x14ac:dyDescent="0.25">
      <c r="P155" s="223"/>
      <c r="Q155" s="223"/>
      <c r="R155" s="223"/>
      <c r="S155" s="223"/>
      <c r="T155" s="223"/>
      <c r="U155" s="223"/>
      <c r="V155" s="226">
        <f>'HULP-velden'!$AE$172</f>
        <v>351000</v>
      </c>
      <c r="W155" s="223"/>
      <c r="X155" s="331">
        <f>+'HULP-velden'!$AJ$172</f>
        <v>-4.5</v>
      </c>
      <c r="Y155" s="331">
        <f>+'HULP-velden'!$AK$172</f>
        <v>5.5</v>
      </c>
      <c r="Z155" s="331">
        <f>+'HULP-velden'!$AL$172</f>
        <v>15.5</v>
      </c>
      <c r="AA155" s="331">
        <f>+'HULP-velden'!$AM$172</f>
        <v>25.5</v>
      </c>
      <c r="AB155" s="331">
        <f>+'HULP-velden'!$AN$172</f>
        <v>35.5</v>
      </c>
      <c r="AC155" s="331">
        <f>+'HULP-velden'!$AO$172</f>
        <v>45.5</v>
      </c>
      <c r="AD155" s="331">
        <f>+'HULP-velden'!$AP$172</f>
        <v>55.500000000000007</v>
      </c>
      <c r="AE155" s="331">
        <f>+'HULP-velden'!$AP$168</f>
        <v>57.499999999999993</v>
      </c>
    </row>
    <row r="156" spans="16:31" ht="15" customHeight="1" x14ac:dyDescent="0.25">
      <c r="P156" s="223"/>
      <c r="Q156" s="223"/>
      <c r="R156" s="223"/>
      <c r="S156" s="223"/>
      <c r="T156" s="223"/>
      <c r="U156" s="223"/>
      <c r="V156" s="226">
        <f>'HULP-velden'!$AE$173</f>
        <v>350000</v>
      </c>
      <c r="W156" s="223"/>
      <c r="X156" s="331">
        <f>+'HULP-velden'!$AJ$173</f>
        <v>-5</v>
      </c>
      <c r="Y156" s="331">
        <f>+'HULP-velden'!$AK$173</f>
        <v>5</v>
      </c>
      <c r="Z156" s="331">
        <f>+'HULP-velden'!$AL$173</f>
        <v>15</v>
      </c>
      <c r="AA156" s="331">
        <f>+'HULP-velden'!$AM$173</f>
        <v>25</v>
      </c>
      <c r="AB156" s="331">
        <f>+'HULP-velden'!$AN$173</f>
        <v>35</v>
      </c>
      <c r="AC156" s="331">
        <f>+'HULP-velden'!$AO$173</f>
        <v>45</v>
      </c>
      <c r="AD156" s="331">
        <f>+'HULP-velden'!$AP$173</f>
        <v>55.000000000000007</v>
      </c>
      <c r="AE156" s="331">
        <f>+'HULP-velden'!$AP$169</f>
        <v>56.999999999999993</v>
      </c>
    </row>
    <row r="157" spans="16:31" ht="15" customHeight="1" x14ac:dyDescent="0.25">
      <c r="P157" s="223"/>
      <c r="Q157" s="223"/>
      <c r="R157" s="223"/>
      <c r="S157" s="223"/>
      <c r="T157" s="223"/>
      <c r="U157" s="223"/>
      <c r="V157" s="226">
        <f>'HULP-velden'!$AE$174</f>
        <v>349000</v>
      </c>
      <c r="W157" s="223"/>
      <c r="X157" s="331">
        <f>+'HULP-velden'!$AJ$174</f>
        <v>-5.5</v>
      </c>
      <c r="Y157" s="331">
        <f>+'HULP-velden'!$AK$174</f>
        <v>4.5</v>
      </c>
      <c r="Z157" s="331">
        <f>+'HULP-velden'!$AL$174</f>
        <v>14.499999999999998</v>
      </c>
      <c r="AA157" s="331">
        <f>+'HULP-velden'!$AM$174</f>
        <v>24.5</v>
      </c>
      <c r="AB157" s="331">
        <f>+'HULP-velden'!$AN$174</f>
        <v>34.5</v>
      </c>
      <c r="AC157" s="331">
        <f>+'HULP-velden'!$AO$174</f>
        <v>44.5</v>
      </c>
      <c r="AD157" s="331">
        <f>+'HULP-velden'!$AP$174</f>
        <v>54.500000000000007</v>
      </c>
      <c r="AE157" s="331">
        <f>+'HULP-velden'!$AP$170</f>
        <v>56.499999999999993</v>
      </c>
    </row>
    <row r="158" spans="16:31" ht="15" customHeight="1" x14ac:dyDescent="0.25">
      <c r="P158" s="223"/>
      <c r="Q158" s="223"/>
      <c r="R158" s="223"/>
      <c r="S158" s="223"/>
      <c r="T158" s="223"/>
      <c r="U158" s="223"/>
      <c r="V158" s="226">
        <f>'HULP-velden'!$AE$175</f>
        <v>348000</v>
      </c>
      <c r="W158" s="223"/>
      <c r="X158" s="331">
        <f>+'HULP-velden'!$AJ$175</f>
        <v>-6</v>
      </c>
      <c r="Y158" s="331">
        <f>+'HULP-velden'!$AK$175</f>
        <v>4</v>
      </c>
      <c r="Z158" s="331">
        <f>+'HULP-velden'!$AL$175</f>
        <v>14.000000000000002</v>
      </c>
      <c r="AA158" s="331">
        <f>+'HULP-velden'!$AM$175</f>
        <v>24</v>
      </c>
      <c r="AB158" s="331">
        <f>+'HULP-velden'!$AN$175</f>
        <v>34</v>
      </c>
      <c r="AC158" s="331">
        <f>+'HULP-velden'!$AO$175</f>
        <v>44</v>
      </c>
      <c r="AD158" s="331">
        <f>+'HULP-velden'!$AP$175</f>
        <v>54</v>
      </c>
      <c r="AE158" s="331">
        <f>+'HULP-velden'!$AP$171</f>
        <v>56.000000000000007</v>
      </c>
    </row>
    <row r="159" spans="16:31" ht="15" customHeight="1" x14ac:dyDescent="0.25">
      <c r="P159" s="223"/>
      <c r="Q159" s="223"/>
      <c r="R159" s="223"/>
      <c r="S159" s="223"/>
      <c r="T159" s="223"/>
      <c r="U159" s="223"/>
      <c r="V159" s="226">
        <f>'HULP-velden'!$AE$176</f>
        <v>347000</v>
      </c>
      <c r="W159" s="223"/>
      <c r="X159" s="331">
        <f>+'HULP-velden'!$AJ$176</f>
        <v>-6.5</v>
      </c>
      <c r="Y159" s="331">
        <f>+'HULP-velden'!$AK$176</f>
        <v>3.5000000000000004</v>
      </c>
      <c r="Z159" s="331">
        <f>+'HULP-velden'!$AL$176</f>
        <v>13.5</v>
      </c>
      <c r="AA159" s="331">
        <f>+'HULP-velden'!$AM$176</f>
        <v>23.5</v>
      </c>
      <c r="AB159" s="331">
        <f>+'HULP-velden'!$AN$176</f>
        <v>33.5</v>
      </c>
      <c r="AC159" s="331">
        <f>+'HULP-velden'!$AO$176</f>
        <v>43.5</v>
      </c>
      <c r="AD159" s="331">
        <f>+'HULP-velden'!$AP$176</f>
        <v>53.5</v>
      </c>
      <c r="AE159" s="331">
        <f>+'HULP-velden'!$AP$172</f>
        <v>55.500000000000007</v>
      </c>
    </row>
    <row r="160" spans="16:31" ht="15" customHeight="1" x14ac:dyDescent="0.25">
      <c r="P160" s="223"/>
      <c r="Q160" s="223"/>
      <c r="R160" s="223"/>
      <c r="S160" s="223"/>
      <c r="T160" s="223"/>
      <c r="U160" s="223"/>
      <c r="V160" s="226">
        <f>'HULP-velden'!$AE$177</f>
        <v>346000</v>
      </c>
      <c r="W160" s="223"/>
      <c r="X160" s="331">
        <f>+'HULP-velden'!$AJ$177</f>
        <v>-7.0000000000000009</v>
      </c>
      <c r="Y160" s="331">
        <f>+'HULP-velden'!$AK$177</f>
        <v>3</v>
      </c>
      <c r="Z160" s="331">
        <f>+'HULP-velden'!$AL$177</f>
        <v>13</v>
      </c>
      <c r="AA160" s="331">
        <f>+'HULP-velden'!$AM$177</f>
        <v>23</v>
      </c>
      <c r="AB160" s="331">
        <f>+'HULP-velden'!$AN$177</f>
        <v>33</v>
      </c>
      <c r="AC160" s="331">
        <f>+'HULP-velden'!$AO$177</f>
        <v>43</v>
      </c>
      <c r="AD160" s="331">
        <f>+'HULP-velden'!$AP$177</f>
        <v>53</v>
      </c>
      <c r="AE160" s="331">
        <f>+'HULP-velden'!$AP$173</f>
        <v>55.000000000000007</v>
      </c>
    </row>
    <row r="161" spans="16:31" ht="15" customHeight="1" x14ac:dyDescent="0.25">
      <c r="P161" s="223"/>
      <c r="Q161" s="223"/>
      <c r="R161" s="223"/>
      <c r="S161" s="223"/>
      <c r="T161" s="223"/>
      <c r="U161" s="223"/>
      <c r="V161" s="226">
        <f>'HULP-velden'!$AE$178</f>
        <v>345000</v>
      </c>
      <c r="W161" s="223"/>
      <c r="X161" s="331">
        <f>+'HULP-velden'!$AJ$178</f>
        <v>-7.5</v>
      </c>
      <c r="Y161" s="331">
        <f>+'HULP-velden'!$AK$178</f>
        <v>2.5</v>
      </c>
      <c r="Z161" s="331">
        <f>+'HULP-velden'!$AL$178</f>
        <v>12.5</v>
      </c>
      <c r="AA161" s="331">
        <f>+'HULP-velden'!$AM$178</f>
        <v>22.5</v>
      </c>
      <c r="AB161" s="331">
        <f>+'HULP-velden'!$AN$178</f>
        <v>32.5</v>
      </c>
      <c r="AC161" s="331">
        <f>+'HULP-velden'!$AO$178</f>
        <v>42.5</v>
      </c>
      <c r="AD161" s="331">
        <f>+'HULP-velden'!$AP$178</f>
        <v>52.5</v>
      </c>
      <c r="AE161" s="331">
        <f>+'HULP-velden'!$AP$174</f>
        <v>54.500000000000007</v>
      </c>
    </row>
    <row r="162" spans="16:31" ht="15" customHeight="1" x14ac:dyDescent="0.25">
      <c r="P162" s="223"/>
      <c r="Q162" s="223"/>
      <c r="R162" s="223"/>
      <c r="S162" s="223"/>
      <c r="T162" s="223"/>
      <c r="U162" s="223"/>
      <c r="V162" s="226">
        <f>'HULP-velden'!$AE$179</f>
        <v>344000</v>
      </c>
      <c r="W162" s="223"/>
      <c r="X162" s="331">
        <f>+'HULP-velden'!$AJ$179</f>
        <v>-8</v>
      </c>
      <c r="Y162" s="331">
        <f>+'HULP-velden'!$AK$179</f>
        <v>2</v>
      </c>
      <c r="Z162" s="331">
        <f>+'HULP-velden'!$AL$179</f>
        <v>12</v>
      </c>
      <c r="AA162" s="331">
        <f>+'HULP-velden'!$AM$179</f>
        <v>22</v>
      </c>
      <c r="AB162" s="331">
        <f>+'HULP-velden'!$AN$179</f>
        <v>32</v>
      </c>
      <c r="AC162" s="331">
        <f>+'HULP-velden'!$AO$179</f>
        <v>42</v>
      </c>
      <c r="AD162" s="331">
        <f>+'HULP-velden'!$AP$179</f>
        <v>52</v>
      </c>
      <c r="AE162" s="331">
        <f>+'HULP-velden'!$AP$175</f>
        <v>54</v>
      </c>
    </row>
    <row r="163" spans="16:31" ht="15" customHeight="1" x14ac:dyDescent="0.25">
      <c r="P163" s="223"/>
      <c r="Q163" s="223"/>
      <c r="R163" s="223"/>
      <c r="S163" s="223"/>
      <c r="T163" s="223"/>
      <c r="U163" s="223"/>
      <c r="V163" s="226">
        <f>'HULP-velden'!$AE$180</f>
        <v>343000</v>
      </c>
      <c r="W163" s="223"/>
      <c r="X163" s="331">
        <f>+'HULP-velden'!$AJ$180</f>
        <v>-8.5</v>
      </c>
      <c r="Y163" s="331">
        <f>+'HULP-velden'!$AK$180</f>
        <v>1.5</v>
      </c>
      <c r="Z163" s="331">
        <f>+'HULP-velden'!$AL$180</f>
        <v>11.5</v>
      </c>
      <c r="AA163" s="331">
        <f>+'HULP-velden'!$AM$180</f>
        <v>21.5</v>
      </c>
      <c r="AB163" s="331">
        <f>+'HULP-velden'!$AN$180</f>
        <v>31.5</v>
      </c>
      <c r="AC163" s="331">
        <f>+'HULP-velden'!$AO$180</f>
        <v>41.5</v>
      </c>
      <c r="AD163" s="331">
        <f>+'HULP-velden'!$AP$180</f>
        <v>51.5</v>
      </c>
      <c r="AE163" s="331">
        <f>+'HULP-velden'!$AP$176</f>
        <v>53.5</v>
      </c>
    </row>
    <row r="164" spans="16:31" ht="15" customHeight="1" x14ac:dyDescent="0.25">
      <c r="P164" s="223"/>
      <c r="Q164" s="223"/>
      <c r="R164" s="223"/>
      <c r="S164" s="223"/>
      <c r="T164" s="223"/>
      <c r="U164" s="223"/>
      <c r="V164" s="226">
        <f>'HULP-velden'!$AE$181</f>
        <v>342000</v>
      </c>
      <c r="W164" s="223"/>
      <c r="X164" s="331">
        <f>+'HULP-velden'!$AJ$181</f>
        <v>-9</v>
      </c>
      <c r="Y164" s="331">
        <f>+'HULP-velden'!$AK$181</f>
        <v>1</v>
      </c>
      <c r="Z164" s="331">
        <f>+'HULP-velden'!$AL$181</f>
        <v>11</v>
      </c>
      <c r="AA164" s="331">
        <f>+'HULP-velden'!$AM$181</f>
        <v>21</v>
      </c>
      <c r="AB164" s="331">
        <f>+'HULP-velden'!$AN$181</f>
        <v>31</v>
      </c>
      <c r="AC164" s="331">
        <f>+'HULP-velden'!$AO$181</f>
        <v>41</v>
      </c>
      <c r="AD164" s="331">
        <f>+'HULP-velden'!$AP$181</f>
        <v>51</v>
      </c>
      <c r="AE164" s="331">
        <f>+'HULP-velden'!$AP$177</f>
        <v>53</v>
      </c>
    </row>
    <row r="165" spans="16:31" ht="15" customHeight="1" x14ac:dyDescent="0.25">
      <c r="P165" s="223"/>
      <c r="Q165" s="223"/>
      <c r="R165" s="223"/>
      <c r="S165" s="223"/>
      <c r="T165" s="223"/>
      <c r="U165" s="223"/>
      <c r="V165" s="226">
        <f>'HULP-velden'!$AE$182</f>
        <v>341000</v>
      </c>
      <c r="W165" s="223"/>
      <c r="X165" s="331">
        <f>+'HULP-velden'!$AJ$182</f>
        <v>-9.5</v>
      </c>
      <c r="Y165" s="331">
        <f>+'HULP-velden'!$AK$182</f>
        <v>0.5</v>
      </c>
      <c r="Z165" s="331">
        <f>+'HULP-velden'!$AL$182</f>
        <v>10.5</v>
      </c>
      <c r="AA165" s="331">
        <f>+'HULP-velden'!$AM$182</f>
        <v>20.5</v>
      </c>
      <c r="AB165" s="331">
        <f>+'HULP-velden'!$AN$182</f>
        <v>30.5</v>
      </c>
      <c r="AC165" s="331">
        <f>+'HULP-velden'!$AO$182</f>
        <v>40.5</v>
      </c>
      <c r="AD165" s="331">
        <f>+'HULP-velden'!$AP$182</f>
        <v>50.5</v>
      </c>
      <c r="AE165" s="331">
        <f>+'HULP-velden'!$AP$178</f>
        <v>52.5</v>
      </c>
    </row>
    <row r="166" spans="16:31" ht="15" customHeight="1" x14ac:dyDescent="0.25">
      <c r="P166" s="223"/>
      <c r="Q166" s="223"/>
      <c r="R166" s="223"/>
      <c r="S166" s="223"/>
      <c r="T166" s="223"/>
      <c r="U166" s="223"/>
      <c r="V166" s="226">
        <f>'HULP-velden'!$AE$183</f>
        <v>340000</v>
      </c>
      <c r="W166" s="223"/>
      <c r="X166" s="331">
        <f>+'HULP-velden'!$AJ$183</f>
        <v>-10</v>
      </c>
      <c r="Y166" s="331">
        <f>+'HULP-velden'!$AK$183</f>
        <v>0</v>
      </c>
      <c r="Z166" s="331">
        <f>+'HULP-velden'!$AL$183</f>
        <v>10</v>
      </c>
      <c r="AA166" s="331">
        <f>+'HULP-velden'!$AM$183</f>
        <v>20</v>
      </c>
      <c r="AB166" s="331">
        <f>+'HULP-velden'!$AN$183</f>
        <v>30</v>
      </c>
      <c r="AC166" s="331">
        <f>+'HULP-velden'!$AO$183</f>
        <v>40</v>
      </c>
      <c r="AD166" s="331">
        <f>+'HULP-velden'!$AP$183</f>
        <v>50</v>
      </c>
      <c r="AE166" s="331">
        <f>+'HULP-velden'!$AP$179</f>
        <v>52</v>
      </c>
    </row>
    <row r="167" spans="16:31" ht="15" customHeight="1" x14ac:dyDescent="0.25">
      <c r="P167" s="223"/>
      <c r="Q167" s="223"/>
      <c r="R167" s="223"/>
      <c r="S167" s="223"/>
      <c r="T167" s="223"/>
      <c r="U167" s="223"/>
      <c r="V167" s="226">
        <f>'HULP-velden'!$AE$184</f>
        <v>339000</v>
      </c>
      <c r="W167" s="223"/>
      <c r="X167" s="331">
        <f>+'HULP-velden'!$AJ$184</f>
        <v>-10.5</v>
      </c>
      <c r="Y167" s="331">
        <f>+'HULP-velden'!$AK$184</f>
        <v>-0.5</v>
      </c>
      <c r="Z167" s="331">
        <f>+'HULP-velden'!$AL$184</f>
        <v>9.5</v>
      </c>
      <c r="AA167" s="331">
        <f>+'HULP-velden'!$AM$184</f>
        <v>19.5</v>
      </c>
      <c r="AB167" s="331">
        <f>+'HULP-velden'!$AN$184</f>
        <v>29.5</v>
      </c>
      <c r="AC167" s="331">
        <f>+'HULP-velden'!$AO$184</f>
        <v>39.5</v>
      </c>
      <c r="AD167" s="331">
        <f>+'HULP-velden'!$AP$184</f>
        <v>49.5</v>
      </c>
      <c r="AE167" s="331">
        <f>+'HULP-velden'!$AP$180</f>
        <v>51.5</v>
      </c>
    </row>
    <row r="168" spans="16:31" ht="15" customHeight="1" x14ac:dyDescent="0.25">
      <c r="P168" s="223"/>
      <c r="Q168" s="223"/>
      <c r="R168" s="223"/>
      <c r="S168" s="223"/>
      <c r="T168" s="223"/>
      <c r="U168" s="223"/>
      <c r="V168" s="226">
        <f>'HULP-velden'!$AE$185</f>
        <v>338000</v>
      </c>
      <c r="W168" s="223"/>
      <c r="X168" s="331">
        <f>+'HULP-velden'!$AJ$185</f>
        <v>-11</v>
      </c>
      <c r="Y168" s="331">
        <f>+'HULP-velden'!$AK$185</f>
        <v>-1</v>
      </c>
      <c r="Z168" s="331">
        <f>+'HULP-velden'!$AL$185</f>
        <v>9</v>
      </c>
      <c r="AA168" s="331">
        <f>+'HULP-velden'!$AM$185</f>
        <v>19</v>
      </c>
      <c r="AB168" s="331">
        <f>+'HULP-velden'!$AN$185</f>
        <v>28.999999999999996</v>
      </c>
      <c r="AC168" s="331">
        <f>+'HULP-velden'!$AO$185</f>
        <v>39</v>
      </c>
      <c r="AD168" s="331">
        <f>+'HULP-velden'!$AP$185</f>
        <v>49</v>
      </c>
      <c r="AE168" s="331">
        <f>+'HULP-velden'!$AP$181</f>
        <v>51</v>
      </c>
    </row>
    <row r="169" spans="16:31" ht="15" customHeight="1" x14ac:dyDescent="0.25">
      <c r="P169" s="223"/>
      <c r="Q169" s="223"/>
      <c r="R169" s="223"/>
      <c r="S169" s="223"/>
      <c r="T169" s="223"/>
      <c r="U169" s="223"/>
      <c r="V169" s="226">
        <f>'HULP-velden'!$AE$186</f>
        <v>337000</v>
      </c>
      <c r="W169" s="223"/>
      <c r="X169" s="331">
        <f>+'HULP-velden'!$AJ$186</f>
        <v>-11.5</v>
      </c>
      <c r="Y169" s="331">
        <f>+'HULP-velden'!$AK$186</f>
        <v>-1.5</v>
      </c>
      <c r="Z169" s="331">
        <f>+'HULP-velden'!$AL$186</f>
        <v>8.5</v>
      </c>
      <c r="AA169" s="331">
        <f>+'HULP-velden'!$AM$186</f>
        <v>18.5</v>
      </c>
      <c r="AB169" s="331">
        <f>+'HULP-velden'!$AN$186</f>
        <v>28.499999999999996</v>
      </c>
      <c r="AC169" s="331">
        <f>+'HULP-velden'!$AO$186</f>
        <v>38.5</v>
      </c>
      <c r="AD169" s="331">
        <f>+'HULP-velden'!$AP$186</f>
        <v>48.5</v>
      </c>
      <c r="AE169" s="331">
        <f>+'HULP-velden'!$AP$182</f>
        <v>50.5</v>
      </c>
    </row>
    <row r="170" spans="16:31" ht="15" customHeight="1" x14ac:dyDescent="0.25">
      <c r="P170" s="223"/>
      <c r="Q170" s="223"/>
      <c r="R170" s="223"/>
      <c r="S170" s="223"/>
      <c r="T170" s="223"/>
      <c r="U170" s="223"/>
      <c r="V170" s="226">
        <f>'HULP-velden'!$AE$187</f>
        <v>336000</v>
      </c>
      <c r="W170" s="223"/>
      <c r="X170" s="331">
        <f>+'HULP-velden'!$AJ$187</f>
        <v>-12</v>
      </c>
      <c r="Y170" s="331">
        <f>+'HULP-velden'!$AK$187</f>
        <v>-2</v>
      </c>
      <c r="Z170" s="331">
        <f>+'HULP-velden'!$AL$187</f>
        <v>8</v>
      </c>
      <c r="AA170" s="331">
        <f>+'HULP-velden'!$AM$187</f>
        <v>18</v>
      </c>
      <c r="AB170" s="331">
        <f>+'HULP-velden'!$AN$187</f>
        <v>28.000000000000004</v>
      </c>
      <c r="AC170" s="331">
        <f>+'HULP-velden'!$AO$187</f>
        <v>38</v>
      </c>
      <c r="AD170" s="331">
        <f>+'HULP-velden'!$AP$187</f>
        <v>48</v>
      </c>
      <c r="AE170" s="331">
        <f>+'HULP-velden'!$AP$183</f>
        <v>50</v>
      </c>
    </row>
    <row r="171" spans="16:31" ht="15" customHeight="1" x14ac:dyDescent="0.25">
      <c r="P171" s="223"/>
      <c r="Q171" s="223"/>
      <c r="R171" s="223"/>
      <c r="S171" s="223"/>
      <c r="T171" s="223"/>
      <c r="U171" s="223"/>
      <c r="V171" s="226">
        <f>'HULP-velden'!$AE$188</f>
        <v>335000</v>
      </c>
      <c r="W171" s="223"/>
      <c r="X171" s="331">
        <f>+'HULP-velden'!$AJ$188</f>
        <v>-12.5</v>
      </c>
      <c r="Y171" s="331">
        <f>+'HULP-velden'!$AK$188</f>
        <v>-2.5</v>
      </c>
      <c r="Z171" s="331">
        <f>+'HULP-velden'!$AL$188</f>
        <v>7.5</v>
      </c>
      <c r="AA171" s="331">
        <f>+'HULP-velden'!$AM$188</f>
        <v>17.5</v>
      </c>
      <c r="AB171" s="331">
        <f>+'HULP-velden'!$AN$188</f>
        <v>27.500000000000004</v>
      </c>
      <c r="AC171" s="331">
        <f>+'HULP-velden'!$AO$188</f>
        <v>37.5</v>
      </c>
      <c r="AD171" s="331">
        <f>+'HULP-velden'!$AP$188</f>
        <v>47.5</v>
      </c>
      <c r="AE171" s="331">
        <f>+'HULP-velden'!$AP$184</f>
        <v>49.5</v>
      </c>
    </row>
    <row r="172" spans="16:31" ht="15" customHeight="1" x14ac:dyDescent="0.25">
      <c r="P172" s="223"/>
      <c r="Q172" s="223"/>
      <c r="R172" s="223"/>
      <c r="S172" s="223"/>
      <c r="T172" s="223"/>
      <c r="U172" s="223"/>
      <c r="V172" s="226">
        <f>'HULP-velden'!$AE$189</f>
        <v>334000</v>
      </c>
      <c r="W172" s="223"/>
      <c r="X172" s="331">
        <f>+'HULP-velden'!$AJ$189</f>
        <v>-13</v>
      </c>
      <c r="Y172" s="331">
        <f>+'HULP-velden'!$AK$189</f>
        <v>-3</v>
      </c>
      <c r="Z172" s="331">
        <f>+'HULP-velden'!$AL$189</f>
        <v>7.0000000000000009</v>
      </c>
      <c r="AA172" s="331">
        <f>+'HULP-velden'!$AM$189</f>
        <v>17</v>
      </c>
      <c r="AB172" s="331">
        <f>+'HULP-velden'!$AN$189</f>
        <v>27</v>
      </c>
      <c r="AC172" s="331">
        <f>+'HULP-velden'!$AO$189</f>
        <v>37</v>
      </c>
      <c r="AD172" s="331">
        <f>+'HULP-velden'!$AP$189</f>
        <v>47</v>
      </c>
      <c r="AE172" s="331">
        <f>+'HULP-velden'!$AP$185</f>
        <v>49</v>
      </c>
    </row>
    <row r="173" spans="16:31" ht="15" customHeight="1" x14ac:dyDescent="0.25">
      <c r="P173" s="223"/>
      <c r="Q173" s="223"/>
      <c r="R173" s="223"/>
      <c r="S173" s="223"/>
      <c r="T173" s="223"/>
      <c r="U173" s="223"/>
      <c r="V173" s="226">
        <f>'HULP-velden'!$AE$190</f>
        <v>333000</v>
      </c>
      <c r="W173" s="223"/>
      <c r="X173" s="331">
        <f>+'HULP-velden'!$AJ$190</f>
        <v>-13.5</v>
      </c>
      <c r="Y173" s="331">
        <f>+'HULP-velden'!$AK$190</f>
        <v>-3.5000000000000004</v>
      </c>
      <c r="Z173" s="331">
        <f>+'HULP-velden'!$AL$190</f>
        <v>6.5</v>
      </c>
      <c r="AA173" s="331">
        <f>+'HULP-velden'!$AM$190</f>
        <v>16.5</v>
      </c>
      <c r="AB173" s="331">
        <f>+'HULP-velden'!$AN$190</f>
        <v>26.5</v>
      </c>
      <c r="AC173" s="331">
        <f>+'HULP-velden'!$AO$190</f>
        <v>36.5</v>
      </c>
      <c r="AD173" s="331">
        <f>+'HULP-velden'!$AP$190</f>
        <v>46.5</v>
      </c>
      <c r="AE173" s="331">
        <f>+'HULP-velden'!$AP$186</f>
        <v>48.5</v>
      </c>
    </row>
    <row r="174" spans="16:31" ht="15" customHeight="1" x14ac:dyDescent="0.25">
      <c r="P174" s="223"/>
      <c r="Q174" s="223"/>
      <c r="R174" s="223"/>
      <c r="S174" s="223"/>
      <c r="T174" s="223"/>
      <c r="U174" s="223"/>
      <c r="V174" s="226">
        <f>'HULP-velden'!$AE$191</f>
        <v>332000</v>
      </c>
      <c r="W174" s="223"/>
      <c r="X174" s="331">
        <f>+'HULP-velden'!$AJ$191</f>
        <v>-14.000000000000002</v>
      </c>
      <c r="Y174" s="331">
        <f>+'HULP-velden'!$AK$191</f>
        <v>-4</v>
      </c>
      <c r="Z174" s="331">
        <f>+'HULP-velden'!$AL$191</f>
        <v>6</v>
      </c>
      <c r="AA174" s="331">
        <f>+'HULP-velden'!$AM$191</f>
        <v>16</v>
      </c>
      <c r="AB174" s="331">
        <f>+'HULP-velden'!$AN$191</f>
        <v>26</v>
      </c>
      <c r="AC174" s="331">
        <f>+'HULP-velden'!$AO$191</f>
        <v>36</v>
      </c>
      <c r="AD174" s="331">
        <f>+'HULP-velden'!$AP$191</f>
        <v>46</v>
      </c>
      <c r="AE174" s="331">
        <f>+'HULP-velden'!$AP$187</f>
        <v>48</v>
      </c>
    </row>
    <row r="175" spans="16:31" ht="15" customHeight="1" x14ac:dyDescent="0.25">
      <c r="P175" s="223"/>
      <c r="Q175" s="223"/>
      <c r="R175" s="223"/>
      <c r="S175" s="223"/>
      <c r="T175" s="223"/>
      <c r="U175" s="223"/>
      <c r="V175" s="226">
        <f>'HULP-velden'!$AE$192</f>
        <v>331000</v>
      </c>
      <c r="W175" s="223"/>
      <c r="X175" s="331">
        <f>+'HULP-velden'!$AJ$192</f>
        <v>-14.499999999999998</v>
      </c>
      <c r="Y175" s="331">
        <f>+'HULP-velden'!$AK$192</f>
        <v>-4.5</v>
      </c>
      <c r="Z175" s="331">
        <f>+'HULP-velden'!$AL$192</f>
        <v>5.5</v>
      </c>
      <c r="AA175" s="331">
        <f>+'HULP-velden'!$AM$192</f>
        <v>15.5</v>
      </c>
      <c r="AB175" s="331">
        <f>+'HULP-velden'!$AN$192</f>
        <v>25.5</v>
      </c>
      <c r="AC175" s="331">
        <f>+'HULP-velden'!$AO$192</f>
        <v>35.5</v>
      </c>
      <c r="AD175" s="331">
        <f>+'HULP-velden'!$AP$192</f>
        <v>45.5</v>
      </c>
      <c r="AE175" s="331">
        <f>+'HULP-velden'!$AP$188</f>
        <v>47.5</v>
      </c>
    </row>
    <row r="176" spans="16:31" ht="15" customHeight="1" x14ac:dyDescent="0.25">
      <c r="P176" s="223"/>
      <c r="Q176" s="223"/>
      <c r="R176" s="223"/>
      <c r="S176" s="223"/>
      <c r="T176" s="223"/>
      <c r="U176" s="223"/>
      <c r="V176" s="226">
        <f>'HULP-velden'!$AE$193</f>
        <v>330000</v>
      </c>
      <c r="W176" s="223"/>
      <c r="X176" s="331">
        <f>+'HULP-velden'!$AJ$193</f>
        <v>-15</v>
      </c>
      <c r="Y176" s="331">
        <f>+'HULP-velden'!$AK$193</f>
        <v>-5</v>
      </c>
      <c r="Z176" s="331">
        <f>+'HULP-velden'!$AL$193</f>
        <v>5</v>
      </c>
      <c r="AA176" s="331">
        <f>+'HULP-velden'!$AM$193</f>
        <v>15</v>
      </c>
      <c r="AB176" s="331">
        <f>+'HULP-velden'!$AN$193</f>
        <v>25</v>
      </c>
      <c r="AC176" s="331">
        <f>+'HULP-velden'!$AO$193</f>
        <v>35</v>
      </c>
      <c r="AD176" s="331">
        <f>+'HULP-velden'!$AP$193</f>
        <v>45</v>
      </c>
      <c r="AE176" s="331">
        <f>+'HULP-velden'!$AP$189</f>
        <v>47</v>
      </c>
    </row>
    <row r="177" spans="16:31" ht="15" customHeight="1" x14ac:dyDescent="0.25">
      <c r="P177" s="223"/>
      <c r="Q177" s="223"/>
      <c r="R177" s="223"/>
      <c r="S177" s="223"/>
      <c r="T177" s="223"/>
      <c r="U177" s="223"/>
      <c r="V177" s="226">
        <f>'HULP-velden'!$AE$194</f>
        <v>329000</v>
      </c>
      <c r="W177" s="223"/>
      <c r="X177" s="331">
        <f>+'HULP-velden'!$AJ$194</f>
        <v>-15.5</v>
      </c>
      <c r="Y177" s="331">
        <f>+'HULP-velden'!$AK$194</f>
        <v>-5.5</v>
      </c>
      <c r="Z177" s="331">
        <f>+'HULP-velden'!$AL$194</f>
        <v>4.5</v>
      </c>
      <c r="AA177" s="331">
        <f>+'HULP-velden'!$AM$194</f>
        <v>14.499999999999998</v>
      </c>
      <c r="AB177" s="331">
        <f>+'HULP-velden'!$AN$194</f>
        <v>24.5</v>
      </c>
      <c r="AC177" s="331">
        <f>+'HULP-velden'!$AO$194</f>
        <v>34.5</v>
      </c>
      <c r="AD177" s="331">
        <f>+'HULP-velden'!$AP$194</f>
        <v>44.5</v>
      </c>
      <c r="AE177" s="331">
        <f>+'HULP-velden'!$AP$190</f>
        <v>46.5</v>
      </c>
    </row>
    <row r="178" spans="16:31" ht="15" customHeight="1" x14ac:dyDescent="0.25">
      <c r="P178" s="223"/>
      <c r="Q178" s="223"/>
      <c r="R178" s="223"/>
      <c r="S178" s="223"/>
      <c r="T178" s="223"/>
      <c r="U178" s="223"/>
      <c r="V178" s="226">
        <f>'HULP-velden'!$AE$195</f>
        <v>328000</v>
      </c>
      <c r="W178" s="223"/>
      <c r="X178" s="331">
        <f>+'HULP-velden'!$AJ$195</f>
        <v>-16</v>
      </c>
      <c r="Y178" s="331">
        <f>+'HULP-velden'!$AK$195</f>
        <v>-6</v>
      </c>
      <c r="Z178" s="331">
        <f>+'HULP-velden'!$AL$195</f>
        <v>4</v>
      </c>
      <c r="AA178" s="331">
        <f>+'HULP-velden'!$AM$195</f>
        <v>14.000000000000002</v>
      </c>
      <c r="AB178" s="331">
        <f>+'HULP-velden'!$AN$195</f>
        <v>24</v>
      </c>
      <c r="AC178" s="331">
        <f>+'HULP-velden'!$AO$195</f>
        <v>34</v>
      </c>
      <c r="AD178" s="331">
        <f>+'HULP-velden'!$AP$195</f>
        <v>44</v>
      </c>
      <c r="AE178" s="331">
        <f>+'HULP-velden'!$AP$191</f>
        <v>46</v>
      </c>
    </row>
    <row r="179" spans="16:31" ht="15" customHeight="1" x14ac:dyDescent="0.25">
      <c r="P179" s="223"/>
      <c r="Q179" s="223"/>
      <c r="R179" s="223"/>
      <c r="S179" s="223"/>
      <c r="T179" s="223"/>
      <c r="U179" s="223"/>
      <c r="V179" s="226">
        <f>'HULP-velden'!$AE$196</f>
        <v>327000</v>
      </c>
      <c r="W179" s="223"/>
      <c r="X179" s="331">
        <f>+'HULP-velden'!$AJ$196</f>
        <v>-16.5</v>
      </c>
      <c r="Y179" s="331">
        <f>+'HULP-velden'!$AK$196</f>
        <v>-6.5</v>
      </c>
      <c r="Z179" s="331">
        <f>+'HULP-velden'!$AL$196</f>
        <v>3.5000000000000004</v>
      </c>
      <c r="AA179" s="331">
        <f>+'HULP-velden'!$AM$196</f>
        <v>13.5</v>
      </c>
      <c r="AB179" s="331">
        <f>+'HULP-velden'!$AN$196</f>
        <v>23.5</v>
      </c>
      <c r="AC179" s="331">
        <f>+'HULP-velden'!$AO$196</f>
        <v>33.5</v>
      </c>
      <c r="AD179" s="331">
        <f>+'HULP-velden'!$AP$196</f>
        <v>43.5</v>
      </c>
      <c r="AE179" s="331">
        <f>+'HULP-velden'!$AP$192</f>
        <v>45.5</v>
      </c>
    </row>
    <row r="180" spans="16:31" ht="15" customHeight="1" x14ac:dyDescent="0.25">
      <c r="P180" s="223"/>
      <c r="Q180" s="223"/>
      <c r="R180" s="223"/>
      <c r="S180" s="223"/>
      <c r="T180" s="223"/>
      <c r="U180" s="223"/>
      <c r="V180" s="226">
        <f>'HULP-velden'!$AE$197</f>
        <v>326000</v>
      </c>
      <c r="W180" s="223"/>
      <c r="X180" s="331">
        <f>+'HULP-velden'!$AJ$197</f>
        <v>-17</v>
      </c>
      <c r="Y180" s="331">
        <f>+'HULP-velden'!$AK$197</f>
        <v>-7.0000000000000009</v>
      </c>
      <c r="Z180" s="331">
        <f>+'HULP-velden'!$AL$197</f>
        <v>3</v>
      </c>
      <c r="AA180" s="331">
        <f>+'HULP-velden'!$AM$197</f>
        <v>13</v>
      </c>
      <c r="AB180" s="331">
        <f>+'HULP-velden'!$AN$197</f>
        <v>23</v>
      </c>
      <c r="AC180" s="331">
        <f>+'HULP-velden'!$AO$197</f>
        <v>33</v>
      </c>
      <c r="AD180" s="331">
        <f>+'HULP-velden'!$AP$197</f>
        <v>43</v>
      </c>
      <c r="AE180" s="331">
        <f>+'HULP-velden'!$AP$193</f>
        <v>45</v>
      </c>
    </row>
    <row r="181" spans="16:31" ht="15" customHeight="1" x14ac:dyDescent="0.25">
      <c r="P181" s="223"/>
      <c r="Q181" s="223"/>
      <c r="R181" s="223"/>
      <c r="S181" s="223"/>
      <c r="T181" s="223"/>
      <c r="U181" s="223"/>
      <c r="V181" s="226">
        <f>'HULP-velden'!$AE$198</f>
        <v>325000</v>
      </c>
      <c r="W181" s="223"/>
      <c r="X181" s="331">
        <f>+'HULP-velden'!$AJ$198</f>
        <v>-17.5</v>
      </c>
      <c r="Y181" s="331">
        <f>+'HULP-velden'!$AK$198</f>
        <v>-7.5</v>
      </c>
      <c r="Z181" s="331">
        <f>+'HULP-velden'!$AL$198</f>
        <v>2.5</v>
      </c>
      <c r="AA181" s="331">
        <f>+'HULP-velden'!$AM$198</f>
        <v>12.5</v>
      </c>
      <c r="AB181" s="331">
        <f>+'HULP-velden'!$AN$198</f>
        <v>22.5</v>
      </c>
      <c r="AC181" s="331">
        <f>+'HULP-velden'!$AO$198</f>
        <v>32.5</v>
      </c>
      <c r="AD181" s="331">
        <f>+'HULP-velden'!$AP$198</f>
        <v>42.5</v>
      </c>
      <c r="AE181" s="331">
        <f>+'HULP-velden'!$AP$194</f>
        <v>44.5</v>
      </c>
    </row>
    <row r="182" spans="16:31" ht="15" customHeight="1" x14ac:dyDescent="0.25">
      <c r="P182" s="223"/>
      <c r="Q182" s="223"/>
      <c r="R182" s="223"/>
      <c r="S182" s="223"/>
      <c r="T182" s="223"/>
      <c r="U182" s="223"/>
      <c r="V182" s="226">
        <f>'HULP-velden'!$AE$199</f>
        <v>324000</v>
      </c>
      <c r="W182" s="223"/>
      <c r="X182" s="331">
        <f>+'HULP-velden'!$AJ$199</f>
        <v>-18</v>
      </c>
      <c r="Y182" s="331">
        <f>+'HULP-velden'!$AK$199</f>
        <v>-8</v>
      </c>
      <c r="Z182" s="331">
        <f>+'HULP-velden'!$AL$199</f>
        <v>2</v>
      </c>
      <c r="AA182" s="331">
        <f>+'HULP-velden'!$AM$199</f>
        <v>12</v>
      </c>
      <c r="AB182" s="331">
        <f>+'HULP-velden'!$AN$199</f>
        <v>22</v>
      </c>
      <c r="AC182" s="331">
        <f>+'HULP-velden'!$AO$199</f>
        <v>32</v>
      </c>
      <c r="AD182" s="331">
        <f>+'HULP-velden'!$AP$199</f>
        <v>42</v>
      </c>
      <c r="AE182" s="331">
        <f>+'HULP-velden'!$AP$195</f>
        <v>44</v>
      </c>
    </row>
    <row r="183" spans="16:31" ht="15" customHeight="1" x14ac:dyDescent="0.25">
      <c r="P183" s="223"/>
      <c r="Q183" s="223"/>
      <c r="R183" s="223"/>
      <c r="S183" s="223"/>
      <c r="T183" s="223"/>
      <c r="U183" s="223"/>
      <c r="V183" s="226">
        <f>'HULP-velden'!$AE$200</f>
        <v>323000</v>
      </c>
      <c r="W183" s="223"/>
      <c r="X183" s="331">
        <f>+'HULP-velden'!$AJ$200</f>
        <v>-18.5</v>
      </c>
      <c r="Y183" s="331">
        <f>+'HULP-velden'!$AK$200</f>
        <v>-8.5</v>
      </c>
      <c r="Z183" s="331">
        <f>+'HULP-velden'!$AL$200</f>
        <v>1.5</v>
      </c>
      <c r="AA183" s="331">
        <f>+'HULP-velden'!$AM$200</f>
        <v>11.5</v>
      </c>
      <c r="AB183" s="331">
        <f>+'HULP-velden'!$AN$200</f>
        <v>21.5</v>
      </c>
      <c r="AC183" s="331">
        <f>+'HULP-velden'!$AO$200</f>
        <v>31.5</v>
      </c>
      <c r="AD183" s="331">
        <f>+'HULP-velden'!$AP$200</f>
        <v>41.5</v>
      </c>
      <c r="AE183" s="331">
        <f>+'HULP-velden'!$AP$196</f>
        <v>43.5</v>
      </c>
    </row>
    <row r="184" spans="16:31" ht="15" customHeight="1" x14ac:dyDescent="0.25">
      <c r="P184" s="223"/>
      <c r="Q184" s="223"/>
      <c r="R184" s="223"/>
      <c r="S184" s="223"/>
      <c r="T184" s="223"/>
      <c r="U184" s="223"/>
      <c r="V184" s="226">
        <f>'HULP-velden'!$AE$201</f>
        <v>322000</v>
      </c>
      <c r="W184" s="223"/>
      <c r="X184" s="331">
        <f>+'HULP-velden'!$AJ$201</f>
        <v>-19</v>
      </c>
      <c r="Y184" s="331">
        <f>+'HULP-velden'!$AK$201</f>
        <v>-9</v>
      </c>
      <c r="Z184" s="331">
        <f>+'HULP-velden'!$AL$201</f>
        <v>1</v>
      </c>
      <c r="AA184" s="331">
        <f>+'HULP-velden'!$AM$201</f>
        <v>11</v>
      </c>
      <c r="AB184" s="331">
        <f>+'HULP-velden'!$AN$201</f>
        <v>21</v>
      </c>
      <c r="AC184" s="331">
        <f>+'HULP-velden'!$AO$201</f>
        <v>31</v>
      </c>
      <c r="AD184" s="331">
        <f>+'HULP-velden'!$AP$201</f>
        <v>41</v>
      </c>
      <c r="AE184" s="331">
        <f>+'HULP-velden'!$AP$197</f>
        <v>43</v>
      </c>
    </row>
    <row r="185" spans="16:31" ht="15" customHeight="1" x14ac:dyDescent="0.25">
      <c r="P185" s="223"/>
      <c r="Q185" s="223"/>
      <c r="R185" s="223"/>
      <c r="S185" s="223"/>
      <c r="T185" s="223"/>
      <c r="U185" s="223"/>
      <c r="V185" s="226">
        <f>'HULP-velden'!$AE$202</f>
        <v>321000</v>
      </c>
      <c r="W185" s="223"/>
      <c r="X185" s="331">
        <f>+'HULP-velden'!$AJ$202</f>
        <v>-19.5</v>
      </c>
      <c r="Y185" s="331">
        <f>+'HULP-velden'!$AK$202</f>
        <v>-9.5</v>
      </c>
      <c r="Z185" s="331">
        <f>+'HULP-velden'!$AL$202</f>
        <v>0.5</v>
      </c>
      <c r="AA185" s="331">
        <f>+'HULP-velden'!$AM$202</f>
        <v>10.5</v>
      </c>
      <c r="AB185" s="331">
        <f>+'HULP-velden'!$AN$202</f>
        <v>20.5</v>
      </c>
      <c r="AC185" s="331">
        <f>+'HULP-velden'!$AO$202</f>
        <v>30.5</v>
      </c>
      <c r="AD185" s="331">
        <f>+'HULP-velden'!$AP$202</f>
        <v>40.5</v>
      </c>
      <c r="AE185" s="331">
        <f>+'HULP-velden'!$AP$198</f>
        <v>42.5</v>
      </c>
    </row>
    <row r="186" spans="16:31" ht="15" customHeight="1" x14ac:dyDescent="0.25">
      <c r="P186" s="223"/>
      <c r="Q186" s="223"/>
      <c r="R186" s="223"/>
      <c r="S186" s="223"/>
      <c r="T186" s="223"/>
      <c r="U186" s="223"/>
      <c r="V186" s="226">
        <f>'HULP-velden'!$AE$203</f>
        <v>320000</v>
      </c>
      <c r="W186" s="223"/>
      <c r="X186" s="331">
        <f>+'HULP-velden'!$AJ$203</f>
        <v>-20</v>
      </c>
      <c r="Y186" s="331">
        <f>+'HULP-velden'!$AK$203</f>
        <v>-10</v>
      </c>
      <c r="Z186" s="331">
        <f>+'HULP-velden'!$AL$203</f>
        <v>0</v>
      </c>
      <c r="AA186" s="331">
        <f>+'HULP-velden'!$AM$203</f>
        <v>10</v>
      </c>
      <c r="AB186" s="331">
        <f>+'HULP-velden'!$AN$203</f>
        <v>20</v>
      </c>
      <c r="AC186" s="331">
        <f>+'HULP-velden'!$AO$203</f>
        <v>30</v>
      </c>
      <c r="AD186" s="331">
        <f>+'HULP-velden'!$AP$203</f>
        <v>40</v>
      </c>
      <c r="AE186" s="331">
        <f>+'HULP-velden'!$AP$199</f>
        <v>42</v>
      </c>
    </row>
    <row r="187" spans="16:31" ht="15" customHeight="1" x14ac:dyDescent="0.25">
      <c r="P187" s="223"/>
      <c r="Q187" s="223"/>
      <c r="R187" s="223"/>
      <c r="S187" s="223"/>
      <c r="T187" s="223"/>
      <c r="U187" s="223"/>
      <c r="V187" s="226">
        <f>'HULP-velden'!$AE$204</f>
        <v>319000</v>
      </c>
      <c r="W187" s="223"/>
      <c r="X187" s="331">
        <f>+'HULP-velden'!$AJ$204</f>
        <v>-20.5</v>
      </c>
      <c r="Y187" s="331">
        <f>+'HULP-velden'!$AK$204</f>
        <v>-10.5</v>
      </c>
      <c r="Z187" s="331">
        <f>+'HULP-velden'!$AL$204</f>
        <v>-0.5</v>
      </c>
      <c r="AA187" s="331">
        <f>+'HULP-velden'!$AM$204</f>
        <v>9.5</v>
      </c>
      <c r="AB187" s="331">
        <f>+'HULP-velden'!$AN$204</f>
        <v>19.5</v>
      </c>
      <c r="AC187" s="331">
        <f>+'HULP-velden'!$AO$204</f>
        <v>29.5</v>
      </c>
      <c r="AD187" s="331">
        <f>+'HULP-velden'!$AP$204</f>
        <v>39.5</v>
      </c>
      <c r="AE187" s="331">
        <f>+'HULP-velden'!$AP$200</f>
        <v>41.5</v>
      </c>
    </row>
    <row r="188" spans="16:31" ht="15" customHeight="1" x14ac:dyDescent="0.25">
      <c r="P188" s="223"/>
      <c r="Q188" s="223"/>
      <c r="R188" s="223"/>
      <c r="S188" s="223"/>
      <c r="T188" s="223"/>
      <c r="U188" s="223"/>
      <c r="V188" s="226">
        <f>'HULP-velden'!$AE$205</f>
        <v>318000</v>
      </c>
      <c r="W188" s="223"/>
      <c r="X188" s="331">
        <f>+'HULP-velden'!$AJ$205</f>
        <v>-21</v>
      </c>
      <c r="Y188" s="331">
        <f>+'HULP-velden'!$AK$205</f>
        <v>-11</v>
      </c>
      <c r="Z188" s="331">
        <f>+'HULP-velden'!$AL$205</f>
        <v>-1</v>
      </c>
      <c r="AA188" s="331">
        <f>+'HULP-velden'!$AM$205</f>
        <v>9</v>
      </c>
      <c r="AB188" s="331">
        <f>+'HULP-velden'!$AN$205</f>
        <v>19</v>
      </c>
      <c r="AC188" s="331">
        <f>+'HULP-velden'!$AO$205</f>
        <v>28.999999999999996</v>
      </c>
      <c r="AD188" s="331">
        <f>+'HULP-velden'!$AP$205</f>
        <v>39</v>
      </c>
      <c r="AE188" s="331">
        <f>+'HULP-velden'!$AP$201</f>
        <v>41</v>
      </c>
    </row>
    <row r="189" spans="16:31" ht="15" customHeight="1" x14ac:dyDescent="0.25">
      <c r="P189" s="223"/>
      <c r="Q189" s="223"/>
      <c r="R189" s="223"/>
      <c r="S189" s="223"/>
      <c r="T189" s="223"/>
      <c r="U189" s="223"/>
      <c r="V189" s="226">
        <f>'HULP-velden'!$AE$206</f>
        <v>317000</v>
      </c>
      <c r="W189" s="223"/>
      <c r="X189" s="331">
        <f>+'HULP-velden'!$AJ$206</f>
        <v>-21.5</v>
      </c>
      <c r="Y189" s="331">
        <f>+'HULP-velden'!$AK$206</f>
        <v>-11.5</v>
      </c>
      <c r="Z189" s="331">
        <f>+'HULP-velden'!$AL$206</f>
        <v>-1.5</v>
      </c>
      <c r="AA189" s="331">
        <f>+'HULP-velden'!$AM$206</f>
        <v>8.5</v>
      </c>
      <c r="AB189" s="331">
        <f>+'HULP-velden'!$AN$206</f>
        <v>18.5</v>
      </c>
      <c r="AC189" s="331">
        <f>+'HULP-velden'!$AO$206</f>
        <v>28.499999999999996</v>
      </c>
      <c r="AD189" s="331">
        <f>+'HULP-velden'!$AP$206</f>
        <v>38.5</v>
      </c>
      <c r="AE189" s="331">
        <f>+'HULP-velden'!$AP$202</f>
        <v>40.5</v>
      </c>
    </row>
    <row r="190" spans="16:31" ht="15" customHeight="1" x14ac:dyDescent="0.25">
      <c r="P190" s="223"/>
      <c r="Q190" s="223"/>
      <c r="R190" s="223"/>
      <c r="S190" s="223"/>
      <c r="T190" s="223"/>
      <c r="U190" s="223"/>
      <c r="V190" s="226">
        <f>'HULP-velden'!$AE$207</f>
        <v>316000</v>
      </c>
      <c r="W190" s="223"/>
      <c r="X190" s="331">
        <f>+'HULP-velden'!$AJ$207</f>
        <v>-22</v>
      </c>
      <c r="Y190" s="331">
        <f>+'HULP-velden'!$AK$207</f>
        <v>-12</v>
      </c>
      <c r="Z190" s="331">
        <f>+'HULP-velden'!$AL$207</f>
        <v>-2</v>
      </c>
      <c r="AA190" s="331">
        <f>+'HULP-velden'!$AM$207</f>
        <v>8</v>
      </c>
      <c r="AB190" s="331">
        <f>+'HULP-velden'!$AN$207</f>
        <v>18</v>
      </c>
      <c r="AC190" s="331">
        <f>+'HULP-velden'!$AO$207</f>
        <v>28.000000000000004</v>
      </c>
      <c r="AD190" s="331">
        <f>+'HULP-velden'!$AP$207</f>
        <v>38</v>
      </c>
      <c r="AE190" s="331">
        <f>+'HULP-velden'!$AP$203</f>
        <v>40</v>
      </c>
    </row>
    <row r="191" spans="16:31" ht="15" customHeight="1" x14ac:dyDescent="0.25">
      <c r="P191" s="223"/>
      <c r="Q191" s="223"/>
      <c r="R191" s="223"/>
      <c r="S191" s="223"/>
      <c r="T191" s="223"/>
      <c r="U191" s="223"/>
      <c r="V191" s="226">
        <f>'HULP-velden'!$AE$208</f>
        <v>315000</v>
      </c>
      <c r="W191" s="223"/>
      <c r="X191" s="331">
        <f>+'HULP-velden'!$AJ$208</f>
        <v>-22.5</v>
      </c>
      <c r="Y191" s="331">
        <f>+'HULP-velden'!$AK$208</f>
        <v>-12.5</v>
      </c>
      <c r="Z191" s="331">
        <f>+'HULP-velden'!$AL$208</f>
        <v>-2.5</v>
      </c>
      <c r="AA191" s="331">
        <f>+'HULP-velden'!$AM$208</f>
        <v>7.5</v>
      </c>
      <c r="AB191" s="331">
        <f>+'HULP-velden'!$AN$208</f>
        <v>17.5</v>
      </c>
      <c r="AC191" s="331">
        <f>+'HULP-velden'!$AO$208</f>
        <v>27.500000000000004</v>
      </c>
      <c r="AD191" s="331">
        <f>+'HULP-velden'!$AP$208</f>
        <v>37.5</v>
      </c>
      <c r="AE191" s="331">
        <f>+'HULP-velden'!$AP$204</f>
        <v>39.5</v>
      </c>
    </row>
    <row r="192" spans="16:31" ht="15" customHeight="1" x14ac:dyDescent="0.25">
      <c r="P192" s="223"/>
      <c r="Q192" s="223"/>
      <c r="R192" s="223"/>
      <c r="S192" s="223"/>
      <c r="T192" s="223"/>
      <c r="U192" s="223"/>
      <c r="V192" s="226">
        <f>'HULP-velden'!$AE$209</f>
        <v>314000</v>
      </c>
      <c r="W192" s="223"/>
      <c r="X192" s="331">
        <f>+'HULP-velden'!$AJ$209</f>
        <v>-23</v>
      </c>
      <c r="Y192" s="331">
        <f>+'HULP-velden'!$AK$209</f>
        <v>-13</v>
      </c>
      <c r="Z192" s="331">
        <f>+'HULP-velden'!$AL$209</f>
        <v>-3</v>
      </c>
      <c r="AA192" s="331">
        <f>+'HULP-velden'!$AM$209</f>
        <v>7.0000000000000009</v>
      </c>
      <c r="AB192" s="331">
        <f>+'HULP-velden'!$AN$209</f>
        <v>17</v>
      </c>
      <c r="AC192" s="331">
        <f>+'HULP-velden'!$AO$209</f>
        <v>27</v>
      </c>
      <c r="AD192" s="331">
        <f>+'HULP-velden'!$AP$209</f>
        <v>37</v>
      </c>
      <c r="AE192" s="331">
        <f>+'HULP-velden'!$AP$205</f>
        <v>39</v>
      </c>
    </row>
    <row r="193" spans="16:31" ht="15" customHeight="1" x14ac:dyDescent="0.25">
      <c r="P193" s="223"/>
      <c r="Q193" s="223"/>
      <c r="R193" s="223"/>
      <c r="S193" s="223"/>
      <c r="T193" s="223"/>
      <c r="U193" s="223"/>
      <c r="V193" s="226">
        <f>'HULP-velden'!$AE$210</f>
        <v>313000</v>
      </c>
      <c r="W193" s="223"/>
      <c r="X193" s="331">
        <f>+'HULP-velden'!$AJ$210</f>
        <v>-23.5</v>
      </c>
      <c r="Y193" s="331">
        <f>+'HULP-velden'!$AK$210</f>
        <v>-13.5</v>
      </c>
      <c r="Z193" s="331">
        <f>+'HULP-velden'!$AL$210</f>
        <v>-3.5000000000000004</v>
      </c>
      <c r="AA193" s="331">
        <f>+'HULP-velden'!$AM$210</f>
        <v>6.5</v>
      </c>
      <c r="AB193" s="331">
        <f>+'HULP-velden'!$AN$210</f>
        <v>16.5</v>
      </c>
      <c r="AC193" s="331">
        <f>+'HULP-velden'!$AO$210</f>
        <v>26.5</v>
      </c>
      <c r="AD193" s="331">
        <f>+'HULP-velden'!$AP$210</f>
        <v>36.5</v>
      </c>
      <c r="AE193" s="331">
        <f>+'HULP-velden'!$AP$206</f>
        <v>38.5</v>
      </c>
    </row>
    <row r="194" spans="16:31" ht="15" customHeight="1" x14ac:dyDescent="0.25">
      <c r="P194" s="223"/>
      <c r="Q194" s="223"/>
      <c r="R194" s="223"/>
      <c r="S194" s="223"/>
      <c r="T194" s="223"/>
      <c r="U194" s="223"/>
      <c r="V194" s="226">
        <f>'HULP-velden'!$AE$211</f>
        <v>312000</v>
      </c>
      <c r="W194" s="223"/>
      <c r="X194" s="331">
        <f>+'HULP-velden'!$AJ$211</f>
        <v>-24</v>
      </c>
      <c r="Y194" s="331">
        <f>+'HULP-velden'!$AK$211</f>
        <v>-14.000000000000002</v>
      </c>
      <c r="Z194" s="331">
        <f>+'HULP-velden'!$AL$211</f>
        <v>-4</v>
      </c>
      <c r="AA194" s="331">
        <f>+'HULP-velden'!$AM$211</f>
        <v>6</v>
      </c>
      <c r="AB194" s="331">
        <f>+'HULP-velden'!$AN$211</f>
        <v>16</v>
      </c>
      <c r="AC194" s="331">
        <f>+'HULP-velden'!$AO$211</f>
        <v>26</v>
      </c>
      <c r="AD194" s="331">
        <f>+'HULP-velden'!$AP$211</f>
        <v>36</v>
      </c>
      <c r="AE194" s="331">
        <f>+'HULP-velden'!$AP$207</f>
        <v>38</v>
      </c>
    </row>
    <row r="195" spans="16:31" ht="15" customHeight="1" x14ac:dyDescent="0.25">
      <c r="P195" s="223"/>
      <c r="Q195" s="223"/>
      <c r="R195" s="223"/>
      <c r="S195" s="223"/>
      <c r="T195" s="223"/>
      <c r="U195" s="223"/>
      <c r="V195" s="226">
        <f>'HULP-velden'!$AE$212</f>
        <v>311000</v>
      </c>
      <c r="W195" s="223"/>
      <c r="X195" s="331">
        <f>+'HULP-velden'!$AJ$212</f>
        <v>-24.5</v>
      </c>
      <c r="Y195" s="331">
        <f>+'HULP-velden'!$AK$212</f>
        <v>-14.499999999999998</v>
      </c>
      <c r="Z195" s="331">
        <f>+'HULP-velden'!$AL$212</f>
        <v>-4.5</v>
      </c>
      <c r="AA195" s="331">
        <f>+'HULP-velden'!$AM$212</f>
        <v>5.5</v>
      </c>
      <c r="AB195" s="331">
        <f>+'HULP-velden'!$AN$212</f>
        <v>15.5</v>
      </c>
      <c r="AC195" s="331">
        <f>+'HULP-velden'!$AO$212</f>
        <v>25.5</v>
      </c>
      <c r="AD195" s="331">
        <f>+'HULP-velden'!$AP$212</f>
        <v>35.5</v>
      </c>
      <c r="AE195" s="331">
        <f>+'HULP-velden'!$AP$208</f>
        <v>37.5</v>
      </c>
    </row>
    <row r="196" spans="16:31" ht="15" customHeight="1" x14ac:dyDescent="0.25">
      <c r="P196" s="223"/>
      <c r="Q196" s="223"/>
      <c r="R196" s="223"/>
      <c r="S196" s="223"/>
      <c r="T196" s="223"/>
      <c r="U196" s="223"/>
      <c r="V196" s="226">
        <f>'HULP-velden'!$AE$213</f>
        <v>310000</v>
      </c>
      <c r="W196" s="223"/>
      <c r="X196" s="331">
        <f>+'HULP-velden'!$AJ$213</f>
        <v>-25</v>
      </c>
      <c r="Y196" s="331">
        <f>+'HULP-velden'!$AK$213</f>
        <v>-15</v>
      </c>
      <c r="Z196" s="331">
        <f>+'HULP-velden'!$AL$213</f>
        <v>-5</v>
      </c>
      <c r="AA196" s="331">
        <f>+'HULP-velden'!$AM$213</f>
        <v>5</v>
      </c>
      <c r="AB196" s="331">
        <f>+'HULP-velden'!$AN$213</f>
        <v>15</v>
      </c>
      <c r="AC196" s="331">
        <f>+'HULP-velden'!$AO$213</f>
        <v>25</v>
      </c>
      <c r="AD196" s="331">
        <f>+'HULP-velden'!$AP$213</f>
        <v>35</v>
      </c>
      <c r="AE196" s="331">
        <f>+'HULP-velden'!$AP$209</f>
        <v>37</v>
      </c>
    </row>
    <row r="197" spans="16:31" ht="15" customHeight="1" x14ac:dyDescent="0.25">
      <c r="P197" s="223"/>
      <c r="Q197" s="223"/>
      <c r="R197" s="223"/>
      <c r="S197" s="223"/>
      <c r="T197" s="223"/>
      <c r="U197" s="223"/>
      <c r="V197" s="226">
        <f>'HULP-velden'!$AE$214</f>
        <v>309000</v>
      </c>
      <c r="W197" s="223"/>
      <c r="X197" s="331">
        <f>+'HULP-velden'!$AJ$214</f>
        <v>-25.5</v>
      </c>
      <c r="Y197" s="331">
        <f>+'HULP-velden'!$AK$214</f>
        <v>-15.5</v>
      </c>
      <c r="Z197" s="331">
        <f>+'HULP-velden'!$AL$214</f>
        <v>-5.5</v>
      </c>
      <c r="AA197" s="331">
        <f>+'HULP-velden'!$AM$214</f>
        <v>4.5</v>
      </c>
      <c r="AB197" s="331">
        <f>+'HULP-velden'!$AN$214</f>
        <v>14.499999999999998</v>
      </c>
      <c r="AC197" s="331">
        <f>+'HULP-velden'!$AO$214</f>
        <v>24.5</v>
      </c>
      <c r="AD197" s="331">
        <f>+'HULP-velden'!$AP$214</f>
        <v>34.5</v>
      </c>
      <c r="AE197" s="331">
        <f>+'HULP-velden'!$AP$210</f>
        <v>36.5</v>
      </c>
    </row>
    <row r="198" spans="16:31" ht="15" customHeight="1" x14ac:dyDescent="0.25">
      <c r="P198" s="223"/>
      <c r="Q198" s="223"/>
      <c r="R198" s="223"/>
      <c r="S198" s="223"/>
      <c r="T198" s="223"/>
      <c r="U198" s="223"/>
      <c r="V198" s="226">
        <f>'HULP-velden'!$AE$215</f>
        <v>308000</v>
      </c>
      <c r="W198" s="223"/>
      <c r="X198" s="331">
        <f>+'HULP-velden'!$AJ$215</f>
        <v>-26</v>
      </c>
      <c r="Y198" s="331">
        <f>+'HULP-velden'!$AK$215</f>
        <v>-16</v>
      </c>
      <c r="Z198" s="331">
        <f>+'HULP-velden'!$AL$215</f>
        <v>-6</v>
      </c>
      <c r="AA198" s="331">
        <f>+'HULP-velden'!$AM$215</f>
        <v>4</v>
      </c>
      <c r="AB198" s="331">
        <f>+'HULP-velden'!$AN$215</f>
        <v>14.000000000000002</v>
      </c>
      <c r="AC198" s="331">
        <f>+'HULP-velden'!$AO$215</f>
        <v>24</v>
      </c>
      <c r="AD198" s="331">
        <f>+'HULP-velden'!$AP$215</f>
        <v>34</v>
      </c>
      <c r="AE198" s="331">
        <f>+'HULP-velden'!$AP$211</f>
        <v>36</v>
      </c>
    </row>
    <row r="199" spans="16:31" ht="15" customHeight="1" x14ac:dyDescent="0.25">
      <c r="P199" s="223"/>
      <c r="Q199" s="223"/>
      <c r="R199" s="223"/>
      <c r="S199" s="223"/>
      <c r="T199" s="223"/>
      <c r="U199" s="223"/>
      <c r="V199" s="226">
        <f>'HULP-velden'!$AE$216</f>
        <v>307000</v>
      </c>
      <c r="W199" s="223"/>
      <c r="X199" s="331">
        <f>+'HULP-velden'!$AJ$216</f>
        <v>-26.5</v>
      </c>
      <c r="Y199" s="331">
        <f>+'HULP-velden'!$AK$216</f>
        <v>-16.5</v>
      </c>
      <c r="Z199" s="331">
        <f>+'HULP-velden'!$AL$216</f>
        <v>-6.5</v>
      </c>
      <c r="AA199" s="331">
        <f>+'HULP-velden'!$AM$216</f>
        <v>3.5000000000000004</v>
      </c>
      <c r="AB199" s="331">
        <f>+'HULP-velden'!$AN$216</f>
        <v>13.5</v>
      </c>
      <c r="AC199" s="331">
        <f>+'HULP-velden'!$AO$216</f>
        <v>23.5</v>
      </c>
      <c r="AD199" s="331">
        <f>+'HULP-velden'!$AP$216</f>
        <v>33.5</v>
      </c>
      <c r="AE199" s="331">
        <f>+'HULP-velden'!$AP$212</f>
        <v>35.5</v>
      </c>
    </row>
    <row r="200" spans="16:31" ht="15" customHeight="1" x14ac:dyDescent="0.25">
      <c r="P200" s="223"/>
      <c r="Q200" s="223"/>
      <c r="R200" s="223"/>
      <c r="S200" s="223"/>
      <c r="T200" s="223"/>
      <c r="U200" s="223"/>
      <c r="V200" s="226">
        <f>'HULP-velden'!$AE$217</f>
        <v>306000</v>
      </c>
      <c r="W200" s="223"/>
      <c r="X200" s="331">
        <f>+'HULP-velden'!$AJ$217</f>
        <v>-27</v>
      </c>
      <c r="Y200" s="331">
        <f>+'HULP-velden'!$AK$217</f>
        <v>-17</v>
      </c>
      <c r="Z200" s="331">
        <f>+'HULP-velden'!$AL$217</f>
        <v>-7.0000000000000009</v>
      </c>
      <c r="AA200" s="331">
        <f>+'HULP-velden'!$AM$217</f>
        <v>3</v>
      </c>
      <c r="AB200" s="331">
        <f>+'HULP-velden'!$AN$217</f>
        <v>13</v>
      </c>
      <c r="AC200" s="331">
        <f>+'HULP-velden'!$AO$217</f>
        <v>23</v>
      </c>
      <c r="AD200" s="331">
        <f>+'HULP-velden'!$AP$217</f>
        <v>33</v>
      </c>
      <c r="AE200" s="331">
        <f>+'HULP-velden'!$AP$213</f>
        <v>35</v>
      </c>
    </row>
    <row r="201" spans="16:31" ht="15" customHeight="1" x14ac:dyDescent="0.25">
      <c r="P201" s="223"/>
      <c r="Q201" s="223"/>
      <c r="R201" s="223"/>
      <c r="S201" s="223"/>
      <c r="T201" s="223"/>
      <c r="U201" s="223"/>
      <c r="V201" s="226">
        <f>'HULP-velden'!$AE$218</f>
        <v>305000</v>
      </c>
      <c r="W201" s="223"/>
      <c r="X201" s="331">
        <f>+'HULP-velden'!$AJ$218</f>
        <v>-27.500000000000004</v>
      </c>
      <c r="Y201" s="331">
        <f>+'HULP-velden'!$AK$218</f>
        <v>-17.5</v>
      </c>
      <c r="Z201" s="331">
        <f>+'HULP-velden'!$AL$218</f>
        <v>-7.5</v>
      </c>
      <c r="AA201" s="331">
        <f>+'HULP-velden'!$AM$218</f>
        <v>2.5</v>
      </c>
      <c r="AB201" s="331">
        <f>+'HULP-velden'!$AN$218</f>
        <v>12.5</v>
      </c>
      <c r="AC201" s="331">
        <f>+'HULP-velden'!$AO$218</f>
        <v>22.5</v>
      </c>
      <c r="AD201" s="331">
        <f>+'HULP-velden'!$AP$218</f>
        <v>32.5</v>
      </c>
      <c r="AE201" s="331">
        <f>+'HULP-velden'!$AP$214</f>
        <v>34.5</v>
      </c>
    </row>
    <row r="202" spans="16:31" ht="15" customHeight="1" x14ac:dyDescent="0.25">
      <c r="P202" s="223"/>
      <c r="Q202" s="223"/>
      <c r="R202" s="223"/>
      <c r="S202" s="223"/>
      <c r="T202" s="223"/>
      <c r="U202" s="223"/>
      <c r="V202" s="226">
        <f>'HULP-velden'!$AE$219</f>
        <v>304000</v>
      </c>
      <c r="W202" s="223"/>
      <c r="X202" s="331">
        <f>+'HULP-velden'!$AJ$219</f>
        <v>-28.000000000000004</v>
      </c>
      <c r="Y202" s="331">
        <f>+'HULP-velden'!$AK$219</f>
        <v>-18</v>
      </c>
      <c r="Z202" s="331">
        <f>+'HULP-velden'!$AL$219</f>
        <v>-8</v>
      </c>
      <c r="AA202" s="331">
        <f>+'HULP-velden'!$AM$219</f>
        <v>2</v>
      </c>
      <c r="AB202" s="331">
        <f>+'HULP-velden'!$AN$219</f>
        <v>12</v>
      </c>
      <c r="AC202" s="331">
        <f>+'HULP-velden'!$AO$219</f>
        <v>22</v>
      </c>
      <c r="AD202" s="331">
        <f>+'HULP-velden'!$AP$219</f>
        <v>32</v>
      </c>
      <c r="AE202" s="331">
        <f>+'HULP-velden'!$AP$215</f>
        <v>34</v>
      </c>
    </row>
    <row r="203" spans="16:31" ht="15" customHeight="1" x14ac:dyDescent="0.25">
      <c r="P203" s="223"/>
      <c r="Q203" s="223"/>
      <c r="R203" s="223"/>
      <c r="S203" s="223"/>
      <c r="T203" s="223"/>
      <c r="U203" s="223"/>
      <c r="V203" s="226">
        <f>'HULP-velden'!$AE$220</f>
        <v>303000</v>
      </c>
      <c r="W203" s="223"/>
      <c r="X203" s="331">
        <f>+'HULP-velden'!$AJ$220</f>
        <v>-28.499999999999996</v>
      </c>
      <c r="Y203" s="331">
        <f>+'HULP-velden'!$AK$220</f>
        <v>-18.5</v>
      </c>
      <c r="Z203" s="331">
        <f>+'HULP-velden'!$AL$220</f>
        <v>-8.5</v>
      </c>
      <c r="AA203" s="331">
        <f>+'HULP-velden'!$AM$220</f>
        <v>1.5</v>
      </c>
      <c r="AB203" s="331">
        <f>+'HULP-velden'!$AN$220</f>
        <v>11.5</v>
      </c>
      <c r="AC203" s="331">
        <f>+'HULP-velden'!$AO$220</f>
        <v>21.5</v>
      </c>
      <c r="AD203" s="331">
        <f>+'HULP-velden'!$AP$220</f>
        <v>31.5</v>
      </c>
      <c r="AE203" s="331">
        <f>+'HULP-velden'!$AP$216</f>
        <v>33.5</v>
      </c>
    </row>
    <row r="204" spans="16:31" ht="15" customHeight="1" x14ac:dyDescent="0.25">
      <c r="P204" s="223"/>
      <c r="Q204" s="223"/>
      <c r="R204" s="223"/>
      <c r="S204" s="223"/>
      <c r="T204" s="223"/>
      <c r="U204" s="223"/>
      <c r="V204" s="226">
        <f>'HULP-velden'!$AE$221</f>
        <v>302000</v>
      </c>
      <c r="W204" s="223"/>
      <c r="X204" s="331">
        <f>+'HULP-velden'!$AJ$221</f>
        <v>-28.999999999999996</v>
      </c>
      <c r="Y204" s="331">
        <f>+'HULP-velden'!$AK$221</f>
        <v>-19</v>
      </c>
      <c r="Z204" s="331">
        <f>+'HULP-velden'!$AL$221</f>
        <v>-9</v>
      </c>
      <c r="AA204" s="331">
        <f>+'HULP-velden'!$AM$221</f>
        <v>1</v>
      </c>
      <c r="AB204" s="331">
        <f>+'HULP-velden'!$AN$221</f>
        <v>11</v>
      </c>
      <c r="AC204" s="331">
        <f>+'HULP-velden'!$AO$221</f>
        <v>21</v>
      </c>
      <c r="AD204" s="331">
        <f>+'HULP-velden'!$AP$221</f>
        <v>31</v>
      </c>
      <c r="AE204" s="331">
        <f>+'HULP-velden'!$AP$217</f>
        <v>33</v>
      </c>
    </row>
    <row r="205" spans="16:31" ht="15" customHeight="1" x14ac:dyDescent="0.25">
      <c r="P205" s="223"/>
      <c r="Q205" s="223"/>
      <c r="R205" s="223"/>
      <c r="S205" s="223"/>
      <c r="T205" s="223"/>
      <c r="U205" s="223"/>
      <c r="V205" s="226">
        <f>'HULP-velden'!$AE$222</f>
        <v>301000</v>
      </c>
      <c r="W205" s="223"/>
      <c r="X205" s="331">
        <f>+'HULP-velden'!$AJ$222</f>
        <v>-29.5</v>
      </c>
      <c r="Y205" s="331">
        <f>+'HULP-velden'!$AK$222</f>
        <v>-19.5</v>
      </c>
      <c r="Z205" s="331">
        <f>+'HULP-velden'!$AL$222</f>
        <v>-9.5</v>
      </c>
      <c r="AA205" s="331">
        <f>+'HULP-velden'!$AM$222</f>
        <v>0.5</v>
      </c>
      <c r="AB205" s="331">
        <f>+'HULP-velden'!$AN$222</f>
        <v>10.5</v>
      </c>
      <c r="AC205" s="331">
        <f>+'HULP-velden'!$AO$222</f>
        <v>20.5</v>
      </c>
      <c r="AD205" s="331">
        <f>+'HULP-velden'!$AP$222</f>
        <v>30.5</v>
      </c>
      <c r="AE205" s="331">
        <f>+'HULP-velden'!$AP$218</f>
        <v>32.5</v>
      </c>
    </row>
    <row r="206" spans="16:31" ht="15" customHeight="1" x14ac:dyDescent="0.25">
      <c r="P206" s="223"/>
      <c r="Q206" s="223"/>
      <c r="R206" s="223"/>
      <c r="S206" s="223"/>
      <c r="T206" s="223"/>
      <c r="U206" s="223"/>
      <c r="V206" s="226">
        <f>'HULP-velden'!$AE$223</f>
        <v>300000</v>
      </c>
      <c r="W206" s="223"/>
      <c r="X206" s="331">
        <f>+'HULP-velden'!$AJ$223</f>
        <v>-30</v>
      </c>
      <c r="Y206" s="331">
        <f>+'HULP-velden'!$AK$223</f>
        <v>-20</v>
      </c>
      <c r="Z206" s="331">
        <f>+'HULP-velden'!$AL$223</f>
        <v>-10</v>
      </c>
      <c r="AA206" s="331">
        <f>+'HULP-velden'!$AM$223</f>
        <v>0</v>
      </c>
      <c r="AB206" s="331">
        <f>+'HULP-velden'!$AN$223</f>
        <v>10</v>
      </c>
      <c r="AC206" s="331">
        <f>+'HULP-velden'!$AO$223</f>
        <v>20</v>
      </c>
      <c r="AD206" s="331">
        <f>+'HULP-velden'!$AP$223</f>
        <v>30</v>
      </c>
      <c r="AE206" s="331">
        <f>+'HULP-velden'!$AP$219</f>
        <v>32</v>
      </c>
    </row>
    <row r="207" spans="16:31" ht="15" customHeight="1" x14ac:dyDescent="0.25">
      <c r="Q207" s="223"/>
      <c r="R207" s="223"/>
      <c r="S207" s="223"/>
      <c r="T207" s="223"/>
      <c r="U207" s="223"/>
      <c r="V207" s="223"/>
      <c r="W207" s="226">
        <f>'HULP-velden'!$AE$220</f>
        <v>303000</v>
      </c>
      <c r="X207" s="223"/>
      <c r="Y207" s="331">
        <f>+'HULP-velden'!$AJ$220</f>
        <v>-28.499999999999996</v>
      </c>
      <c r="Z207" s="331">
        <f>+'HULP-velden'!$AK$220</f>
        <v>-18.5</v>
      </c>
      <c r="AA207" s="331">
        <f>+'HULP-velden'!$AL$220</f>
        <v>-8.5</v>
      </c>
      <c r="AB207" s="331">
        <f>+'HULP-velden'!$AM$220</f>
        <v>1.5</v>
      </c>
      <c r="AC207" s="331">
        <f>+'HULP-velden'!$AN$220</f>
        <v>11.5</v>
      </c>
      <c r="AD207" s="331">
        <f>+'HULP-velden'!$AO$220</f>
        <v>21.5</v>
      </c>
      <c r="AE207" s="331">
        <f>+'HULP-velden'!$AP$220</f>
        <v>31.5</v>
      </c>
    </row>
    <row r="208" spans="16:31" ht="15" customHeight="1" x14ac:dyDescent="0.25">
      <c r="Q208" s="223"/>
      <c r="R208" s="223"/>
      <c r="S208" s="223"/>
      <c r="T208" s="223"/>
      <c r="U208" s="223"/>
      <c r="V208" s="223"/>
      <c r="W208" s="226">
        <f>'HULP-velden'!$AE$221</f>
        <v>302000</v>
      </c>
      <c r="X208" s="223"/>
      <c r="Y208" s="331">
        <f>+'HULP-velden'!$AJ$221</f>
        <v>-28.999999999999996</v>
      </c>
      <c r="Z208" s="331">
        <f>+'HULP-velden'!$AK$221</f>
        <v>-19</v>
      </c>
      <c r="AA208" s="331">
        <f>+'HULP-velden'!$AL$221</f>
        <v>-9</v>
      </c>
      <c r="AB208" s="331">
        <f>+'HULP-velden'!$AM$221</f>
        <v>1</v>
      </c>
      <c r="AC208" s="331">
        <f>+'HULP-velden'!$AN$221</f>
        <v>11</v>
      </c>
      <c r="AD208" s="331">
        <f>+'HULP-velden'!$AO$221</f>
        <v>21</v>
      </c>
      <c r="AE208" s="331">
        <f>+'HULP-velden'!$AP$221</f>
        <v>31</v>
      </c>
    </row>
    <row r="209" spans="17:31" ht="15" customHeight="1" x14ac:dyDescent="0.25">
      <c r="Q209" s="223"/>
      <c r="R209" s="223"/>
      <c r="S209" s="223"/>
      <c r="T209" s="223"/>
      <c r="U209" s="223"/>
      <c r="V209" s="223"/>
      <c r="W209" s="226">
        <f>'HULP-velden'!$AE$222</f>
        <v>301000</v>
      </c>
      <c r="X209" s="223"/>
      <c r="Y209" s="331">
        <f>+'HULP-velden'!$AJ$222</f>
        <v>-29.5</v>
      </c>
      <c r="Z209" s="331">
        <f>+'HULP-velden'!$AK$222</f>
        <v>-19.5</v>
      </c>
      <c r="AA209" s="331">
        <f>+'HULP-velden'!$AL$222</f>
        <v>-9.5</v>
      </c>
      <c r="AB209" s="331">
        <f>+'HULP-velden'!$AM$222</f>
        <v>0.5</v>
      </c>
      <c r="AC209" s="331">
        <f>+'HULP-velden'!$AN$222</f>
        <v>10.5</v>
      </c>
      <c r="AD209" s="331">
        <f>+'HULP-velden'!$AO$222</f>
        <v>20.5</v>
      </c>
      <c r="AE209" s="331">
        <f>+'HULP-velden'!$AP$222</f>
        <v>30.5</v>
      </c>
    </row>
    <row r="210" spans="17:31" ht="15" customHeight="1" x14ac:dyDescent="0.25">
      <c r="Q210" s="223"/>
      <c r="R210" s="223"/>
      <c r="S210" s="223"/>
      <c r="T210" s="223"/>
      <c r="U210" s="223"/>
      <c r="V210" s="223"/>
      <c r="W210" s="226">
        <f>'HULP-velden'!$AE$223</f>
        <v>300000</v>
      </c>
      <c r="X210" s="223"/>
      <c r="Y210" s="331">
        <f>+'HULP-velden'!$AJ$223</f>
        <v>-30</v>
      </c>
      <c r="Z210" s="331">
        <f>+'HULP-velden'!$AK$223</f>
        <v>-20</v>
      </c>
      <c r="AA210" s="331">
        <f>+'HULP-velden'!$AL$223</f>
        <v>-10</v>
      </c>
      <c r="AB210" s="331">
        <f>+'HULP-velden'!$AM$223</f>
        <v>0</v>
      </c>
      <c r="AC210" s="331">
        <f>+'HULP-velden'!$AN$223</f>
        <v>10</v>
      </c>
      <c r="AD210" s="331">
        <f>+'HULP-velden'!$AO$223</f>
        <v>20</v>
      </c>
      <c r="AE210" s="331">
        <f>+'HULP-velden'!$AP$223</f>
        <v>30</v>
      </c>
    </row>
  </sheetData>
  <sheetProtection algorithmName="SHA-512" hashValue="Zta5StO03DMNxuYlVr28DTIM2wWOA8wfqlnBh+2PDtkPRqOFfpibcxQI38gASfRUbUGz3FF+aZoUIBuGXC6mVQ==" saltValue="Ff81MLgYd4Z71OhP1+AkbA==" spinCount="100000" sheet="1" objects="1" scenarios="1"/>
  <mergeCells count="16">
    <mergeCell ref="L8:L19"/>
    <mergeCell ref="D16:E16"/>
    <mergeCell ref="D17:E17"/>
    <mergeCell ref="D18:E18"/>
    <mergeCell ref="D19:E19"/>
    <mergeCell ref="D20:E20"/>
    <mergeCell ref="D11:E11"/>
    <mergeCell ref="D12:E12"/>
    <mergeCell ref="D13:E13"/>
    <mergeCell ref="D14:E14"/>
    <mergeCell ref="D15:E15"/>
    <mergeCell ref="G6:G7"/>
    <mergeCell ref="B2:B4"/>
    <mergeCell ref="D8:E8"/>
    <mergeCell ref="D9:E9"/>
    <mergeCell ref="D10:E10"/>
  </mergeCells>
  <phoneticPr fontId="28" type="noConversion"/>
  <conditionalFormatting sqref="C16">
    <cfRule type="expression" dxfId="7" priority="26">
      <formula>J16=1</formula>
    </cfRule>
  </conditionalFormatting>
  <conditionalFormatting sqref="C17">
    <cfRule type="expression" dxfId="6" priority="25">
      <formula>J17=1</formula>
    </cfRule>
  </conditionalFormatting>
  <conditionalFormatting sqref="C8:C15">
    <cfRule type="expression" dxfId="5" priority="24">
      <formula>J8=1</formula>
    </cfRule>
  </conditionalFormatting>
  <conditionalFormatting sqref="C18">
    <cfRule type="expression" dxfId="4" priority="22">
      <formula>J18=1</formula>
    </cfRule>
  </conditionalFormatting>
  <conditionalFormatting sqref="C19">
    <cfRule type="expression" dxfId="3" priority="21">
      <formula>J19=1</formula>
    </cfRule>
  </conditionalFormatting>
  <conditionalFormatting sqref="J8:L8 J9:K19">
    <cfRule type="cellIs" dxfId="2" priority="13" operator="equal">
      <formula>1</formula>
    </cfRule>
  </conditionalFormatting>
  <conditionalFormatting sqref="J8:L8 J9:K19">
    <cfRule type="expression" dxfId="1" priority="11">
      <formula>J8="KO"</formula>
    </cfRule>
  </conditionalFormatting>
  <pageMargins left="0.7" right="0.7" top="0.75" bottom="0.75" header="0.3" footer="0.3"/>
  <pageSetup paperSize="9" scale="52" orientation="landscape" r:id="rId1"/>
  <ignoredErrors>
    <ignoredError sqref="C8:C19"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3">
    <tabColor rgb="FF8FCAE7"/>
  </sheetPr>
  <dimension ref="A1:W33"/>
  <sheetViews>
    <sheetView showGridLines="0" showRowColHeaders="0" zoomScale="91" zoomScaleNormal="91" workbookViewId="0">
      <selection activeCell="D6" sqref="D6:E6"/>
    </sheetView>
  </sheetViews>
  <sheetFormatPr defaultColWidth="0" defaultRowHeight="12" customHeight="1" zeroHeight="1" x14ac:dyDescent="0.25"/>
  <cols>
    <col min="1" max="1" width="3.7109375" customWidth="1"/>
    <col min="2" max="2" width="5.42578125" customWidth="1"/>
    <col min="3" max="3" width="25.7109375" customWidth="1"/>
    <col min="4" max="4" width="30.7109375" customWidth="1"/>
    <col min="5" max="5" width="15.7109375" customWidth="1"/>
    <col min="6" max="6" width="20.7109375" customWidth="1"/>
    <col min="7" max="7" width="16.28515625" customWidth="1"/>
    <col min="8" max="8" width="20.7109375" customWidth="1"/>
    <col min="9" max="10" width="10.7109375" customWidth="1"/>
    <col min="11" max="12" width="5" bestFit="1" customWidth="1"/>
    <col min="13" max="14" width="20.7109375" customWidth="1"/>
    <col min="15" max="15" width="11.140625" customWidth="1"/>
    <col min="16" max="16" width="12.5703125" bestFit="1" customWidth="1"/>
    <col min="17" max="18" width="15.7109375" customWidth="1"/>
    <col min="19" max="19" width="10.7109375" customWidth="1"/>
    <col min="20" max="20" width="13.28515625" customWidth="1"/>
    <col min="21" max="21" width="6" bestFit="1" customWidth="1"/>
    <col min="22" max="22" width="3.7109375" customWidth="1"/>
    <col min="23" max="23" width="0" hidden="1" customWidth="1"/>
    <col min="24" max="16384" width="9.140625" hidden="1"/>
  </cols>
  <sheetData>
    <row r="1" spans="2:21" ht="21" customHeight="1" x14ac:dyDescent="0.25"/>
    <row r="2" spans="2:21" ht="21" customHeight="1" x14ac:dyDescent="0.25">
      <c r="B2" s="467" t="str">
        <f>"Data voor onderzoek Gewogen Factor Methode"</f>
        <v>Data voor onderzoek Gewogen Factor Methode</v>
      </c>
      <c r="C2" s="467"/>
      <c r="D2" s="467"/>
      <c r="E2" s="467"/>
      <c r="F2" s="467"/>
      <c r="G2" s="467"/>
      <c r="H2" s="467"/>
      <c r="I2" s="20"/>
      <c r="J2" s="20"/>
      <c r="K2" s="20"/>
      <c r="L2" s="20"/>
      <c r="M2" s="20"/>
      <c r="N2" s="20"/>
      <c r="O2" s="20"/>
      <c r="P2" s="20"/>
      <c r="Q2" s="20"/>
      <c r="R2" s="20"/>
      <c r="S2" s="20"/>
      <c r="T2" s="20"/>
      <c r="U2" s="20"/>
    </row>
    <row r="3" spans="2:21" ht="21" customHeight="1" x14ac:dyDescent="0.25">
      <c r="B3" s="467"/>
      <c r="C3" s="467"/>
      <c r="D3" s="467"/>
      <c r="E3" s="467"/>
      <c r="F3" s="467"/>
      <c r="G3" s="467"/>
      <c r="H3" s="467"/>
      <c r="I3" s="20"/>
      <c r="J3" s="20"/>
      <c r="K3" s="20"/>
      <c r="L3" s="20"/>
      <c r="M3" s="20"/>
      <c r="N3" s="20"/>
      <c r="O3" s="20"/>
      <c r="P3" s="20"/>
      <c r="Q3" s="20"/>
      <c r="R3" s="20"/>
      <c r="S3" s="20"/>
      <c r="T3" s="20"/>
      <c r="U3" s="20"/>
    </row>
    <row r="4" spans="2:21" ht="21" customHeight="1" x14ac:dyDescent="0.25">
      <c r="B4" s="467"/>
      <c r="C4" s="467"/>
      <c r="D4" s="467"/>
      <c r="E4" s="467"/>
      <c r="F4" s="467"/>
      <c r="G4" s="467"/>
      <c r="H4" s="467"/>
      <c r="I4" s="20"/>
      <c r="J4" s="20"/>
      <c r="K4" s="20"/>
      <c r="L4" s="20"/>
      <c r="M4" s="20"/>
      <c r="N4" s="20"/>
      <c r="O4" s="20"/>
      <c r="P4" s="20"/>
      <c r="Q4" s="20"/>
      <c r="R4" s="20"/>
      <c r="S4" s="20"/>
      <c r="T4" s="20"/>
      <c r="U4" s="20"/>
    </row>
    <row r="5" spans="2:21" ht="24.95" customHeight="1" x14ac:dyDescent="0.25"/>
    <row r="6" spans="2:21" s="24" customFormat="1" ht="24.95" customHeight="1" x14ac:dyDescent="0.25">
      <c r="B6" s="21" t="s">
        <v>11</v>
      </c>
      <c r="C6" s="22"/>
      <c r="D6" s="506" t="str">
        <f>Dashboard!E6</f>
        <v>Test</v>
      </c>
      <c r="E6" s="507"/>
      <c r="G6" s="27" t="s">
        <v>13</v>
      </c>
      <c r="H6" s="28"/>
      <c r="I6" s="510"/>
      <c r="J6" s="512"/>
      <c r="K6" s="512"/>
      <c r="L6" s="512"/>
      <c r="M6" s="511"/>
      <c r="O6" s="27" t="s">
        <v>16</v>
      </c>
      <c r="P6" s="22"/>
      <c r="Q6" s="505"/>
      <c r="R6" s="505"/>
    </row>
    <row r="7" spans="2:21" s="24" customFormat="1" ht="24.95" customHeight="1" x14ac:dyDescent="0.25">
      <c r="B7" s="21" t="s">
        <v>12</v>
      </c>
      <c r="C7" s="22"/>
      <c r="D7" s="386" t="str">
        <f>Dashboard!E7</f>
        <v>IUC26-001</v>
      </c>
      <c r="E7" s="23"/>
      <c r="G7" s="27" t="s">
        <v>14</v>
      </c>
      <c r="H7" s="28"/>
      <c r="I7" s="510"/>
      <c r="J7" s="511"/>
      <c r="O7" s="27" t="s">
        <v>17</v>
      </c>
      <c r="P7" s="22"/>
      <c r="Q7" s="505"/>
      <c r="R7" s="505"/>
    </row>
    <row r="8" spans="2:21" s="24" customFormat="1" ht="24.95" customHeight="1" x14ac:dyDescent="0.25">
      <c r="B8" s="21" t="s">
        <v>146</v>
      </c>
      <c r="C8" s="22"/>
      <c r="D8" s="25" t="str">
        <f>Dashboard!F7</f>
        <v>Machtsformule</v>
      </c>
      <c r="E8" s="23"/>
      <c r="G8" s="27" t="s">
        <v>15</v>
      </c>
      <c r="H8" s="28"/>
      <c r="I8" s="508"/>
      <c r="J8" s="509"/>
      <c r="K8" s="507"/>
    </row>
    <row r="9" spans="2:21" s="24" customFormat="1" ht="24.95" customHeight="1" x14ac:dyDescent="0.25">
      <c r="B9" s="26"/>
      <c r="C9" s="23"/>
      <c r="D9" s="23"/>
      <c r="E9" s="23"/>
      <c r="F9" s="23"/>
      <c r="G9" s="23"/>
    </row>
    <row r="10" spans="2:21" s="24" customFormat="1" ht="27.95" customHeight="1" x14ac:dyDescent="0.25">
      <c r="B10" s="24" t="s">
        <v>352</v>
      </c>
    </row>
    <row r="11" spans="2:21" s="24" customFormat="1" ht="27.95" customHeight="1" x14ac:dyDescent="0.25">
      <c r="B11" s="352" t="s">
        <v>18</v>
      </c>
      <c r="C11" s="353" t="s">
        <v>12</v>
      </c>
      <c r="D11" s="354" t="s">
        <v>11</v>
      </c>
      <c r="E11" s="355" t="s">
        <v>15</v>
      </c>
      <c r="F11" s="356" t="s">
        <v>305</v>
      </c>
      <c r="G11" s="354" t="s">
        <v>276</v>
      </c>
      <c r="H11" s="355" t="s">
        <v>19</v>
      </c>
      <c r="I11" s="355" t="s">
        <v>20</v>
      </c>
      <c r="J11" s="355" t="s">
        <v>9</v>
      </c>
      <c r="K11" s="355" t="s">
        <v>7</v>
      </c>
      <c r="L11" s="355" t="s">
        <v>8</v>
      </c>
      <c r="M11" s="355" t="s">
        <v>73</v>
      </c>
      <c r="N11" s="355" t="s">
        <v>80</v>
      </c>
      <c r="O11" s="355" t="s">
        <v>74</v>
      </c>
      <c r="P11" s="355" t="s">
        <v>22</v>
      </c>
      <c r="Q11" s="357" t="s">
        <v>306</v>
      </c>
      <c r="R11" s="355" t="s">
        <v>23</v>
      </c>
      <c r="S11" s="355" t="s">
        <v>65</v>
      </c>
      <c r="T11" s="355" t="s">
        <v>24</v>
      </c>
      <c r="U11" s="355" t="s">
        <v>144</v>
      </c>
    </row>
    <row r="12" spans="2:21" s="24" customFormat="1" ht="20.100000000000001" customHeight="1" x14ac:dyDescent="0.25">
      <c r="B12" s="358">
        <v>1</v>
      </c>
      <c r="C12" s="359" t="str">
        <f t="shared" ref="C12:C23" si="0">$D$7</f>
        <v>IUC26-001</v>
      </c>
      <c r="D12" s="359" t="str">
        <f t="shared" ref="D12:D23" si="1">$D$6</f>
        <v>Test</v>
      </c>
      <c r="E12" s="369">
        <f t="shared" ref="E12:E23" si="2">$I$8</f>
        <v>0</v>
      </c>
      <c r="F12" s="360">
        <f t="shared" ref="F12:F23" si="3">$I$7</f>
        <v>0</v>
      </c>
      <c r="G12" s="360" t="str">
        <f>Dashboard!$F$7</f>
        <v>Machtsformule</v>
      </c>
      <c r="H12" s="361">
        <f>'HULP-velden'!$C$8</f>
        <v>400000</v>
      </c>
      <c r="I12" s="362">
        <f>'HULP-velden'!$M$15</f>
        <v>250</v>
      </c>
      <c r="J12" s="363">
        <f>'HULP-velden'!$C$6</f>
        <v>500</v>
      </c>
      <c r="K12" s="359">
        <f>'HULP-velden'!$C$10</f>
        <v>0.5</v>
      </c>
      <c r="L12" s="359">
        <f>+'HULP-velden'!$C$11</f>
        <v>0.5</v>
      </c>
      <c r="M12" s="361">
        <f>+'HULP-velden'!$C$14</f>
        <v>300000</v>
      </c>
      <c r="N12" s="361">
        <f>+'HULP-velden'!$C$17</f>
        <v>500000</v>
      </c>
      <c r="O12" s="364">
        <f>+'HULP-velden'!$C$15</f>
        <v>-1000</v>
      </c>
      <c r="P12" s="365">
        <f>+'HULP-velden'!$C$16</f>
        <v>1</v>
      </c>
      <c r="Q12" s="359" t="s">
        <v>114</v>
      </c>
      <c r="R12" s="361">
        <f>+Offertes!F8</f>
        <v>0</v>
      </c>
      <c r="S12" s="366">
        <f>+Offertes!G8</f>
        <v>0</v>
      </c>
      <c r="T12" s="367" t="str">
        <f>+Offertes!I8</f>
        <v/>
      </c>
      <c r="U12" s="368" t="str">
        <f>+Offertes!J8</f>
        <v/>
      </c>
    </row>
    <row r="13" spans="2:21" s="24" customFormat="1" ht="20.100000000000001" customHeight="1" x14ac:dyDescent="0.25">
      <c r="B13" s="358">
        <v>2</v>
      </c>
      <c r="C13" s="359" t="str">
        <f t="shared" si="0"/>
        <v>IUC26-001</v>
      </c>
      <c r="D13" s="359" t="str">
        <f t="shared" si="1"/>
        <v>Test</v>
      </c>
      <c r="E13" s="369">
        <f t="shared" si="2"/>
        <v>0</v>
      </c>
      <c r="F13" s="360">
        <f t="shared" si="3"/>
        <v>0</v>
      </c>
      <c r="G13" s="360" t="str">
        <f>Dashboard!$F$7</f>
        <v>Machtsformule</v>
      </c>
      <c r="H13" s="361">
        <f>'HULP-velden'!$C$8</f>
        <v>400000</v>
      </c>
      <c r="I13" s="362">
        <f>'HULP-velden'!$M$15</f>
        <v>250</v>
      </c>
      <c r="J13" s="363">
        <f>'HULP-velden'!$C$6</f>
        <v>500</v>
      </c>
      <c r="K13" s="359">
        <f>'HULP-velden'!$C$10</f>
        <v>0.5</v>
      </c>
      <c r="L13" s="359">
        <f>+'HULP-velden'!$C$11</f>
        <v>0.5</v>
      </c>
      <c r="M13" s="361">
        <f>+'HULP-velden'!$C$14</f>
        <v>300000</v>
      </c>
      <c r="N13" s="361">
        <f>+'HULP-velden'!$C$17</f>
        <v>500000</v>
      </c>
      <c r="O13" s="364">
        <f>+'HULP-velden'!$C$15</f>
        <v>-1000</v>
      </c>
      <c r="P13" s="365">
        <f>+'HULP-velden'!$C$16</f>
        <v>1</v>
      </c>
      <c r="Q13" s="359" t="s">
        <v>115</v>
      </c>
      <c r="R13" s="361">
        <f>+Offertes!F9</f>
        <v>0</v>
      </c>
      <c r="S13" s="366">
        <f>+Offertes!G9</f>
        <v>0</v>
      </c>
      <c r="T13" s="367" t="str">
        <f>+Offertes!I9</f>
        <v/>
      </c>
      <c r="U13" s="368" t="str">
        <f>+Offertes!J9</f>
        <v/>
      </c>
    </row>
    <row r="14" spans="2:21" s="24" customFormat="1" ht="20.100000000000001" customHeight="1" x14ac:dyDescent="0.25">
      <c r="B14" s="358">
        <v>3</v>
      </c>
      <c r="C14" s="359" t="str">
        <f t="shared" si="0"/>
        <v>IUC26-001</v>
      </c>
      <c r="D14" s="359" t="str">
        <f t="shared" si="1"/>
        <v>Test</v>
      </c>
      <c r="E14" s="369">
        <f t="shared" si="2"/>
        <v>0</v>
      </c>
      <c r="F14" s="360">
        <f t="shared" si="3"/>
        <v>0</v>
      </c>
      <c r="G14" s="360" t="str">
        <f>Dashboard!$F$7</f>
        <v>Machtsformule</v>
      </c>
      <c r="H14" s="361">
        <f>'HULP-velden'!$C$8</f>
        <v>400000</v>
      </c>
      <c r="I14" s="362">
        <f>'HULP-velden'!$M$15</f>
        <v>250</v>
      </c>
      <c r="J14" s="363">
        <f>'HULP-velden'!$C$6</f>
        <v>500</v>
      </c>
      <c r="K14" s="359">
        <f>'HULP-velden'!$C$10</f>
        <v>0.5</v>
      </c>
      <c r="L14" s="359">
        <f>+'HULP-velden'!$C$11</f>
        <v>0.5</v>
      </c>
      <c r="M14" s="361">
        <f>+'HULP-velden'!$C$14</f>
        <v>300000</v>
      </c>
      <c r="N14" s="361">
        <f>+'HULP-velden'!$C$17</f>
        <v>500000</v>
      </c>
      <c r="O14" s="364">
        <f>+'HULP-velden'!$C$15</f>
        <v>-1000</v>
      </c>
      <c r="P14" s="365">
        <f>+'HULP-velden'!$C$16</f>
        <v>1</v>
      </c>
      <c r="Q14" s="359" t="s">
        <v>116</v>
      </c>
      <c r="R14" s="361">
        <f>+Offertes!F10</f>
        <v>0</v>
      </c>
      <c r="S14" s="366">
        <f>+Offertes!G10</f>
        <v>0</v>
      </c>
      <c r="T14" s="367" t="str">
        <f>+Offertes!I10</f>
        <v/>
      </c>
      <c r="U14" s="368" t="str">
        <f>+Offertes!J10</f>
        <v/>
      </c>
    </row>
    <row r="15" spans="2:21" s="24" customFormat="1" ht="20.100000000000001" customHeight="1" x14ac:dyDescent="0.25">
      <c r="B15" s="358">
        <v>4</v>
      </c>
      <c r="C15" s="359" t="str">
        <f t="shared" si="0"/>
        <v>IUC26-001</v>
      </c>
      <c r="D15" s="359" t="str">
        <f t="shared" si="1"/>
        <v>Test</v>
      </c>
      <c r="E15" s="369">
        <f t="shared" si="2"/>
        <v>0</v>
      </c>
      <c r="F15" s="360">
        <f t="shared" si="3"/>
        <v>0</v>
      </c>
      <c r="G15" s="360" t="str">
        <f>Dashboard!$F$7</f>
        <v>Machtsformule</v>
      </c>
      <c r="H15" s="361">
        <f>'HULP-velden'!$C$8</f>
        <v>400000</v>
      </c>
      <c r="I15" s="362">
        <f>'HULP-velden'!$M$15</f>
        <v>250</v>
      </c>
      <c r="J15" s="363">
        <f>'HULP-velden'!$C$6</f>
        <v>500</v>
      </c>
      <c r="K15" s="359">
        <f>'HULP-velden'!$C$10</f>
        <v>0.5</v>
      </c>
      <c r="L15" s="359">
        <f>+'HULP-velden'!$C$11</f>
        <v>0.5</v>
      </c>
      <c r="M15" s="361">
        <f>+'HULP-velden'!$C$14</f>
        <v>300000</v>
      </c>
      <c r="N15" s="361">
        <f>+'HULP-velden'!$C$17</f>
        <v>500000</v>
      </c>
      <c r="O15" s="364">
        <f>+'HULP-velden'!$C$15</f>
        <v>-1000</v>
      </c>
      <c r="P15" s="365">
        <f>+'HULP-velden'!$C$16</f>
        <v>1</v>
      </c>
      <c r="Q15" s="359" t="s">
        <v>117</v>
      </c>
      <c r="R15" s="361">
        <f>+Offertes!F11</f>
        <v>0</v>
      </c>
      <c r="S15" s="366">
        <f>+Offertes!G11</f>
        <v>0</v>
      </c>
      <c r="T15" s="367" t="str">
        <f>+Offertes!I11</f>
        <v/>
      </c>
      <c r="U15" s="368" t="str">
        <f>+Offertes!J11</f>
        <v/>
      </c>
    </row>
    <row r="16" spans="2:21" s="24" customFormat="1" ht="20.100000000000001" customHeight="1" x14ac:dyDescent="0.25">
      <c r="B16" s="358">
        <v>5</v>
      </c>
      <c r="C16" s="359" t="str">
        <f t="shared" si="0"/>
        <v>IUC26-001</v>
      </c>
      <c r="D16" s="359" t="str">
        <f t="shared" si="1"/>
        <v>Test</v>
      </c>
      <c r="E16" s="369">
        <f t="shared" si="2"/>
        <v>0</v>
      </c>
      <c r="F16" s="360">
        <f t="shared" si="3"/>
        <v>0</v>
      </c>
      <c r="G16" s="360" t="str">
        <f>Dashboard!$F$7</f>
        <v>Machtsformule</v>
      </c>
      <c r="H16" s="361">
        <f>'HULP-velden'!$C$8</f>
        <v>400000</v>
      </c>
      <c r="I16" s="362">
        <f>'HULP-velden'!$M$15</f>
        <v>250</v>
      </c>
      <c r="J16" s="363">
        <f>'HULP-velden'!$C$6</f>
        <v>500</v>
      </c>
      <c r="K16" s="359">
        <f>'HULP-velden'!$C$10</f>
        <v>0.5</v>
      </c>
      <c r="L16" s="359">
        <f>+'HULP-velden'!$C$11</f>
        <v>0.5</v>
      </c>
      <c r="M16" s="361">
        <f>+'HULP-velden'!$C$14</f>
        <v>300000</v>
      </c>
      <c r="N16" s="361">
        <f>+'HULP-velden'!$C$17</f>
        <v>500000</v>
      </c>
      <c r="O16" s="364">
        <f>+'HULP-velden'!$C$15</f>
        <v>-1000</v>
      </c>
      <c r="P16" s="365">
        <f>+'HULP-velden'!$C$16</f>
        <v>1</v>
      </c>
      <c r="Q16" s="359" t="s">
        <v>118</v>
      </c>
      <c r="R16" s="361">
        <f>+Offertes!F12</f>
        <v>0</v>
      </c>
      <c r="S16" s="366">
        <f>+Offertes!G12</f>
        <v>0</v>
      </c>
      <c r="T16" s="367" t="str">
        <f>+Offertes!I12</f>
        <v/>
      </c>
      <c r="U16" s="368" t="str">
        <f>+Offertes!J12</f>
        <v/>
      </c>
    </row>
    <row r="17" spans="2:21" s="24" customFormat="1" ht="20.100000000000001" customHeight="1" x14ac:dyDescent="0.25">
      <c r="B17" s="358">
        <v>6</v>
      </c>
      <c r="C17" s="359" t="str">
        <f t="shared" si="0"/>
        <v>IUC26-001</v>
      </c>
      <c r="D17" s="359" t="str">
        <f t="shared" si="1"/>
        <v>Test</v>
      </c>
      <c r="E17" s="369">
        <f t="shared" si="2"/>
        <v>0</v>
      </c>
      <c r="F17" s="360">
        <f t="shared" si="3"/>
        <v>0</v>
      </c>
      <c r="G17" s="360" t="str">
        <f>Dashboard!$F$7</f>
        <v>Machtsformule</v>
      </c>
      <c r="H17" s="361">
        <f>'HULP-velden'!$C$8</f>
        <v>400000</v>
      </c>
      <c r="I17" s="362">
        <f>'HULP-velden'!$M$15</f>
        <v>250</v>
      </c>
      <c r="J17" s="363">
        <f>'HULP-velden'!$C$6</f>
        <v>500</v>
      </c>
      <c r="K17" s="359">
        <f>'HULP-velden'!$C$10</f>
        <v>0.5</v>
      </c>
      <c r="L17" s="359">
        <f>+'HULP-velden'!$C$11</f>
        <v>0.5</v>
      </c>
      <c r="M17" s="361">
        <f>+'HULP-velden'!$C$14</f>
        <v>300000</v>
      </c>
      <c r="N17" s="361">
        <f>+'HULP-velden'!$C$17</f>
        <v>500000</v>
      </c>
      <c r="O17" s="364">
        <f>+'HULP-velden'!$C$15</f>
        <v>-1000</v>
      </c>
      <c r="P17" s="365">
        <f>+'HULP-velden'!$C$16</f>
        <v>1</v>
      </c>
      <c r="Q17" s="359" t="s">
        <v>119</v>
      </c>
      <c r="R17" s="361">
        <f>+Offertes!F13</f>
        <v>0</v>
      </c>
      <c r="S17" s="366">
        <f>+Offertes!G13</f>
        <v>0</v>
      </c>
      <c r="T17" s="367" t="str">
        <f>+Offertes!I13</f>
        <v/>
      </c>
      <c r="U17" s="368" t="str">
        <f>+Offertes!J13</f>
        <v/>
      </c>
    </row>
    <row r="18" spans="2:21" s="24" customFormat="1" ht="20.100000000000001" customHeight="1" x14ac:dyDescent="0.25">
      <c r="B18" s="358">
        <v>7</v>
      </c>
      <c r="C18" s="359" t="str">
        <f t="shared" si="0"/>
        <v>IUC26-001</v>
      </c>
      <c r="D18" s="359" t="str">
        <f t="shared" si="1"/>
        <v>Test</v>
      </c>
      <c r="E18" s="369">
        <f t="shared" si="2"/>
        <v>0</v>
      </c>
      <c r="F18" s="360">
        <f t="shared" si="3"/>
        <v>0</v>
      </c>
      <c r="G18" s="360" t="str">
        <f>Dashboard!$F$7</f>
        <v>Machtsformule</v>
      </c>
      <c r="H18" s="361">
        <f>'HULP-velden'!$C$8</f>
        <v>400000</v>
      </c>
      <c r="I18" s="362">
        <f>'HULP-velden'!$M$15</f>
        <v>250</v>
      </c>
      <c r="J18" s="363">
        <f>'HULP-velden'!$C$6</f>
        <v>500</v>
      </c>
      <c r="K18" s="359">
        <f>'HULP-velden'!$C$10</f>
        <v>0.5</v>
      </c>
      <c r="L18" s="359">
        <f>+'HULP-velden'!$C$11</f>
        <v>0.5</v>
      </c>
      <c r="M18" s="361">
        <f>+'HULP-velden'!$C$14</f>
        <v>300000</v>
      </c>
      <c r="N18" s="361">
        <f>+'HULP-velden'!$C$17</f>
        <v>500000</v>
      </c>
      <c r="O18" s="364">
        <f>+'HULP-velden'!$C$15</f>
        <v>-1000</v>
      </c>
      <c r="P18" s="365">
        <f>+'HULP-velden'!$C$16</f>
        <v>1</v>
      </c>
      <c r="Q18" s="359" t="s">
        <v>120</v>
      </c>
      <c r="R18" s="361">
        <f>+Offertes!F14</f>
        <v>0</v>
      </c>
      <c r="S18" s="366">
        <f>+Offertes!G14</f>
        <v>0</v>
      </c>
      <c r="T18" s="367" t="str">
        <f>+Offertes!I14</f>
        <v/>
      </c>
      <c r="U18" s="368" t="str">
        <f>+Offertes!J14</f>
        <v/>
      </c>
    </row>
    <row r="19" spans="2:21" s="24" customFormat="1" ht="20.100000000000001" customHeight="1" x14ac:dyDescent="0.25">
      <c r="B19" s="358">
        <v>8</v>
      </c>
      <c r="C19" s="359" t="str">
        <f t="shared" si="0"/>
        <v>IUC26-001</v>
      </c>
      <c r="D19" s="359" t="str">
        <f t="shared" si="1"/>
        <v>Test</v>
      </c>
      <c r="E19" s="369">
        <f t="shared" si="2"/>
        <v>0</v>
      </c>
      <c r="F19" s="360">
        <f t="shared" si="3"/>
        <v>0</v>
      </c>
      <c r="G19" s="360" t="str">
        <f>Dashboard!$F$7</f>
        <v>Machtsformule</v>
      </c>
      <c r="H19" s="361">
        <f>'HULP-velden'!$C$8</f>
        <v>400000</v>
      </c>
      <c r="I19" s="362">
        <f>'HULP-velden'!$M$15</f>
        <v>250</v>
      </c>
      <c r="J19" s="363">
        <f>'HULP-velden'!$C$6</f>
        <v>500</v>
      </c>
      <c r="K19" s="359">
        <f>'HULP-velden'!$C$10</f>
        <v>0.5</v>
      </c>
      <c r="L19" s="359">
        <f>+'HULP-velden'!$C$11</f>
        <v>0.5</v>
      </c>
      <c r="M19" s="361">
        <f>+'HULP-velden'!$C$14</f>
        <v>300000</v>
      </c>
      <c r="N19" s="361">
        <f>+'HULP-velden'!$C$17</f>
        <v>500000</v>
      </c>
      <c r="O19" s="364">
        <f>+'HULP-velden'!$C$15</f>
        <v>-1000</v>
      </c>
      <c r="P19" s="365">
        <f>+'HULP-velden'!$C$16</f>
        <v>1</v>
      </c>
      <c r="Q19" s="359" t="s">
        <v>121</v>
      </c>
      <c r="R19" s="361">
        <f>+Offertes!F15</f>
        <v>0</v>
      </c>
      <c r="S19" s="366">
        <f>+Offertes!G15</f>
        <v>0</v>
      </c>
      <c r="T19" s="367" t="str">
        <f>+Offertes!I15</f>
        <v/>
      </c>
      <c r="U19" s="368" t="str">
        <f>+Offertes!J15</f>
        <v/>
      </c>
    </row>
    <row r="20" spans="2:21" s="24" customFormat="1" ht="20.100000000000001" customHeight="1" x14ac:dyDescent="0.25">
      <c r="B20" s="358">
        <v>9</v>
      </c>
      <c r="C20" s="359" t="str">
        <f t="shared" si="0"/>
        <v>IUC26-001</v>
      </c>
      <c r="D20" s="359" t="str">
        <f t="shared" si="1"/>
        <v>Test</v>
      </c>
      <c r="E20" s="369">
        <f t="shared" si="2"/>
        <v>0</v>
      </c>
      <c r="F20" s="360">
        <f t="shared" si="3"/>
        <v>0</v>
      </c>
      <c r="G20" s="360" t="str">
        <f>Dashboard!$F$7</f>
        <v>Machtsformule</v>
      </c>
      <c r="H20" s="361">
        <f>'HULP-velden'!$C$8</f>
        <v>400000</v>
      </c>
      <c r="I20" s="362">
        <f>'HULP-velden'!$M$15</f>
        <v>250</v>
      </c>
      <c r="J20" s="363">
        <f>'HULP-velden'!$C$6</f>
        <v>500</v>
      </c>
      <c r="K20" s="359">
        <f>'HULP-velden'!$C$10</f>
        <v>0.5</v>
      </c>
      <c r="L20" s="359">
        <f>+'HULP-velden'!$C$11</f>
        <v>0.5</v>
      </c>
      <c r="M20" s="361">
        <f>+'HULP-velden'!$C$14</f>
        <v>300000</v>
      </c>
      <c r="N20" s="361">
        <f>+'HULP-velden'!$C$17</f>
        <v>500000</v>
      </c>
      <c r="O20" s="364">
        <f>+'HULP-velden'!$C$15</f>
        <v>-1000</v>
      </c>
      <c r="P20" s="365">
        <f>+'HULP-velden'!$C$16</f>
        <v>1</v>
      </c>
      <c r="Q20" s="359" t="s">
        <v>122</v>
      </c>
      <c r="R20" s="361">
        <f>+Offertes!F16</f>
        <v>0</v>
      </c>
      <c r="S20" s="366">
        <f>+Offertes!G16</f>
        <v>0</v>
      </c>
      <c r="T20" s="367" t="str">
        <f>+Offertes!I16</f>
        <v/>
      </c>
      <c r="U20" s="368" t="str">
        <f>+Offertes!J16</f>
        <v/>
      </c>
    </row>
    <row r="21" spans="2:21" s="24" customFormat="1" ht="20.100000000000001" customHeight="1" x14ac:dyDescent="0.25">
      <c r="B21" s="358">
        <v>10</v>
      </c>
      <c r="C21" s="359" t="str">
        <f t="shared" si="0"/>
        <v>IUC26-001</v>
      </c>
      <c r="D21" s="359" t="str">
        <f t="shared" si="1"/>
        <v>Test</v>
      </c>
      <c r="E21" s="369">
        <f t="shared" si="2"/>
        <v>0</v>
      </c>
      <c r="F21" s="360">
        <f t="shared" si="3"/>
        <v>0</v>
      </c>
      <c r="G21" s="360" t="str">
        <f>Dashboard!$F$7</f>
        <v>Machtsformule</v>
      </c>
      <c r="H21" s="361">
        <f>'HULP-velden'!$C$8</f>
        <v>400000</v>
      </c>
      <c r="I21" s="362">
        <f>'HULP-velden'!$M$15</f>
        <v>250</v>
      </c>
      <c r="J21" s="363">
        <f>'HULP-velden'!$C$6</f>
        <v>500</v>
      </c>
      <c r="K21" s="359">
        <f>'HULP-velden'!$C$10</f>
        <v>0.5</v>
      </c>
      <c r="L21" s="359">
        <f>+'HULP-velden'!$C$11</f>
        <v>0.5</v>
      </c>
      <c r="M21" s="361">
        <f>+'HULP-velden'!$C$14</f>
        <v>300000</v>
      </c>
      <c r="N21" s="361">
        <f>+'HULP-velden'!$C$17</f>
        <v>500000</v>
      </c>
      <c r="O21" s="364">
        <f>+'HULP-velden'!$C$15</f>
        <v>-1000</v>
      </c>
      <c r="P21" s="365">
        <f>+'HULP-velden'!$C$16</f>
        <v>1</v>
      </c>
      <c r="Q21" s="359" t="s">
        <v>123</v>
      </c>
      <c r="R21" s="361">
        <f>+Offertes!F17</f>
        <v>0</v>
      </c>
      <c r="S21" s="366">
        <f>+Offertes!G17</f>
        <v>0</v>
      </c>
      <c r="T21" s="367" t="str">
        <f>+Offertes!I17</f>
        <v/>
      </c>
      <c r="U21" s="368" t="str">
        <f>+Offertes!J17</f>
        <v/>
      </c>
    </row>
    <row r="22" spans="2:21" s="24" customFormat="1" ht="20.100000000000001" customHeight="1" x14ac:dyDescent="0.25">
      <c r="B22" s="358">
        <v>11</v>
      </c>
      <c r="C22" s="359" t="str">
        <f t="shared" si="0"/>
        <v>IUC26-001</v>
      </c>
      <c r="D22" s="359" t="str">
        <f t="shared" si="1"/>
        <v>Test</v>
      </c>
      <c r="E22" s="369">
        <f t="shared" si="2"/>
        <v>0</v>
      </c>
      <c r="F22" s="360">
        <f t="shared" si="3"/>
        <v>0</v>
      </c>
      <c r="G22" s="360" t="str">
        <f>Dashboard!$F$7</f>
        <v>Machtsformule</v>
      </c>
      <c r="H22" s="361">
        <f>'HULP-velden'!$C$8</f>
        <v>400000</v>
      </c>
      <c r="I22" s="362">
        <f>'HULP-velden'!$M$15</f>
        <v>250</v>
      </c>
      <c r="J22" s="363">
        <f>'HULP-velden'!$C$6</f>
        <v>500</v>
      </c>
      <c r="K22" s="359">
        <f>'HULP-velden'!$C$10</f>
        <v>0.5</v>
      </c>
      <c r="L22" s="359">
        <f>+'HULP-velden'!$C$11</f>
        <v>0.5</v>
      </c>
      <c r="M22" s="361">
        <f>+'HULP-velden'!$C$14</f>
        <v>300000</v>
      </c>
      <c r="N22" s="361">
        <f>+'HULP-velden'!$C$17</f>
        <v>500000</v>
      </c>
      <c r="O22" s="364">
        <f>+'HULP-velden'!$C$15</f>
        <v>-1000</v>
      </c>
      <c r="P22" s="365">
        <f>+'HULP-velden'!$C$16</f>
        <v>1</v>
      </c>
      <c r="Q22" s="359" t="s">
        <v>124</v>
      </c>
      <c r="R22" s="361">
        <f>+Offertes!F18</f>
        <v>0</v>
      </c>
      <c r="S22" s="366">
        <f>+Offertes!G18</f>
        <v>0</v>
      </c>
      <c r="T22" s="367" t="str">
        <f>+Offertes!I18</f>
        <v/>
      </c>
      <c r="U22" s="368" t="str">
        <f>+Offertes!J18</f>
        <v/>
      </c>
    </row>
    <row r="23" spans="2:21" s="24" customFormat="1" ht="20.100000000000001" customHeight="1" x14ac:dyDescent="0.25">
      <c r="B23" s="358">
        <v>12</v>
      </c>
      <c r="C23" s="359" t="str">
        <f t="shared" si="0"/>
        <v>IUC26-001</v>
      </c>
      <c r="D23" s="359" t="str">
        <f t="shared" si="1"/>
        <v>Test</v>
      </c>
      <c r="E23" s="369">
        <f t="shared" si="2"/>
        <v>0</v>
      </c>
      <c r="F23" s="360">
        <f t="shared" si="3"/>
        <v>0</v>
      </c>
      <c r="G23" s="360" t="str">
        <f>Dashboard!$F$7</f>
        <v>Machtsformule</v>
      </c>
      <c r="H23" s="361">
        <f>'HULP-velden'!$C$8</f>
        <v>400000</v>
      </c>
      <c r="I23" s="362">
        <f>'HULP-velden'!$M$15</f>
        <v>250</v>
      </c>
      <c r="J23" s="363">
        <f>'HULP-velden'!$C$6</f>
        <v>500</v>
      </c>
      <c r="K23" s="359">
        <f>'HULP-velden'!$C$10</f>
        <v>0.5</v>
      </c>
      <c r="L23" s="359">
        <f>+'HULP-velden'!$C$11</f>
        <v>0.5</v>
      </c>
      <c r="M23" s="361">
        <f>+'HULP-velden'!$C$14</f>
        <v>300000</v>
      </c>
      <c r="N23" s="361">
        <f>+'HULP-velden'!$C$17</f>
        <v>500000</v>
      </c>
      <c r="O23" s="364">
        <f>+'HULP-velden'!$C$15</f>
        <v>-1000</v>
      </c>
      <c r="P23" s="365">
        <f>+'HULP-velden'!$C$16</f>
        <v>1</v>
      </c>
      <c r="Q23" s="359" t="s">
        <v>125</v>
      </c>
      <c r="R23" s="361">
        <f>+Offertes!F19</f>
        <v>0</v>
      </c>
      <c r="S23" s="366">
        <f>+Offertes!G19</f>
        <v>0</v>
      </c>
      <c r="T23" s="367" t="str">
        <f>+Offertes!I19</f>
        <v/>
      </c>
      <c r="U23" s="368" t="str">
        <f>+Offertes!J19</f>
        <v/>
      </c>
    </row>
    <row r="24" spans="2:21" s="34" customFormat="1" ht="27.95" customHeight="1" x14ac:dyDescent="0.2">
      <c r="C24" s="351"/>
      <c r="D24" s="351"/>
      <c r="E24" s="351"/>
      <c r="F24" s="351"/>
      <c r="G24" s="351"/>
      <c r="H24" s="351"/>
      <c r="I24" s="351"/>
      <c r="J24" s="351"/>
      <c r="K24" s="351"/>
      <c r="L24" s="351"/>
      <c r="M24" s="351"/>
      <c r="N24" s="351"/>
      <c r="O24" s="351"/>
      <c r="P24" s="351"/>
      <c r="Q24" s="351"/>
      <c r="R24" s="351"/>
      <c r="S24" s="351"/>
      <c r="T24" s="351"/>
      <c r="U24" s="351"/>
    </row>
    <row r="25" spans="2:21" s="34" customFormat="1" ht="12" hidden="1" customHeight="1" x14ac:dyDescent="0.2"/>
    <row r="26" spans="2:21" s="34" customFormat="1" ht="12" hidden="1" customHeight="1" x14ac:dyDescent="0.2"/>
    <row r="27" spans="2:21" s="34" customFormat="1" ht="12" hidden="1" customHeight="1" x14ac:dyDescent="0.2"/>
    <row r="28" spans="2:21" s="34" customFormat="1" ht="12" hidden="1" customHeight="1" x14ac:dyDescent="0.2"/>
    <row r="29" spans="2:21" s="34" customFormat="1" ht="12" hidden="1" customHeight="1" x14ac:dyDescent="0.2"/>
    <row r="30" spans="2:21" s="34" customFormat="1" ht="12" hidden="1" customHeight="1" x14ac:dyDescent="0.2"/>
    <row r="31" spans="2:21" s="34" customFormat="1" ht="12" hidden="1" customHeight="1" x14ac:dyDescent="0.2"/>
    <row r="32" spans="2:21" s="34" customFormat="1" ht="12" hidden="1" customHeight="1" x14ac:dyDescent="0.2"/>
    <row r="33" s="34" customFormat="1" ht="12" hidden="1" customHeight="1" x14ac:dyDescent="0.2"/>
  </sheetData>
  <sheetProtection algorithmName="SHA-512" hashValue="tOXOSw+Z5hs528Z0fYBlvxivMOx7SqVqRWN07j6W/wJFTqLq3XWR03e6qw7zrrAvNnG+LmZeWxgoqFXBUCiuNQ==" saltValue="60XX2PtpgPvVbAArLhlsvw==" spinCount="100000" sheet="1" objects="1" scenarios="1"/>
  <mergeCells count="7">
    <mergeCell ref="Q6:R6"/>
    <mergeCell ref="Q7:R7"/>
    <mergeCell ref="B2:H4"/>
    <mergeCell ref="D6:E6"/>
    <mergeCell ref="I8:K8"/>
    <mergeCell ref="I7:J7"/>
    <mergeCell ref="I6:M6"/>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11">
    <tabColor theme="0" tint="-0.499984740745262"/>
    <pageSetUpPr fitToPage="1"/>
  </sheetPr>
  <dimension ref="A1:AA208"/>
  <sheetViews>
    <sheetView showGridLines="0" showRowColHeaders="0" topLeftCell="A12" zoomScale="130" zoomScaleNormal="130" workbookViewId="0">
      <selection activeCell="G24" sqref="G24"/>
    </sheetView>
  </sheetViews>
  <sheetFormatPr defaultColWidth="9.140625" defaultRowHeight="15" customHeight="1" x14ac:dyDescent="0.25"/>
  <cols>
    <col min="1" max="1" width="3.7109375" style="17" customWidth="1"/>
    <col min="2" max="5" width="20.7109375" style="17" customWidth="1"/>
    <col min="6" max="6" width="14.85546875" style="17" customWidth="1"/>
    <col min="7" max="7" width="51" style="17" customWidth="1"/>
    <col min="8" max="8" width="20.7109375" style="17" customWidth="1"/>
    <col min="9" max="9" width="3.7109375" style="17" customWidth="1"/>
    <col min="10" max="12" width="9.140625" style="17"/>
    <col min="13" max="13" width="30" style="17" customWidth="1"/>
    <col min="14" max="15" width="15.7109375" style="17" customWidth="1"/>
    <col min="16" max="18" width="9.140625" style="17"/>
    <col min="19" max="19" width="15.7109375" style="17" customWidth="1"/>
    <col min="20" max="16384" width="9.140625" style="17"/>
  </cols>
  <sheetData>
    <row r="1" spans="1:27" s="2" customFormat="1" ht="15" customHeight="1" x14ac:dyDescent="0.2">
      <c r="A1" s="1"/>
      <c r="B1" s="1"/>
      <c r="C1" s="1"/>
      <c r="D1" s="1"/>
      <c r="E1" s="1"/>
      <c r="F1" s="1"/>
      <c r="G1" s="1"/>
      <c r="H1" s="1"/>
    </row>
    <row r="2" spans="1:27" s="2" customFormat="1" ht="22.5" x14ac:dyDescent="0.3">
      <c r="A2" s="1"/>
      <c r="B2" s="3" t="s">
        <v>0</v>
      </c>
      <c r="C2" s="3"/>
      <c r="D2" s="3"/>
      <c r="E2" s="3"/>
      <c r="F2" s="3"/>
      <c r="G2" s="3"/>
      <c r="H2" s="3"/>
      <c r="M2" t="s">
        <v>192</v>
      </c>
      <c r="N2" s="19">
        <f>'BPK-Grafiek'!H8</f>
        <v>0</v>
      </c>
      <c r="O2" s="18" t="s">
        <v>193</v>
      </c>
      <c r="P2" s="145">
        <f>'BPK-Grafiek'!H11</f>
        <v>0</v>
      </c>
      <c r="Q2" s="18" t="s">
        <v>325</v>
      </c>
      <c r="R2" s="380">
        <f>IF(N5="Machtsformule",ROUND($N$10-$N$10*(((N2-$N$20)/($N$21-$N$20))^$N$23),1),ROUND(N10*((($N$21-N2)/($N$21-$N$20))^(1/$N$23)),1))</f>
        <v>1250</v>
      </c>
      <c r="S2" s="18" t="s">
        <v>157</v>
      </c>
      <c r="T2" s="145">
        <f>P2+R2</f>
        <v>1250</v>
      </c>
      <c r="U2" s="18" t="s">
        <v>327</v>
      </c>
      <c r="V2">
        <f>P2/N6*100</f>
        <v>0</v>
      </c>
      <c r="W2"/>
      <c r="X2"/>
      <c r="Y2"/>
      <c r="Z2"/>
      <c r="AA2"/>
    </row>
    <row r="3" spans="1:27" s="2" customFormat="1" ht="18" x14ac:dyDescent="0.25">
      <c r="A3" s="1"/>
      <c r="B3" s="5" t="str">
        <f>+'BPK-Grafiek'!N34</f>
        <v>Test</v>
      </c>
      <c r="C3" s="5"/>
      <c r="D3" s="5"/>
      <c r="E3" s="5"/>
      <c r="F3" s="5"/>
      <c r="G3" s="5"/>
      <c r="H3" s="5"/>
      <c r="M3"/>
      <c r="N3"/>
      <c r="O3"/>
      <c r="P3"/>
      <c r="Q3"/>
      <c r="R3"/>
      <c r="S3"/>
      <c r="T3"/>
      <c r="U3"/>
      <c r="V3"/>
      <c r="W3"/>
      <c r="X3"/>
      <c r="Y3"/>
      <c r="Z3"/>
      <c r="AA3"/>
    </row>
    <row r="4" spans="1:27" s="2" customFormat="1" ht="22.5" x14ac:dyDescent="0.3">
      <c r="A4" s="1"/>
      <c r="B4" s="6" t="s">
        <v>1</v>
      </c>
      <c r="C4" s="6"/>
      <c r="D4" s="6"/>
      <c r="E4" s="6"/>
      <c r="F4" s="6"/>
      <c r="G4" s="6"/>
      <c r="H4" s="6"/>
      <c r="M4" s="223" t="s">
        <v>196</v>
      </c>
      <c r="N4" s="223"/>
      <c r="O4" s="223"/>
      <c r="P4" s="223"/>
      <c r="Q4" s="223"/>
      <c r="R4" s="223"/>
      <c r="S4" s="223"/>
      <c r="T4" s="223"/>
      <c r="U4" s="223"/>
      <c r="V4" s="223"/>
      <c r="W4" s="223"/>
      <c r="X4" s="223"/>
      <c r="Y4" s="223"/>
      <c r="Z4" s="223"/>
      <c r="AA4" s="223"/>
    </row>
    <row r="5" spans="1:27" s="2" customFormat="1" x14ac:dyDescent="0.25">
      <c r="A5" s="1"/>
      <c r="B5" s="7" t="str">
        <f>"Kenmerk: " &amp; 'BPK-Grafiek'!N35</f>
        <v>Kenmerk: IUC26-001</v>
      </c>
      <c r="C5" s="7"/>
      <c r="D5" s="7"/>
      <c r="E5" s="7"/>
      <c r="F5" s="7"/>
      <c r="G5" s="7"/>
      <c r="H5" s="7"/>
      <c r="M5" s="223" t="s">
        <v>324</v>
      </c>
      <c r="N5" s="223" t="str">
        <f>'HULP-velden'!$E$6</f>
        <v>Machtsformule</v>
      </c>
      <c r="O5" s="223"/>
      <c r="P5" s="223"/>
      <c r="Q5" s="444"/>
      <c r="R5" s="223"/>
      <c r="S5" s="225" t="s">
        <v>61</v>
      </c>
      <c r="T5" s="223"/>
      <c r="U5" s="223" t="s">
        <v>59</v>
      </c>
      <c r="V5" s="223"/>
      <c r="W5" s="223"/>
      <c r="X5" s="223"/>
      <c r="Y5" s="223"/>
      <c r="Z5" s="223"/>
      <c r="AA5" s="223"/>
    </row>
    <row r="6" spans="1:27" s="2" customFormat="1" x14ac:dyDescent="0.25">
      <c r="A6" s="1"/>
      <c r="B6" s="214" t="s">
        <v>172</v>
      </c>
      <c r="C6" s="7"/>
      <c r="D6" s="7"/>
      <c r="E6" s="7"/>
      <c r="F6" s="7"/>
      <c r="G6" s="7"/>
      <c r="H6" s="7"/>
      <c r="M6" s="223" t="s">
        <v>105</v>
      </c>
      <c r="N6" s="224">
        <f>+N12</f>
        <v>500</v>
      </c>
      <c r="O6" s="443">
        <f>+N6</f>
        <v>500</v>
      </c>
      <c r="P6" s="223"/>
      <c r="Q6" s="444"/>
      <c r="R6" s="223"/>
      <c r="S6" s="225"/>
      <c r="T6" s="225"/>
      <c r="U6" s="225" t="s">
        <v>96</v>
      </c>
      <c r="V6" s="225"/>
      <c r="W6" s="225"/>
      <c r="X6" s="225"/>
      <c r="Y6" s="225"/>
      <c r="Z6" s="225"/>
      <c r="AA6" s="225"/>
    </row>
    <row r="7" spans="1:27" s="1" customFormat="1" ht="15" customHeight="1" x14ac:dyDescent="0.25">
      <c r="B7" s="16"/>
      <c r="C7" s="16"/>
      <c r="D7" s="16"/>
      <c r="E7" s="16"/>
      <c r="F7" s="16"/>
      <c r="G7" s="16"/>
      <c r="H7" s="16"/>
      <c r="J7" s="8"/>
      <c r="M7" s="223" t="s">
        <v>106</v>
      </c>
      <c r="N7" s="223">
        <v>0</v>
      </c>
      <c r="O7" s="226">
        <f>+N25*2</f>
        <v>800000</v>
      </c>
      <c r="P7" s="223"/>
      <c r="Q7" s="223"/>
      <c r="R7" s="223"/>
      <c r="S7" s="225" t="s">
        <v>101</v>
      </c>
      <c r="T7" s="225"/>
      <c r="U7" s="225" t="str">
        <f>+'HULP-velden'!$AJ$16</f>
        <v>BPK-Lijn -3</v>
      </c>
      <c r="V7" s="225" t="str">
        <f>+'HULP-velden'!$AK$16</f>
        <v>BPK-Lijn -2</v>
      </c>
      <c r="W7" s="225" t="str">
        <f>+'HULP-velden'!$AL$16</f>
        <v>BPK-Lijn -1</v>
      </c>
      <c r="X7" s="225" t="str">
        <f>+'HULP-velden'!$AM$16</f>
        <v>BPK-lijn Ref</v>
      </c>
      <c r="Y7" s="225" t="str">
        <f>+'HULP-velden'!$AN$16</f>
        <v>BPK-Lijn +1</v>
      </c>
      <c r="Z7" s="225" t="str">
        <f>+'HULP-velden'!$AO$16</f>
        <v>BPK-Lijn +2</v>
      </c>
      <c r="AA7" s="225" t="str">
        <f>+'HULP-velden'!$AP$16</f>
        <v>BPK-Lijn +3</v>
      </c>
    </row>
    <row r="8" spans="1:27" s="2" customFormat="1" ht="23.25" customHeight="1" x14ac:dyDescent="0.25">
      <c r="A8" s="1"/>
      <c r="G8" s="159" t="s">
        <v>2</v>
      </c>
      <c r="H8" s="10"/>
      <c r="M8" s="223" t="s">
        <v>107</v>
      </c>
      <c r="N8" s="223">
        <v>0</v>
      </c>
      <c r="O8" s="443">
        <f>+N12</f>
        <v>500</v>
      </c>
      <c r="P8" s="223"/>
      <c r="Q8" s="223"/>
      <c r="R8" s="223"/>
      <c r="S8" s="226">
        <f>'HULP-velden'!$AE$22</f>
        <v>500000</v>
      </c>
      <c r="T8" s="223"/>
      <c r="U8" s="331">
        <f>+'HULP-velden'!$AJ$22</f>
        <v>70</v>
      </c>
      <c r="V8" s="331">
        <f>+'HULP-velden'!$AK$22</f>
        <v>80</v>
      </c>
      <c r="W8" s="331">
        <f>+'HULP-velden'!$AL$22</f>
        <v>90</v>
      </c>
      <c r="X8" s="331">
        <f>+'HULP-velden'!$AM$22</f>
        <v>100</v>
      </c>
      <c r="Y8" s="331">
        <f>+'HULP-velden'!$AN$22</f>
        <v>110.00000000000001</v>
      </c>
      <c r="Z8" s="331">
        <f>+'HULP-velden'!$AO$22</f>
        <v>120</v>
      </c>
      <c r="AA8" s="331">
        <f>+'HULP-velden'!$AP$22</f>
        <v>130</v>
      </c>
    </row>
    <row r="9" spans="1:27" s="2" customFormat="1" ht="23.25" customHeight="1" x14ac:dyDescent="0.25">
      <c r="A9" s="9"/>
      <c r="B9" s="9"/>
      <c r="C9" s="9"/>
      <c r="D9" s="9"/>
      <c r="E9" s="9"/>
      <c r="F9" s="9"/>
      <c r="G9" s="160"/>
      <c r="H9" s="160"/>
      <c r="M9" s="223" t="s">
        <v>108</v>
      </c>
      <c r="N9" s="228">
        <f>+N19</f>
        <v>-100000</v>
      </c>
      <c r="O9" s="226">
        <f>+N19</f>
        <v>-100000</v>
      </c>
      <c r="P9" s="223"/>
      <c r="Q9" s="223"/>
      <c r="R9" s="223"/>
      <c r="S9" s="226">
        <f>'HULP-velden'!$AE$23</f>
        <v>499000</v>
      </c>
      <c r="T9" s="223"/>
      <c r="U9" s="331">
        <f>+'HULP-velden'!$AJ$23</f>
        <v>69.5</v>
      </c>
      <c r="V9" s="331">
        <f>+'HULP-velden'!$AK$23</f>
        <v>79.5</v>
      </c>
      <c r="W9" s="331">
        <f>+'HULP-velden'!$AL$23</f>
        <v>89.5</v>
      </c>
      <c r="X9" s="331">
        <f>+'HULP-velden'!$AM$23</f>
        <v>99.5</v>
      </c>
      <c r="Y9" s="331">
        <f>+'HULP-velden'!$AN$23</f>
        <v>109.5</v>
      </c>
      <c r="Z9" s="331">
        <f>+'HULP-velden'!$AO$23</f>
        <v>119.5</v>
      </c>
      <c r="AA9" s="331">
        <f>+'HULP-velden'!$AP$23</f>
        <v>129.5</v>
      </c>
    </row>
    <row r="10" spans="1:27" s="2" customFormat="1" ht="23.25" customHeight="1" x14ac:dyDescent="0.25">
      <c r="B10" s="9"/>
      <c r="C10" s="9"/>
      <c r="D10" s="9"/>
      <c r="E10" s="9"/>
      <c r="F10" s="9"/>
      <c r="G10" s="157" t="s">
        <v>3</v>
      </c>
      <c r="H10" s="13" t="s">
        <v>4</v>
      </c>
      <c r="M10" s="223" t="s">
        <v>326</v>
      </c>
      <c r="N10" s="223">
        <f>'HULP-velden'!$H$6</f>
        <v>500</v>
      </c>
      <c r="O10" s="229"/>
      <c r="P10" s="223"/>
      <c r="Q10" s="223"/>
      <c r="R10" s="223"/>
      <c r="S10" s="226">
        <f>'HULP-velden'!$AE$24</f>
        <v>498000</v>
      </c>
      <c r="T10" s="223"/>
      <c r="U10" s="331">
        <f>+'HULP-velden'!$AJ$24</f>
        <v>69</v>
      </c>
      <c r="V10" s="331">
        <f>+'HULP-velden'!$AK$24</f>
        <v>79</v>
      </c>
      <c r="W10" s="331">
        <f>+'HULP-velden'!$AL$24</f>
        <v>89</v>
      </c>
      <c r="X10" s="331">
        <f>+'HULP-velden'!$AM$24</f>
        <v>99</v>
      </c>
      <c r="Y10" s="331">
        <f>+'HULP-velden'!$AN$24</f>
        <v>109.00000000000001</v>
      </c>
      <c r="Z10" s="331">
        <f>+'HULP-velden'!$AO$24</f>
        <v>119</v>
      </c>
      <c r="AA10" s="331">
        <f>+'HULP-velden'!$AP$24</f>
        <v>129</v>
      </c>
    </row>
    <row r="11" spans="1:27" s="2" customFormat="1" ht="23.25" customHeight="1" x14ac:dyDescent="0.25">
      <c r="A11" s="11"/>
      <c r="B11" s="12"/>
      <c r="C11" s="12"/>
      <c r="D11" s="12"/>
      <c r="E11" s="12"/>
      <c r="F11" s="12"/>
      <c r="G11" s="158" t="s">
        <v>257</v>
      </c>
      <c r="H11" s="47"/>
      <c r="M11" s="223" t="s">
        <v>194</v>
      </c>
      <c r="N11" s="230">
        <f>'HULP-velden'!$M$15</f>
        <v>250</v>
      </c>
      <c r="O11" s="225">
        <f>'HULP-velden'!$F$7</f>
        <v>0</v>
      </c>
      <c r="P11" s="223"/>
      <c r="Q11" s="223"/>
      <c r="R11" s="223"/>
      <c r="S11" s="226">
        <f>'HULP-velden'!$AE$25</f>
        <v>497000</v>
      </c>
      <c r="T11" s="223"/>
      <c r="U11" s="331">
        <f>+'HULP-velden'!$AJ$25</f>
        <v>68.5</v>
      </c>
      <c r="V11" s="331">
        <f>+'HULP-velden'!$AK$25</f>
        <v>78.5</v>
      </c>
      <c r="W11" s="331">
        <f>+'HULP-velden'!$AL$25</f>
        <v>88.5</v>
      </c>
      <c r="X11" s="331">
        <f>+'HULP-velden'!$AM$25</f>
        <v>98.5</v>
      </c>
      <c r="Y11" s="331">
        <f>+'HULP-velden'!$AN$25</f>
        <v>108.5</v>
      </c>
      <c r="Z11" s="331">
        <f>+'HULP-velden'!$AO$25</f>
        <v>118.5</v>
      </c>
      <c r="AA11" s="331">
        <f>+'HULP-velden'!$AP$25</f>
        <v>128.5</v>
      </c>
    </row>
    <row r="12" spans="1:27" s="2" customFormat="1" ht="23.25" customHeight="1" x14ac:dyDescent="0.25">
      <c r="A12" s="11"/>
      <c r="B12" s="12"/>
      <c r="C12" s="12"/>
      <c r="D12" s="12"/>
      <c r="E12" s="12"/>
      <c r="F12" s="12"/>
      <c r="G12" s="162" t="str">
        <f>"* Eigen inschatting door Inschrijver. Waarde tussen 0 en "&amp; 'BPK-Grafiek'!N12 &amp;" punten."</f>
        <v>* Eigen inschatting door Inschrijver. Waarde tussen 0 en 500 punten.</v>
      </c>
      <c r="H12" s="14"/>
      <c r="M12" s="223" t="s">
        <v>9</v>
      </c>
      <c r="N12" s="224">
        <f>'HULP-velden'!$C$6</f>
        <v>500</v>
      </c>
      <c r="O12" s="224"/>
      <c r="P12" s="223"/>
      <c r="Q12" s="223"/>
      <c r="R12" s="223"/>
      <c r="S12" s="226">
        <f>'HULP-velden'!$AE$26</f>
        <v>496000</v>
      </c>
      <c r="T12" s="223"/>
      <c r="U12" s="331">
        <f>+'HULP-velden'!$AJ$26</f>
        <v>68</v>
      </c>
      <c r="V12" s="331">
        <f>+'HULP-velden'!$AK$26</f>
        <v>78</v>
      </c>
      <c r="W12" s="331">
        <f>+'HULP-velden'!$AL$26</f>
        <v>88</v>
      </c>
      <c r="X12" s="331">
        <f>+'HULP-velden'!$AM$26</f>
        <v>98</v>
      </c>
      <c r="Y12" s="331">
        <f>+'HULP-velden'!$AN$26</f>
        <v>108</v>
      </c>
      <c r="Z12" s="331">
        <f>+'HULP-velden'!$AO$26</f>
        <v>118</v>
      </c>
      <c r="AA12" s="331">
        <f>+'HULP-velden'!$AP$26</f>
        <v>128</v>
      </c>
    </row>
    <row r="13" spans="1:27" s="2" customFormat="1" ht="23.25" customHeight="1" x14ac:dyDescent="0.25">
      <c r="A13" s="11"/>
      <c r="B13" s="12"/>
      <c r="C13" s="12"/>
      <c r="D13" s="12"/>
      <c r="E13" s="12"/>
      <c r="F13" s="12"/>
      <c r="G13" s="158" t="s">
        <v>258</v>
      </c>
      <c r="H13" s="333">
        <f>'BPK-Grafiek'!R2</f>
        <v>1250</v>
      </c>
      <c r="M13" s="223" t="s">
        <v>92</v>
      </c>
      <c r="N13" s="224">
        <f>+'HULP-velden'!$C$7</f>
        <v>25</v>
      </c>
      <c r="O13" s="226"/>
      <c r="P13" s="223"/>
      <c r="Q13" s="223"/>
      <c r="R13" s="223"/>
      <c r="S13" s="226">
        <f>'HULP-velden'!$AE$27</f>
        <v>495000</v>
      </c>
      <c r="T13" s="223"/>
      <c r="U13" s="331">
        <f>+'HULP-velden'!$AJ$27</f>
        <v>67.5</v>
      </c>
      <c r="V13" s="331">
        <f>+'HULP-velden'!$AK$27</f>
        <v>77.5</v>
      </c>
      <c r="W13" s="331">
        <f>+'HULP-velden'!$AL$27</f>
        <v>87.5</v>
      </c>
      <c r="X13" s="331">
        <f>+'HULP-velden'!$AM$27</f>
        <v>97.5</v>
      </c>
      <c r="Y13" s="331">
        <f>+'HULP-velden'!$AN$27</f>
        <v>107.5</v>
      </c>
      <c r="Z13" s="331">
        <f>+'HULP-velden'!$AO$27</f>
        <v>117.5</v>
      </c>
      <c r="AA13" s="331">
        <f>+'HULP-velden'!$AP$27</f>
        <v>127.49999999999999</v>
      </c>
    </row>
    <row r="14" spans="1:27" s="2" customFormat="1" ht="23.25" customHeight="1" x14ac:dyDescent="0.25">
      <c r="A14" s="11"/>
      <c r="B14" s="11"/>
      <c r="C14" s="11"/>
      <c r="D14" s="11"/>
      <c r="E14" s="11"/>
      <c r="F14" s="11"/>
      <c r="G14" s="159" t="s">
        <v>5</v>
      </c>
      <c r="H14" s="334">
        <f>+'BPK-Grafiek'!T2</f>
        <v>1250</v>
      </c>
      <c r="M14" s="226"/>
      <c r="N14" s="226"/>
      <c r="O14" s="226"/>
      <c r="P14" s="223"/>
      <c r="Q14" s="223"/>
      <c r="R14" s="223"/>
      <c r="S14" s="226">
        <f>'HULP-velden'!$AE$28</f>
        <v>494000</v>
      </c>
      <c r="T14" s="223"/>
      <c r="U14" s="331">
        <f>+'HULP-velden'!$AJ$28</f>
        <v>67</v>
      </c>
      <c r="V14" s="331">
        <f>+'HULP-velden'!$AK$28</f>
        <v>77</v>
      </c>
      <c r="W14" s="331">
        <f>+'HULP-velden'!$AL$28</f>
        <v>87</v>
      </c>
      <c r="X14" s="331">
        <f>+'HULP-velden'!$AM$28</f>
        <v>97</v>
      </c>
      <c r="Y14" s="331">
        <f>+'HULP-velden'!$AN$28</f>
        <v>107</v>
      </c>
      <c r="Z14" s="331">
        <f>+'HULP-velden'!$AO$28</f>
        <v>117</v>
      </c>
      <c r="AA14" s="331">
        <f>+'HULP-velden'!$AP$28</f>
        <v>127</v>
      </c>
    </row>
    <row r="15" spans="1:27" s="2" customFormat="1" ht="23.25" customHeight="1" x14ac:dyDescent="0.25">
      <c r="A15" s="11"/>
      <c r="B15" s="11"/>
      <c r="C15" s="11"/>
      <c r="D15" s="11"/>
      <c r="E15" s="11"/>
      <c r="F15" s="11"/>
      <c r="G15" s="160"/>
      <c r="H15" s="160"/>
      <c r="M15" s="223" t="s">
        <v>263</v>
      </c>
      <c r="N15" s="224">
        <f>'HULP-velden'!$F$12</f>
        <v>50</v>
      </c>
      <c r="O15" s="224"/>
      <c r="P15" s="223"/>
      <c r="Q15" s="223"/>
      <c r="R15" s="223"/>
      <c r="S15" s="226">
        <f>'HULP-velden'!$AE$29</f>
        <v>493000</v>
      </c>
      <c r="T15" s="223"/>
      <c r="U15" s="331">
        <f>+'HULP-velden'!$AJ$29</f>
        <v>66.5</v>
      </c>
      <c r="V15" s="331">
        <f>+'HULP-velden'!$AK$29</f>
        <v>76.5</v>
      </c>
      <c r="W15" s="331">
        <f>+'HULP-velden'!$AL$29</f>
        <v>86.5</v>
      </c>
      <c r="X15" s="331">
        <f>+'HULP-velden'!$AM$29</f>
        <v>96.5</v>
      </c>
      <c r="Y15" s="331">
        <f>+'HULP-velden'!$AN$29</f>
        <v>106.5</v>
      </c>
      <c r="Z15" s="331">
        <f>+'HULP-velden'!$AO$29</f>
        <v>116.5</v>
      </c>
      <c r="AA15" s="331">
        <f>+'HULP-velden'!$AP$29</f>
        <v>126.49999999999999</v>
      </c>
    </row>
    <row r="16" spans="1:27" s="2" customFormat="1" ht="23.25" customHeight="1" x14ac:dyDescent="0.25">
      <c r="A16" s="11"/>
      <c r="B16" s="12"/>
      <c r="C16" s="12"/>
      <c r="D16" s="12"/>
      <c r="E16" s="12"/>
      <c r="F16" s="12"/>
      <c r="G16" s="157" t="s">
        <v>155</v>
      </c>
      <c r="H16" s="13"/>
      <c r="M16" s="223" t="s">
        <v>7</v>
      </c>
      <c r="N16" s="229">
        <f>+'HULP-velden'!$C$10</f>
        <v>0.5</v>
      </c>
      <c r="O16" s="224">
        <f>+O6</f>
        <v>500</v>
      </c>
      <c r="P16" s="223"/>
      <c r="Q16" s="223"/>
      <c r="R16" s="223"/>
      <c r="S16" s="226">
        <f>'HULP-velden'!$AE$30</f>
        <v>492000</v>
      </c>
      <c r="T16" s="223"/>
      <c r="U16" s="331">
        <f>+'HULP-velden'!$AJ$30</f>
        <v>66</v>
      </c>
      <c r="V16" s="331">
        <f>+'HULP-velden'!$AK$30</f>
        <v>76</v>
      </c>
      <c r="W16" s="331">
        <f>+'HULP-velden'!$AL$30</f>
        <v>86</v>
      </c>
      <c r="X16" s="331">
        <f>+'HULP-velden'!$AM$30</f>
        <v>96</v>
      </c>
      <c r="Y16" s="331">
        <f>+'HULP-velden'!$AN$30</f>
        <v>106</v>
      </c>
      <c r="Z16" s="331">
        <f>+'HULP-velden'!$AO$30</f>
        <v>115.99999999999999</v>
      </c>
      <c r="AA16" s="331">
        <f>+'HULP-velden'!$AP$30</f>
        <v>126</v>
      </c>
    </row>
    <row r="17" spans="1:27" s="2" customFormat="1" ht="23.25" customHeight="1" x14ac:dyDescent="0.25">
      <c r="A17" s="11"/>
      <c r="B17" s="11"/>
      <c r="C17" s="11"/>
      <c r="D17" s="11"/>
      <c r="E17" s="11"/>
      <c r="F17" s="11"/>
      <c r="G17" s="50" t="s">
        <v>254</v>
      </c>
      <c r="H17" s="338">
        <f>'BPK-Grafiek'!N25</f>
        <v>400000</v>
      </c>
      <c r="M17" s="223" t="s">
        <v>8</v>
      </c>
      <c r="N17" s="229">
        <f>+'HULP-velden'!$C$11</f>
        <v>0.5</v>
      </c>
      <c r="O17" s="224">
        <f>O16/N16*N17</f>
        <v>500</v>
      </c>
      <c r="P17" s="223"/>
      <c r="Q17" s="223"/>
      <c r="R17" s="223"/>
      <c r="S17" s="226">
        <f>'HULP-velden'!$AE$31</f>
        <v>491000</v>
      </c>
      <c r="T17" s="223"/>
      <c r="U17" s="331">
        <f>+'HULP-velden'!$AJ$31</f>
        <v>65.5</v>
      </c>
      <c r="V17" s="331">
        <f>+'HULP-velden'!$AK$31</f>
        <v>75.5</v>
      </c>
      <c r="W17" s="331">
        <f>+'HULP-velden'!$AL$31</f>
        <v>85.5</v>
      </c>
      <c r="X17" s="331">
        <f>+'HULP-velden'!$AM$31</f>
        <v>95.5</v>
      </c>
      <c r="Y17" s="331">
        <f>+'HULP-velden'!$AN$31</f>
        <v>105.5</v>
      </c>
      <c r="Z17" s="331">
        <f>+'HULP-velden'!$AO$31</f>
        <v>115.5</v>
      </c>
      <c r="AA17" s="331">
        <f>+'HULP-velden'!$AP$31</f>
        <v>125.49999999999999</v>
      </c>
    </row>
    <row r="18" spans="1:27" s="2" customFormat="1" ht="23.25" customHeight="1" x14ac:dyDescent="0.25">
      <c r="A18" s="11"/>
      <c r="B18" s="11"/>
      <c r="C18" s="11"/>
      <c r="D18" s="11"/>
      <c r="E18" s="11"/>
      <c r="F18" s="11"/>
      <c r="G18" s="50" t="s">
        <v>253</v>
      </c>
      <c r="H18" s="333">
        <f>'BPK-Grafiek'!N27</f>
        <v>250</v>
      </c>
      <c r="M18" s="226"/>
      <c r="N18" s="226"/>
      <c r="O18" s="226"/>
      <c r="P18" s="223"/>
      <c r="Q18" s="223"/>
      <c r="R18" s="223"/>
      <c r="S18" s="226">
        <f>'HULP-velden'!$AE$32</f>
        <v>490000</v>
      </c>
      <c r="T18" s="223"/>
      <c r="U18" s="331">
        <f>+'HULP-velden'!$AJ$32</f>
        <v>65</v>
      </c>
      <c r="V18" s="331">
        <f>+'HULP-velden'!$AK$32</f>
        <v>75</v>
      </c>
      <c r="W18" s="331">
        <f>+'HULP-velden'!$AL$32</f>
        <v>85</v>
      </c>
      <c r="X18" s="331">
        <f>+'HULP-velden'!$AM$32</f>
        <v>95</v>
      </c>
      <c r="Y18" s="331">
        <f>+'HULP-velden'!$AN$32</f>
        <v>105</v>
      </c>
      <c r="Z18" s="331">
        <f>+'HULP-velden'!$AO$32</f>
        <v>114.99999999999999</v>
      </c>
      <c r="AA18" s="331">
        <f>+'HULP-velden'!$AP$32</f>
        <v>125</v>
      </c>
    </row>
    <row r="19" spans="1:27" s="2" customFormat="1" ht="23.25" customHeight="1" x14ac:dyDescent="0.25">
      <c r="A19" s="11"/>
      <c r="B19" s="11"/>
      <c r="C19" s="11"/>
      <c r="D19" s="11"/>
      <c r="E19" s="11"/>
      <c r="F19" s="11"/>
      <c r="G19" s="50" t="s">
        <v>255</v>
      </c>
      <c r="H19" s="333">
        <f>'BPK-Grafiek'!N26</f>
        <v>250</v>
      </c>
      <c r="M19" s="223" t="s">
        <v>72</v>
      </c>
      <c r="N19" s="226">
        <f>+'HULP-velden'!$C$13</f>
        <v>-100000</v>
      </c>
      <c r="O19" s="224"/>
      <c r="P19" s="223"/>
      <c r="Q19" s="223"/>
      <c r="R19" s="223"/>
      <c r="S19" s="226">
        <f>'HULP-velden'!$AE$33</f>
        <v>489000</v>
      </c>
      <c r="T19" s="223"/>
      <c r="U19" s="331">
        <f>+'HULP-velden'!$AJ$33</f>
        <v>64.5</v>
      </c>
      <c r="V19" s="331">
        <f>+'HULP-velden'!$AK$33</f>
        <v>74.5</v>
      </c>
      <c r="W19" s="331">
        <f>+'HULP-velden'!$AL$33</f>
        <v>84.5</v>
      </c>
      <c r="X19" s="331">
        <f>+'HULP-velden'!$AM$33</f>
        <v>94.5</v>
      </c>
      <c r="Y19" s="331">
        <f>+'HULP-velden'!$AN$33</f>
        <v>104.5</v>
      </c>
      <c r="Z19" s="331">
        <f>+'HULP-velden'!$AO$33</f>
        <v>114.5</v>
      </c>
      <c r="AA19" s="331">
        <f>+'HULP-velden'!$AP$33</f>
        <v>124.50000000000001</v>
      </c>
    </row>
    <row r="20" spans="1:27" s="2" customFormat="1" ht="23.25" customHeight="1" x14ac:dyDescent="0.25">
      <c r="A20" s="11"/>
      <c r="B20" s="11"/>
      <c r="C20" s="11"/>
      <c r="D20" s="11"/>
      <c r="E20" s="11"/>
      <c r="F20" s="11"/>
      <c r="G20" s="158" t="s">
        <v>256</v>
      </c>
      <c r="H20" s="333">
        <f>'BPK-Grafiek'!N28</f>
        <v>500</v>
      </c>
      <c r="J20" s="15"/>
      <c r="K20" s="15"/>
      <c r="L20" s="15"/>
      <c r="M20" s="223" t="s">
        <v>73</v>
      </c>
      <c r="N20" s="226">
        <f>+'HULP-velden'!$C$14</f>
        <v>300000</v>
      </c>
      <c r="O20" s="228">
        <f>+N20</f>
        <v>300000</v>
      </c>
      <c r="P20" s="223"/>
      <c r="Q20" s="223"/>
      <c r="R20" s="223"/>
      <c r="S20" s="226">
        <f>'HULP-velden'!$AE$34</f>
        <v>488000</v>
      </c>
      <c r="T20" s="223"/>
      <c r="U20" s="331">
        <f>+'HULP-velden'!$AJ$34</f>
        <v>64</v>
      </c>
      <c r="V20" s="331">
        <f>+'HULP-velden'!$AK$34</f>
        <v>74</v>
      </c>
      <c r="W20" s="331">
        <f>+'HULP-velden'!$AL$34</f>
        <v>84</v>
      </c>
      <c r="X20" s="331">
        <f>+'HULP-velden'!$AM$34</f>
        <v>94</v>
      </c>
      <c r="Y20" s="331">
        <f>+'HULP-velden'!$AN$34</f>
        <v>104</v>
      </c>
      <c r="Z20" s="331">
        <f>+'HULP-velden'!$AO$34</f>
        <v>113.99999999999999</v>
      </c>
      <c r="AA20" s="331">
        <f>+'HULP-velden'!$AP$34</f>
        <v>124</v>
      </c>
    </row>
    <row r="21" spans="1:27" s="2" customFormat="1" ht="23.25" customHeight="1" x14ac:dyDescent="0.25">
      <c r="A21" s="11"/>
      <c r="B21" s="12"/>
      <c r="C21" s="12"/>
      <c r="D21" s="12"/>
      <c r="E21" s="12"/>
      <c r="F21" s="12"/>
      <c r="G21" s="158" t="s">
        <v>195</v>
      </c>
      <c r="H21" s="335" t="str">
        <f>IF(+'BPK-Grafiek'!O22&lt;=0,"n.v.t.",+'BPK-Grafiek'!O22)</f>
        <v>n.v.t.</v>
      </c>
      <c r="M21" s="223" t="s">
        <v>80</v>
      </c>
      <c r="N21" s="226">
        <f>+'HULP-velden'!$C$17</f>
        <v>500000</v>
      </c>
      <c r="O21" s="228">
        <f>+N21</f>
        <v>500000</v>
      </c>
      <c r="P21" s="223"/>
      <c r="Q21" s="223"/>
      <c r="R21" s="223"/>
      <c r="S21" s="226">
        <f>'HULP-velden'!$AE$35</f>
        <v>487000</v>
      </c>
      <c r="T21" s="223"/>
      <c r="U21" s="331">
        <f>+'HULP-velden'!$AJ$35</f>
        <v>63.5</v>
      </c>
      <c r="V21" s="331">
        <f>+'HULP-velden'!$AK$35</f>
        <v>73.5</v>
      </c>
      <c r="W21" s="331">
        <f>+'HULP-velden'!$AL$35</f>
        <v>83.5</v>
      </c>
      <c r="X21" s="331">
        <f>+'HULP-velden'!$AM$35</f>
        <v>93.5</v>
      </c>
      <c r="Y21" s="331">
        <f>+'HULP-velden'!$AN$35</f>
        <v>103.49999999999999</v>
      </c>
      <c r="Z21" s="331">
        <f>+'HULP-velden'!$AO$35</f>
        <v>113.5</v>
      </c>
      <c r="AA21" s="331">
        <f>+'HULP-velden'!$AP$35</f>
        <v>123.50000000000001</v>
      </c>
    </row>
    <row r="22" spans="1:27" s="2" customFormat="1" ht="23.25" customHeight="1" x14ac:dyDescent="0.25">
      <c r="A22" s="11"/>
      <c r="B22" s="12"/>
      <c r="C22" s="12"/>
      <c r="D22" s="12"/>
      <c r="E22" s="12"/>
      <c r="F22" s="12"/>
      <c r="G22" s="12"/>
      <c r="H22" s="12"/>
      <c r="M22" s="223" t="s">
        <v>74</v>
      </c>
      <c r="N22" s="224">
        <f>+'HULP-velden'!$C$15</f>
        <v>-1000</v>
      </c>
      <c r="O22" s="227">
        <f>Dashboard!$H$22</f>
        <v>0</v>
      </c>
      <c r="P22" s="223"/>
      <c r="Q22" s="223"/>
      <c r="R22" s="223"/>
      <c r="S22" s="226">
        <f>'HULP-velden'!$AE$36</f>
        <v>486000</v>
      </c>
      <c r="T22" s="223"/>
      <c r="U22" s="331">
        <f>+'HULP-velden'!$AJ$36</f>
        <v>63</v>
      </c>
      <c r="V22" s="331">
        <f>+'HULP-velden'!$AK$36</f>
        <v>73</v>
      </c>
      <c r="W22" s="331">
        <f>+'HULP-velden'!$AL$36</f>
        <v>83</v>
      </c>
      <c r="X22" s="331">
        <f>+'HULP-velden'!$AM$36</f>
        <v>93</v>
      </c>
      <c r="Y22" s="331">
        <f>+'HULP-velden'!$AN$36</f>
        <v>103</v>
      </c>
      <c r="Z22" s="331">
        <f>+'HULP-velden'!$AO$36</f>
        <v>112.99999999999999</v>
      </c>
      <c r="AA22" s="331">
        <f>+'HULP-velden'!$AP$36</f>
        <v>123</v>
      </c>
    </row>
    <row r="23" spans="1:27" s="2" customFormat="1" ht="23.25" customHeight="1" x14ac:dyDescent="0.25">
      <c r="A23" s="11"/>
      <c r="B23" s="12"/>
      <c r="C23" s="12"/>
      <c r="D23" s="12"/>
      <c r="E23" s="12"/>
      <c r="F23" s="12"/>
      <c r="G23" s="12"/>
      <c r="H23" s="12"/>
      <c r="M23" s="223" t="s">
        <v>223</v>
      </c>
      <c r="N23" s="224">
        <f>Dashboard!$H$16</f>
        <v>1</v>
      </c>
      <c r="O23" s="227"/>
      <c r="P23" s="223"/>
      <c r="Q23" s="223"/>
      <c r="R23" s="223"/>
      <c r="S23" s="226">
        <f>'HULP-velden'!$AE$37</f>
        <v>485000</v>
      </c>
      <c r="T23" s="223"/>
      <c r="U23" s="331">
        <f>+'HULP-velden'!$AJ$37</f>
        <v>62.5</v>
      </c>
      <c r="V23" s="331">
        <f>+'HULP-velden'!$AK$37</f>
        <v>72.5</v>
      </c>
      <c r="W23" s="331">
        <f>+'HULP-velden'!$AL$37</f>
        <v>82.5</v>
      </c>
      <c r="X23" s="331">
        <f>+'HULP-velden'!$AM$37</f>
        <v>92.5</v>
      </c>
      <c r="Y23" s="331">
        <f>+'HULP-velden'!$AN$37</f>
        <v>102.49999999999999</v>
      </c>
      <c r="Z23" s="331">
        <f>+'HULP-velden'!$AO$37</f>
        <v>112.5</v>
      </c>
      <c r="AA23" s="331">
        <f>+'HULP-velden'!$AP$37</f>
        <v>122.50000000000001</v>
      </c>
    </row>
    <row r="24" spans="1:27" s="2" customFormat="1" ht="23.25" customHeight="1" x14ac:dyDescent="0.25">
      <c r="A24" s="11"/>
      <c r="B24" s="12"/>
      <c r="C24" s="12"/>
      <c r="D24" s="12"/>
      <c r="E24" s="12"/>
      <c r="F24" s="12"/>
      <c r="G24" s="12"/>
      <c r="H24" s="12"/>
      <c r="M24" s="223"/>
      <c r="N24" s="223"/>
      <c r="O24" s="223"/>
      <c r="P24" s="223"/>
      <c r="Q24" s="223"/>
      <c r="R24" s="223"/>
      <c r="S24" s="226">
        <f>'HULP-velden'!$AE$38</f>
        <v>484000</v>
      </c>
      <c r="T24" s="223"/>
      <c r="U24" s="331">
        <f>+'HULP-velden'!$AJ$38</f>
        <v>62</v>
      </c>
      <c r="V24" s="331">
        <f>+'HULP-velden'!$AK$38</f>
        <v>72</v>
      </c>
      <c r="W24" s="331">
        <f>+'HULP-velden'!$AL$38</f>
        <v>82</v>
      </c>
      <c r="X24" s="331">
        <f>+'HULP-velden'!$AM$38</f>
        <v>92</v>
      </c>
      <c r="Y24" s="331">
        <f>+'HULP-velden'!$AN$38</f>
        <v>102</v>
      </c>
      <c r="Z24" s="331">
        <f>+'HULP-velden'!$AO$38</f>
        <v>112.00000000000001</v>
      </c>
      <c r="AA24" s="331">
        <f>+'HULP-velden'!$AP$38</f>
        <v>122</v>
      </c>
    </row>
    <row r="25" spans="1:27" s="2" customFormat="1" ht="23.25" customHeight="1" x14ac:dyDescent="0.25">
      <c r="A25" s="11"/>
      <c r="B25" s="12"/>
      <c r="C25" s="12"/>
      <c r="D25" s="12"/>
      <c r="E25" s="12"/>
      <c r="F25" s="12"/>
      <c r="G25" s="12"/>
      <c r="H25" s="12"/>
      <c r="M25" s="223" t="s">
        <v>254</v>
      </c>
      <c r="N25" s="226">
        <f>+'HULP-velden'!$C$8</f>
        <v>400000</v>
      </c>
      <c r="O25" s="223"/>
      <c r="P25" s="223"/>
      <c r="Q25" s="223"/>
      <c r="R25" s="223"/>
      <c r="S25" s="226">
        <f>'HULP-velden'!$AE$39</f>
        <v>483000</v>
      </c>
      <c r="T25" s="223"/>
      <c r="U25" s="331">
        <f>+'HULP-velden'!$AJ$39</f>
        <v>61.5</v>
      </c>
      <c r="V25" s="331">
        <f>+'HULP-velden'!$AK$39</f>
        <v>71.5</v>
      </c>
      <c r="W25" s="331">
        <f>+'HULP-velden'!$AL$39</f>
        <v>81.5</v>
      </c>
      <c r="X25" s="331">
        <f>+'HULP-velden'!$AM$39</f>
        <v>91.5</v>
      </c>
      <c r="Y25" s="331">
        <f>+'HULP-velden'!$AN$39</f>
        <v>101.49999999999999</v>
      </c>
      <c r="Z25" s="331">
        <f>+'HULP-velden'!$AO$39</f>
        <v>111.5</v>
      </c>
      <c r="AA25" s="331">
        <f>+'HULP-velden'!$AP$39</f>
        <v>121.50000000000001</v>
      </c>
    </row>
    <row r="26" spans="1:27" s="2" customFormat="1" ht="23.25" customHeight="1" x14ac:dyDescent="0.25">
      <c r="A26" s="11"/>
      <c r="B26" s="12"/>
      <c r="C26" s="12"/>
      <c r="D26" s="12"/>
      <c r="E26" s="12"/>
      <c r="F26" s="12"/>
      <c r="G26" s="12"/>
      <c r="H26" s="12"/>
      <c r="M26" s="223" t="s">
        <v>265</v>
      </c>
      <c r="N26" s="381">
        <f>'HULP-velden'!$C$165</f>
        <v>250</v>
      </c>
      <c r="O26" s="231"/>
      <c r="P26" s="223"/>
      <c r="Q26" s="223"/>
      <c r="R26" s="223"/>
      <c r="S26" s="226">
        <f>'HULP-velden'!$AE$40</f>
        <v>482000</v>
      </c>
      <c r="T26" s="223"/>
      <c r="U26" s="331">
        <f>+'HULP-velden'!$AJ$40</f>
        <v>61</v>
      </c>
      <c r="V26" s="331">
        <f>+'HULP-velden'!$AK$40</f>
        <v>71</v>
      </c>
      <c r="W26" s="331">
        <f>+'HULP-velden'!$AL$40</f>
        <v>81</v>
      </c>
      <c r="X26" s="331">
        <f>+'HULP-velden'!$AM$40</f>
        <v>91</v>
      </c>
      <c r="Y26" s="331">
        <f>+'HULP-velden'!$AN$40</f>
        <v>101</v>
      </c>
      <c r="Z26" s="331">
        <f>+'HULP-velden'!$AO$40</f>
        <v>111.00000000000001</v>
      </c>
      <c r="AA26" s="331">
        <f>+'HULP-velden'!$AP$40</f>
        <v>121</v>
      </c>
    </row>
    <row r="27" spans="1:27" s="2" customFormat="1" ht="23.25" customHeight="1" x14ac:dyDescent="0.25">
      <c r="A27" s="11"/>
      <c r="B27" s="12"/>
      <c r="C27" s="12"/>
      <c r="D27" s="12"/>
      <c r="E27" s="12"/>
      <c r="F27" s="12"/>
      <c r="G27" s="12"/>
      <c r="H27" s="12"/>
      <c r="M27" s="223" t="s">
        <v>264</v>
      </c>
      <c r="N27" s="381">
        <f>'HULP-velden'!$C$164</f>
        <v>250</v>
      </c>
      <c r="O27" s="232"/>
      <c r="P27" s="223"/>
      <c r="Q27" s="223"/>
      <c r="R27" s="223"/>
      <c r="S27" s="226">
        <f>'HULP-velden'!$AE$41</f>
        <v>481000</v>
      </c>
      <c r="T27" s="223"/>
      <c r="U27" s="331">
        <f>+'HULP-velden'!$AJ$41</f>
        <v>60.5</v>
      </c>
      <c r="V27" s="331">
        <f>+'HULP-velden'!$AK$41</f>
        <v>70.5</v>
      </c>
      <c r="W27" s="331">
        <f>+'HULP-velden'!$AL$41</f>
        <v>80.5</v>
      </c>
      <c r="X27" s="331">
        <f>+'HULP-velden'!$AM$41</f>
        <v>90.5</v>
      </c>
      <c r="Y27" s="331">
        <f>+'HULP-velden'!$AN$41</f>
        <v>100.49999999999999</v>
      </c>
      <c r="Z27" s="331">
        <f>+'HULP-velden'!$AO$41</f>
        <v>110.5</v>
      </c>
      <c r="AA27" s="331">
        <f>+'HULP-velden'!$AP$41</f>
        <v>120.5</v>
      </c>
    </row>
    <row r="28" spans="1:27" s="2" customFormat="1" ht="15" customHeight="1" x14ac:dyDescent="0.25">
      <c r="A28" s="11"/>
      <c r="B28" s="12"/>
      <c r="C28" s="12"/>
      <c r="D28" s="12"/>
      <c r="E28" s="12"/>
      <c r="F28" s="12"/>
      <c r="G28" s="12"/>
      <c r="H28" s="12"/>
      <c r="M28" s="223" t="s">
        <v>259</v>
      </c>
      <c r="N28" s="382">
        <f>'HULP-velden'!$C$163</f>
        <v>500</v>
      </c>
      <c r="O28" s="223"/>
      <c r="P28" s="223"/>
      <c r="Q28" s="223"/>
      <c r="R28" s="223"/>
      <c r="S28" s="226">
        <f>'HULP-velden'!$AE$42</f>
        <v>480000</v>
      </c>
      <c r="T28" s="223"/>
      <c r="U28" s="331">
        <f>+'HULP-velden'!$AJ$42</f>
        <v>60</v>
      </c>
      <c r="V28" s="331">
        <f>+'HULP-velden'!$AK$42</f>
        <v>70</v>
      </c>
      <c r="W28" s="331">
        <f>+'HULP-velden'!$AL$42</f>
        <v>80</v>
      </c>
      <c r="X28" s="331">
        <f>+'HULP-velden'!$AM$42</f>
        <v>90</v>
      </c>
      <c r="Y28" s="331">
        <f>+'HULP-velden'!$AN$42</f>
        <v>100</v>
      </c>
      <c r="Z28" s="331">
        <f>+'HULP-velden'!$AO$42</f>
        <v>110.00000000000001</v>
      </c>
      <c r="AA28" s="331">
        <f>+'HULP-velden'!$AP$42</f>
        <v>120</v>
      </c>
    </row>
    <row r="29" spans="1:27" s="2" customFormat="1" ht="15" customHeight="1" x14ac:dyDescent="0.25">
      <c r="A29" s="11"/>
      <c r="B29" s="12"/>
      <c r="C29" s="12"/>
      <c r="D29" s="12"/>
      <c r="E29" s="12"/>
      <c r="F29" s="12"/>
      <c r="G29" s="12"/>
      <c r="H29" s="12"/>
      <c r="M29" s="223"/>
      <c r="N29" s="295"/>
      <c r="O29" s="223"/>
      <c r="P29" s="223"/>
      <c r="Q29" s="223"/>
      <c r="R29" s="223"/>
      <c r="S29" s="226">
        <f>'HULP-velden'!$AE$43</f>
        <v>479000</v>
      </c>
      <c r="T29" s="223"/>
      <c r="U29" s="331">
        <f>+'HULP-velden'!$AJ$43</f>
        <v>59.5</v>
      </c>
      <c r="V29" s="331">
        <f>+'HULP-velden'!$AK$43</f>
        <v>69.5</v>
      </c>
      <c r="W29" s="331">
        <f>+'HULP-velden'!$AL$43</f>
        <v>79.5</v>
      </c>
      <c r="X29" s="331">
        <f>+'HULP-velden'!$AM$43</f>
        <v>89.5</v>
      </c>
      <c r="Y29" s="331">
        <f>+'HULP-velden'!$AN$43</f>
        <v>99.5</v>
      </c>
      <c r="Z29" s="331">
        <f>+'HULP-velden'!$AO$43</f>
        <v>109.5</v>
      </c>
      <c r="AA29" s="331">
        <f>+'HULP-velden'!$AP$43</f>
        <v>119.5</v>
      </c>
    </row>
    <row r="30" spans="1:27" s="2" customFormat="1" ht="15" customHeight="1" x14ac:dyDescent="0.25">
      <c r="A30" s="11"/>
      <c r="B30" s="12"/>
      <c r="C30" s="12"/>
      <c r="D30" s="12"/>
      <c r="E30" s="12"/>
      <c r="F30" s="12"/>
      <c r="G30" s="12"/>
      <c r="H30" s="12"/>
      <c r="M30" s="223"/>
      <c r="N30" s="295"/>
      <c r="O30" s="223"/>
      <c r="P30" s="223"/>
      <c r="Q30" s="223"/>
      <c r="R30" s="223"/>
      <c r="S30" s="226">
        <f>'HULP-velden'!$AE$44</f>
        <v>478000</v>
      </c>
      <c r="T30" s="223"/>
      <c r="U30" s="331">
        <f>+'HULP-velden'!$AJ$44</f>
        <v>59</v>
      </c>
      <c r="V30" s="331">
        <f>+'HULP-velden'!$AK$44</f>
        <v>69</v>
      </c>
      <c r="W30" s="331">
        <f>+'HULP-velden'!$AL$44</f>
        <v>79</v>
      </c>
      <c r="X30" s="331">
        <f>+'HULP-velden'!$AM$44</f>
        <v>89</v>
      </c>
      <c r="Y30" s="331">
        <f>+'HULP-velden'!$AN$44</f>
        <v>99</v>
      </c>
      <c r="Z30" s="331">
        <f>+'HULP-velden'!$AO$44</f>
        <v>109.00000000000001</v>
      </c>
      <c r="AA30" s="331">
        <f>+'HULP-velden'!$AP$44</f>
        <v>119</v>
      </c>
    </row>
    <row r="31" spans="1:27" s="2" customFormat="1" ht="15" customHeight="1" x14ac:dyDescent="0.25">
      <c r="A31" s="11"/>
      <c r="B31" s="12"/>
      <c r="C31" s="12"/>
      <c r="D31" s="12"/>
      <c r="E31" s="12"/>
      <c r="F31" s="12"/>
      <c r="G31" s="12"/>
      <c r="H31" s="12"/>
      <c r="M31" s="223"/>
      <c r="N31" s="295"/>
      <c r="O31" s="223"/>
      <c r="P31" s="223"/>
      <c r="Q31" s="223"/>
      <c r="R31" s="223"/>
      <c r="S31" s="226">
        <f>'HULP-velden'!$AE$45</f>
        <v>477000</v>
      </c>
      <c r="T31" s="223"/>
      <c r="U31" s="331">
        <f>+'HULP-velden'!$AJ$45</f>
        <v>58.5</v>
      </c>
      <c r="V31" s="331">
        <f>+'HULP-velden'!$AK$45</f>
        <v>68.5</v>
      </c>
      <c r="W31" s="331">
        <f>+'HULP-velden'!$AL$45</f>
        <v>78.5</v>
      </c>
      <c r="X31" s="331">
        <f>+'HULP-velden'!$AM$45</f>
        <v>88.5</v>
      </c>
      <c r="Y31" s="331">
        <f>+'HULP-velden'!$AN$45</f>
        <v>98.5</v>
      </c>
      <c r="Z31" s="331">
        <f>+'HULP-velden'!$AO$45</f>
        <v>108.5</v>
      </c>
      <c r="AA31" s="331">
        <f>+'HULP-velden'!$AP$45</f>
        <v>118.5</v>
      </c>
    </row>
    <row r="32" spans="1:27" s="2" customFormat="1" ht="15" customHeight="1" x14ac:dyDescent="0.25">
      <c r="A32" s="11"/>
      <c r="B32" s="12"/>
      <c r="C32" s="12"/>
      <c r="D32" s="12"/>
      <c r="E32" s="12"/>
      <c r="F32" s="12"/>
      <c r="G32" s="12"/>
      <c r="H32" s="12"/>
      <c r="M32" s="223"/>
      <c r="N32" s="223"/>
      <c r="O32" s="223"/>
      <c r="P32" s="223"/>
      <c r="Q32" s="223"/>
      <c r="R32" s="223"/>
      <c r="S32" s="226">
        <f>'HULP-velden'!$AE$46</f>
        <v>476000</v>
      </c>
      <c r="T32" s="223"/>
      <c r="U32" s="331">
        <f>+'HULP-velden'!$AJ$46</f>
        <v>57.999999999999993</v>
      </c>
      <c r="V32" s="331">
        <f>+'HULP-velden'!$AK$46</f>
        <v>68</v>
      </c>
      <c r="W32" s="331">
        <f>+'HULP-velden'!$AL$46</f>
        <v>78</v>
      </c>
      <c r="X32" s="331">
        <f>+'HULP-velden'!$AM$46</f>
        <v>88</v>
      </c>
      <c r="Y32" s="331">
        <f>+'HULP-velden'!$AN$46</f>
        <v>98</v>
      </c>
      <c r="Z32" s="331">
        <f>+'HULP-velden'!$AO$46</f>
        <v>108</v>
      </c>
      <c r="AA32" s="331">
        <f>+'HULP-velden'!$AP$46</f>
        <v>118</v>
      </c>
    </row>
    <row r="33" spans="1:27" s="2" customFormat="1" ht="15" customHeight="1" x14ac:dyDescent="0.25">
      <c r="A33" s="11"/>
      <c r="B33" s="16"/>
      <c r="C33" s="16"/>
      <c r="D33" s="16"/>
      <c r="E33" s="16"/>
      <c r="F33" s="16"/>
      <c r="G33" s="16"/>
      <c r="H33" s="16"/>
      <c r="M33" s="223"/>
      <c r="N33" s="223"/>
      <c r="O33" s="223"/>
      <c r="P33" s="223"/>
      <c r="Q33" s="223"/>
      <c r="R33" s="223"/>
      <c r="S33" s="226">
        <f>'HULP-velden'!$AE$47</f>
        <v>475000</v>
      </c>
      <c r="T33" s="223"/>
      <c r="U33" s="331">
        <f>+'HULP-velden'!$AJ$47</f>
        <v>57.499999999999993</v>
      </c>
      <c r="V33" s="331">
        <f>+'HULP-velden'!$AK$47</f>
        <v>67.5</v>
      </c>
      <c r="W33" s="331">
        <f>+'HULP-velden'!$AL$47</f>
        <v>77.5</v>
      </c>
      <c r="X33" s="331">
        <f>+'HULP-velden'!$AM$47</f>
        <v>87.5</v>
      </c>
      <c r="Y33" s="331">
        <f>+'HULP-velden'!$AN$47</f>
        <v>97.5</v>
      </c>
      <c r="Z33" s="331">
        <f>+'HULP-velden'!$AO$47</f>
        <v>107.5</v>
      </c>
      <c r="AA33" s="331">
        <f>+'HULP-velden'!$AP$47</f>
        <v>117.5</v>
      </c>
    </row>
    <row r="34" spans="1:27" s="2" customFormat="1" ht="15" customHeight="1" x14ac:dyDescent="0.25">
      <c r="A34" s="11"/>
      <c r="M34" s="223" t="s">
        <v>109</v>
      </c>
      <c r="N34" s="444" t="str">
        <f>Dashboard!$E$6</f>
        <v>Test</v>
      </c>
      <c r="O34" s="223"/>
      <c r="P34" s="223"/>
      <c r="Q34" s="223"/>
      <c r="R34" s="223"/>
      <c r="S34" s="226">
        <f>'HULP-velden'!$AE$48</f>
        <v>474000</v>
      </c>
      <c r="T34" s="223"/>
      <c r="U34" s="331">
        <f>+'HULP-velden'!$AJ$48</f>
        <v>56.999999999999993</v>
      </c>
      <c r="V34" s="331">
        <f>+'HULP-velden'!$AK$48</f>
        <v>67</v>
      </c>
      <c r="W34" s="331">
        <f>+'HULP-velden'!$AL$48</f>
        <v>77</v>
      </c>
      <c r="X34" s="331">
        <f>+'HULP-velden'!$AM$48</f>
        <v>87</v>
      </c>
      <c r="Y34" s="331">
        <f>+'HULP-velden'!$AN$48</f>
        <v>97</v>
      </c>
      <c r="Z34" s="331">
        <f>+'HULP-velden'!$AO$48</f>
        <v>107</v>
      </c>
      <c r="AA34" s="331">
        <f>+'HULP-velden'!$AP$48</f>
        <v>117</v>
      </c>
    </row>
    <row r="35" spans="1:27" s="2" customFormat="1" ht="15" customHeight="1" x14ac:dyDescent="0.25">
      <c r="A35" s="1"/>
      <c r="B35" s="12"/>
      <c r="C35" s="12"/>
      <c r="D35" s="12"/>
      <c r="E35" s="12"/>
      <c r="F35" s="12"/>
      <c r="G35" s="12"/>
      <c r="H35" s="12"/>
      <c r="M35" s="223" t="s">
        <v>12</v>
      </c>
      <c r="N35" s="444" t="str">
        <f>Dashboard!$E$7</f>
        <v>IUC26-001</v>
      </c>
      <c r="O35" s="223"/>
      <c r="P35" s="223"/>
      <c r="Q35" s="223"/>
      <c r="R35" s="223"/>
      <c r="S35" s="226">
        <f>'HULP-velden'!$AE$49</f>
        <v>473000</v>
      </c>
      <c r="T35" s="223"/>
      <c r="U35" s="331">
        <f>+'HULP-velden'!$AJ$49</f>
        <v>56.499999999999993</v>
      </c>
      <c r="V35" s="331">
        <f>+'HULP-velden'!$AK$49</f>
        <v>66.5</v>
      </c>
      <c r="W35" s="331">
        <f>+'HULP-velden'!$AL$49</f>
        <v>76.5</v>
      </c>
      <c r="X35" s="331">
        <f>+'HULP-velden'!$AM$49</f>
        <v>86.5</v>
      </c>
      <c r="Y35" s="331">
        <f>+'HULP-velden'!$AN$49</f>
        <v>96.5</v>
      </c>
      <c r="Z35" s="331">
        <f>+'HULP-velden'!$AO$49</f>
        <v>106.5</v>
      </c>
      <c r="AA35" s="331">
        <f>+'HULP-velden'!$AP$49</f>
        <v>116.5</v>
      </c>
    </row>
    <row r="36" spans="1:27" s="2" customFormat="1" ht="15" customHeight="1" x14ac:dyDescent="0.25">
      <c r="A36" s="1"/>
      <c r="B36" s="16"/>
      <c r="C36" s="16"/>
      <c r="D36" s="16"/>
      <c r="E36" s="16"/>
      <c r="F36" s="16"/>
      <c r="G36" s="16"/>
      <c r="H36" s="16"/>
      <c r="M36" s="223"/>
      <c r="N36" s="223"/>
      <c r="O36" s="223"/>
      <c r="P36" s="223"/>
      <c r="Q36" s="223"/>
      <c r="R36" s="223"/>
      <c r="S36" s="226">
        <f>'HULP-velden'!$AE$50</f>
        <v>472000</v>
      </c>
      <c r="T36" s="223"/>
      <c r="U36" s="331">
        <f>+'HULP-velden'!$AJ$50</f>
        <v>56.000000000000007</v>
      </c>
      <c r="V36" s="331">
        <f>+'HULP-velden'!$AK$50</f>
        <v>66</v>
      </c>
      <c r="W36" s="331">
        <f>+'HULP-velden'!$AL$50</f>
        <v>76</v>
      </c>
      <c r="X36" s="331">
        <f>+'HULP-velden'!$AM$50</f>
        <v>86</v>
      </c>
      <c r="Y36" s="331">
        <f>+'HULP-velden'!$AN$50</f>
        <v>96</v>
      </c>
      <c r="Z36" s="331">
        <f>+'HULP-velden'!$AO$50</f>
        <v>106</v>
      </c>
      <c r="AA36" s="331">
        <f>+'HULP-velden'!$AP$50</f>
        <v>115.99999999999999</v>
      </c>
    </row>
    <row r="37" spans="1:27" s="2" customFormat="1" ht="15" customHeight="1" x14ac:dyDescent="0.25">
      <c r="M37" s="223"/>
      <c r="N37" s="223"/>
      <c r="O37" s="223"/>
      <c r="P37" s="223"/>
      <c r="Q37" s="223"/>
      <c r="R37" s="223"/>
      <c r="S37" s="226">
        <f>'HULP-velden'!$AE$51</f>
        <v>471000</v>
      </c>
      <c r="T37" s="223"/>
      <c r="U37" s="331">
        <f>+'HULP-velden'!$AJ$51</f>
        <v>55.500000000000007</v>
      </c>
      <c r="V37" s="331">
        <f>+'HULP-velden'!$AK$51</f>
        <v>65.5</v>
      </c>
      <c r="W37" s="331">
        <f>+'HULP-velden'!$AL$51</f>
        <v>75.5</v>
      </c>
      <c r="X37" s="331">
        <f>+'HULP-velden'!$AM$51</f>
        <v>85.5</v>
      </c>
      <c r="Y37" s="331">
        <f>+'HULP-velden'!$AN$51</f>
        <v>95.5</v>
      </c>
      <c r="Z37" s="331">
        <f>+'HULP-velden'!$AO$51</f>
        <v>105.5</v>
      </c>
      <c r="AA37" s="331">
        <f>+'HULP-velden'!$AP$51</f>
        <v>115.5</v>
      </c>
    </row>
    <row r="38" spans="1:27" s="2" customFormat="1" ht="15" customHeight="1" x14ac:dyDescent="0.25">
      <c r="B38" s="9"/>
      <c r="C38" s="9"/>
      <c r="D38" s="9"/>
      <c r="E38" s="9"/>
      <c r="F38" s="9"/>
      <c r="G38" s="9"/>
      <c r="H38" s="9"/>
      <c r="M38" s="223" t="s">
        <v>184</v>
      </c>
      <c r="N38" s="223"/>
      <c r="O38" s="223"/>
      <c r="P38" s="223"/>
      <c r="Q38" s="223"/>
      <c r="R38" s="223"/>
      <c r="S38" s="226">
        <f>'HULP-velden'!$AE$52</f>
        <v>470000</v>
      </c>
      <c r="T38" s="223"/>
      <c r="U38" s="331">
        <f>+'HULP-velden'!$AJ$52</f>
        <v>55.000000000000007</v>
      </c>
      <c r="V38" s="331">
        <f>+'HULP-velden'!$AK$52</f>
        <v>65</v>
      </c>
      <c r="W38" s="331">
        <f>+'HULP-velden'!$AL$52</f>
        <v>75</v>
      </c>
      <c r="X38" s="331">
        <f>+'HULP-velden'!$AM$52</f>
        <v>85</v>
      </c>
      <c r="Y38" s="331">
        <f>+'HULP-velden'!$AN$52</f>
        <v>95</v>
      </c>
      <c r="Z38" s="331">
        <f>+'HULP-velden'!$AO$52</f>
        <v>105</v>
      </c>
      <c r="AA38" s="331">
        <f>+'HULP-velden'!$AP$52</f>
        <v>114.99999999999999</v>
      </c>
    </row>
    <row r="39" spans="1:27" s="2" customFormat="1" ht="15" customHeight="1" x14ac:dyDescent="0.25">
      <c r="B39" s="9"/>
      <c r="C39" s="9"/>
      <c r="D39" s="9"/>
      <c r="E39" s="9"/>
      <c r="F39" s="9"/>
      <c r="G39" s="9"/>
      <c r="H39" s="9"/>
      <c r="M39" s="223" t="s">
        <v>222</v>
      </c>
      <c r="N39" s="223"/>
      <c r="O39" s="226">
        <f>'HULP-velden'!$D$104</f>
        <v>280000</v>
      </c>
      <c r="P39" s="223"/>
      <c r="Q39" s="223"/>
      <c r="R39" s="223"/>
      <c r="S39" s="226">
        <f>'HULP-velden'!$AE$53</f>
        <v>469000</v>
      </c>
      <c r="T39" s="223"/>
      <c r="U39" s="331">
        <f>+'HULP-velden'!$AJ$53</f>
        <v>54.500000000000007</v>
      </c>
      <c r="V39" s="331">
        <f>+'HULP-velden'!$AK$53</f>
        <v>64.5</v>
      </c>
      <c r="W39" s="331">
        <f>+'HULP-velden'!$AL$53</f>
        <v>74.5</v>
      </c>
      <c r="X39" s="331">
        <f>+'HULP-velden'!$AM$53</f>
        <v>84.5</v>
      </c>
      <c r="Y39" s="331">
        <f>+'HULP-velden'!$AN$53</f>
        <v>94.5</v>
      </c>
      <c r="Z39" s="331">
        <f>+'HULP-velden'!$AO$53</f>
        <v>104.5</v>
      </c>
      <c r="AA39" s="331">
        <f>+'HULP-velden'!$AP$53</f>
        <v>114.5</v>
      </c>
    </row>
    <row r="40" spans="1:27" s="2" customFormat="1" ht="15" customHeight="1" x14ac:dyDescent="0.25">
      <c r="B40" s="9"/>
      <c r="C40" s="9"/>
      <c r="D40" s="9"/>
      <c r="E40" s="9"/>
      <c r="F40" s="9"/>
      <c r="G40" s="9"/>
      <c r="H40" s="9"/>
      <c r="M40" s="223" t="s">
        <v>21</v>
      </c>
      <c r="N40" s="224">
        <f>+'HULP-velden'!$C$20</f>
        <v>100</v>
      </c>
      <c r="O40" s="224">
        <f>+'HULP-velden'!$D$20</f>
        <v>100</v>
      </c>
      <c r="P40" s="223"/>
      <c r="Q40" s="223"/>
      <c r="R40" s="223"/>
      <c r="S40" s="226">
        <f>'HULP-velden'!$AE$54</f>
        <v>468000</v>
      </c>
      <c r="T40" s="223"/>
      <c r="U40" s="331">
        <f>+'HULP-velden'!$AJ$54</f>
        <v>54</v>
      </c>
      <c r="V40" s="331">
        <f>+'HULP-velden'!$AK$54</f>
        <v>64</v>
      </c>
      <c r="W40" s="331">
        <f>+'HULP-velden'!$AL$54</f>
        <v>74</v>
      </c>
      <c r="X40" s="331">
        <f>+'HULP-velden'!$AM$54</f>
        <v>84</v>
      </c>
      <c r="Y40" s="331">
        <f>+'HULP-velden'!$AN$54</f>
        <v>94</v>
      </c>
      <c r="Z40" s="331">
        <f>+'HULP-velden'!$AO$54</f>
        <v>104</v>
      </c>
      <c r="AA40" s="331">
        <f>+'HULP-velden'!$AP$54</f>
        <v>113.99999999999999</v>
      </c>
    </row>
    <row r="41" spans="1:27" s="2" customFormat="1" ht="15" customHeight="1" x14ac:dyDescent="0.25">
      <c r="B41" s="9"/>
      <c r="C41" s="9"/>
      <c r="D41" s="9"/>
      <c r="E41" s="9"/>
      <c r="F41" s="9"/>
      <c r="G41" s="9"/>
      <c r="H41" s="9"/>
      <c r="M41" s="223" t="s">
        <v>246</v>
      </c>
      <c r="N41" s="445">
        <f>+'HULP-velden'!$C$21</f>
        <v>0</v>
      </c>
      <c r="O41" s="226">
        <f>+'HULP-velden'!$D$21</f>
        <v>520000</v>
      </c>
      <c r="P41" s="223"/>
      <c r="Q41" s="223"/>
      <c r="R41" s="223"/>
      <c r="S41" s="226">
        <f>'HULP-velden'!$AE$55</f>
        <v>467000</v>
      </c>
      <c r="T41" s="223"/>
      <c r="U41" s="331">
        <f>+'HULP-velden'!$AJ$55</f>
        <v>53.5</v>
      </c>
      <c r="V41" s="331">
        <f>+'HULP-velden'!$AK$55</f>
        <v>63.5</v>
      </c>
      <c r="W41" s="331">
        <f>+'HULP-velden'!$AL$55</f>
        <v>73.5</v>
      </c>
      <c r="X41" s="331">
        <f>+'HULP-velden'!$AM$55</f>
        <v>83.5</v>
      </c>
      <c r="Y41" s="331">
        <f>+'HULP-velden'!$AN$55</f>
        <v>93.5</v>
      </c>
      <c r="Z41" s="331">
        <f>+'HULP-velden'!$AO$55</f>
        <v>103.49999999999999</v>
      </c>
      <c r="AA41" s="331">
        <f>+'HULP-velden'!$AP$55</f>
        <v>113.5</v>
      </c>
    </row>
    <row r="42" spans="1:27" s="2" customFormat="1" ht="15" customHeight="1" x14ac:dyDescent="0.25">
      <c r="B42" s="9"/>
      <c r="C42" s="9"/>
      <c r="D42" s="9"/>
      <c r="E42" s="9"/>
      <c r="F42" s="9"/>
      <c r="G42" s="9"/>
      <c r="H42" s="9"/>
      <c r="M42" s="223" t="s">
        <v>10</v>
      </c>
      <c r="N42" s="230">
        <f>'HULP-velden'!$M$15</f>
        <v>250</v>
      </c>
      <c r="O42" s="226">
        <f>+'HULP-velden'!$M$14</f>
        <v>400000</v>
      </c>
      <c r="P42" s="223"/>
      <c r="Q42" s="223"/>
      <c r="R42" s="223"/>
      <c r="S42" s="226">
        <f>'HULP-velden'!$AE$56</f>
        <v>466000</v>
      </c>
      <c r="T42" s="223"/>
      <c r="U42" s="331">
        <f>+'HULP-velden'!$AJ$56</f>
        <v>53</v>
      </c>
      <c r="V42" s="331">
        <f>+'HULP-velden'!$AK$56</f>
        <v>63</v>
      </c>
      <c r="W42" s="331">
        <f>+'HULP-velden'!$AL$56</f>
        <v>73</v>
      </c>
      <c r="X42" s="331">
        <f>+'HULP-velden'!$AM$56</f>
        <v>83</v>
      </c>
      <c r="Y42" s="331">
        <f>+'HULP-velden'!$AN$56</f>
        <v>93</v>
      </c>
      <c r="Z42" s="331">
        <f>+'HULP-velden'!$AO$56</f>
        <v>103</v>
      </c>
      <c r="AA42" s="331">
        <f>+'HULP-velden'!$AP$56</f>
        <v>112.99999999999999</v>
      </c>
    </row>
    <row r="43" spans="1:27" s="2" customFormat="1" ht="15" customHeight="1" x14ac:dyDescent="0.25">
      <c r="B43" s="9"/>
      <c r="C43" s="9"/>
      <c r="D43" s="9"/>
      <c r="E43" s="9"/>
      <c r="F43" s="9"/>
      <c r="G43" s="9"/>
      <c r="H43" s="9"/>
      <c r="M43" s="223" t="s">
        <v>185</v>
      </c>
      <c r="N43" s="223">
        <f>'HULP-velden'!$C$23</f>
        <v>0</v>
      </c>
      <c r="O43" s="224">
        <f>'HULP-velden'!$D$23</f>
        <v>100</v>
      </c>
      <c r="P43" s="223"/>
      <c r="Q43" s="223"/>
      <c r="R43" s="223"/>
      <c r="S43" s="226">
        <f>'HULP-velden'!$AE$57</f>
        <v>465000</v>
      </c>
      <c r="T43" s="223"/>
      <c r="U43" s="331">
        <f>+'HULP-velden'!$AJ$57</f>
        <v>52.5</v>
      </c>
      <c r="V43" s="331">
        <f>+'HULP-velden'!$AK$57</f>
        <v>62.5</v>
      </c>
      <c r="W43" s="331">
        <f>+'HULP-velden'!$AL$57</f>
        <v>72.5</v>
      </c>
      <c r="X43" s="331">
        <f>+'HULP-velden'!$AM$57</f>
        <v>82.5</v>
      </c>
      <c r="Y43" s="331">
        <f>+'HULP-velden'!$AN$57</f>
        <v>92.5</v>
      </c>
      <c r="Z43" s="331">
        <f>+'HULP-velden'!$AO$57</f>
        <v>102.49999999999999</v>
      </c>
      <c r="AA43" s="331">
        <f>+'HULP-velden'!$AP$57</f>
        <v>112.5</v>
      </c>
    </row>
    <row r="44" spans="1:27" s="2" customFormat="1" ht="15" customHeight="1" x14ac:dyDescent="0.25">
      <c r="B44" s="9"/>
      <c r="C44" s="9"/>
      <c r="D44" s="9"/>
      <c r="E44" s="9"/>
      <c r="F44" s="9"/>
      <c r="G44" s="9"/>
      <c r="H44" s="9"/>
      <c r="M44" s="223"/>
      <c r="N44" s="226">
        <f>+'HULP-velden'!$C$13</f>
        <v>-100000</v>
      </c>
      <c r="O44" s="228">
        <f>+N44</f>
        <v>-100000</v>
      </c>
      <c r="P44" s="223"/>
      <c r="Q44" s="223"/>
      <c r="R44" s="223"/>
      <c r="S44" s="226">
        <f>'HULP-velden'!$AE$58</f>
        <v>464000</v>
      </c>
      <c r="T44" s="223"/>
      <c r="U44" s="331">
        <f>+'HULP-velden'!$AJ$58</f>
        <v>52</v>
      </c>
      <c r="V44" s="331">
        <f>+'HULP-velden'!$AK$58</f>
        <v>62</v>
      </c>
      <c r="W44" s="331">
        <f>+'HULP-velden'!$AL$58</f>
        <v>72</v>
      </c>
      <c r="X44" s="331">
        <f>+'HULP-velden'!$AM$58</f>
        <v>82</v>
      </c>
      <c r="Y44" s="331">
        <f>+'HULP-velden'!$AN$58</f>
        <v>92</v>
      </c>
      <c r="Z44" s="331">
        <f>+'HULP-velden'!$AO$58</f>
        <v>102</v>
      </c>
      <c r="AA44" s="331">
        <f>+'HULP-velden'!$AP$58</f>
        <v>112.00000000000001</v>
      </c>
    </row>
    <row r="45" spans="1:27" s="2" customFormat="1" ht="15" customHeight="1" x14ac:dyDescent="0.25">
      <c r="B45" s="9"/>
      <c r="C45" s="9"/>
      <c r="D45" s="9"/>
      <c r="E45" s="9"/>
      <c r="F45" s="9"/>
      <c r="G45" s="9"/>
      <c r="H45" s="9"/>
      <c r="M45" s="223" t="s">
        <v>343</v>
      </c>
      <c r="N45" s="223">
        <v>0</v>
      </c>
      <c r="O45" s="226">
        <f>+'HULP-velden'!$D$21</f>
        <v>520000</v>
      </c>
      <c r="P45" s="223"/>
      <c r="Q45" s="223"/>
      <c r="R45" s="223"/>
      <c r="S45" s="226">
        <f>'HULP-velden'!$AE$59</f>
        <v>463000</v>
      </c>
      <c r="T45" s="223"/>
      <c r="U45" s="331">
        <f>+'HULP-velden'!$AJ$59</f>
        <v>51.5</v>
      </c>
      <c r="V45" s="331">
        <f>+'HULP-velden'!$AK$59</f>
        <v>61.5</v>
      </c>
      <c r="W45" s="331">
        <f>+'HULP-velden'!$AL$59</f>
        <v>71.5</v>
      </c>
      <c r="X45" s="331">
        <f>+'HULP-velden'!$AM$59</f>
        <v>81.5</v>
      </c>
      <c r="Y45" s="331">
        <f>+'HULP-velden'!$AN$59</f>
        <v>91.5</v>
      </c>
      <c r="Z45" s="331">
        <f>+'HULP-velden'!$AO$59</f>
        <v>101.49999999999999</v>
      </c>
      <c r="AA45" s="331">
        <f>+'HULP-velden'!$AP$59</f>
        <v>111.5</v>
      </c>
    </row>
    <row r="46" spans="1:27" s="2" customFormat="1" ht="15" customHeight="1" x14ac:dyDescent="0.25">
      <c r="B46" s="9"/>
      <c r="C46" s="9"/>
      <c r="D46" s="9"/>
      <c r="E46" s="9"/>
      <c r="F46" s="9"/>
      <c r="G46" s="9"/>
      <c r="H46" s="9"/>
      <c r="M46" s="223" t="s">
        <v>186</v>
      </c>
      <c r="N46" s="223">
        <f>'HULP-velden'!$C$26</f>
        <v>-1000</v>
      </c>
      <c r="O46" s="223">
        <f>'HULP-velden'!$D$26</f>
        <v>-1000</v>
      </c>
      <c r="P46" s="223"/>
      <c r="Q46" s="223"/>
      <c r="R46" s="223"/>
      <c r="S46" s="226">
        <f>'HULP-velden'!$AE$60</f>
        <v>462000</v>
      </c>
      <c r="T46" s="223"/>
      <c r="U46" s="331">
        <f>+'HULP-velden'!$AJ$60</f>
        <v>51</v>
      </c>
      <c r="V46" s="331">
        <f>+'HULP-velden'!$AK$60</f>
        <v>61</v>
      </c>
      <c r="W46" s="331">
        <f>+'HULP-velden'!$AL$60</f>
        <v>71</v>
      </c>
      <c r="X46" s="331">
        <f>+'HULP-velden'!$AM$60</f>
        <v>81</v>
      </c>
      <c r="Y46" s="331">
        <f>+'HULP-velden'!$AN$60</f>
        <v>91</v>
      </c>
      <c r="Z46" s="331">
        <f>+'HULP-velden'!$AO$60</f>
        <v>101</v>
      </c>
      <c r="AA46" s="331">
        <f>+'HULP-velden'!$AP$60</f>
        <v>111.00000000000001</v>
      </c>
    </row>
    <row r="47" spans="1:27" s="2" customFormat="1" ht="15" customHeight="1" x14ac:dyDescent="0.25">
      <c r="M47" s="223" t="s">
        <v>130</v>
      </c>
      <c r="N47" s="223">
        <f>'HULP-velden'!$C$28</f>
        <v>0</v>
      </c>
      <c r="O47" s="223">
        <f>'HULP-velden'!$D$28</f>
        <v>0</v>
      </c>
      <c r="P47" s="223"/>
      <c r="Q47" s="223"/>
      <c r="R47" s="223"/>
      <c r="S47" s="226">
        <f>'HULP-velden'!$AE$61</f>
        <v>461000</v>
      </c>
      <c r="T47" s="223"/>
      <c r="U47" s="331">
        <f>+'HULP-velden'!$AJ$61</f>
        <v>50.5</v>
      </c>
      <c r="V47" s="331">
        <f>+'HULP-velden'!$AK$61</f>
        <v>60.5</v>
      </c>
      <c r="W47" s="331">
        <f>+'HULP-velden'!$AL$61</f>
        <v>70.5</v>
      </c>
      <c r="X47" s="331">
        <f>+'HULP-velden'!$AM$61</f>
        <v>80.5</v>
      </c>
      <c r="Y47" s="331">
        <f>+'HULP-velden'!$AN$61</f>
        <v>90.5</v>
      </c>
      <c r="Z47" s="331">
        <f>+'HULP-velden'!$AO$61</f>
        <v>100.49999999999999</v>
      </c>
      <c r="AA47" s="331">
        <f>+'HULP-velden'!$AP$61</f>
        <v>110.5</v>
      </c>
    </row>
    <row r="48" spans="1:27" ht="15" customHeight="1" x14ac:dyDescent="0.25">
      <c r="M48" s="223" t="s">
        <v>187</v>
      </c>
      <c r="N48" s="223">
        <f>+N47</f>
        <v>0</v>
      </c>
      <c r="O48" s="223">
        <v>0</v>
      </c>
      <c r="P48" s="223"/>
      <c r="Q48" s="223"/>
      <c r="R48" s="223"/>
      <c r="S48" s="226">
        <f>'HULP-velden'!$AE$62</f>
        <v>460000</v>
      </c>
      <c r="T48" s="223"/>
      <c r="U48" s="331">
        <f>+'HULP-velden'!$AJ$62</f>
        <v>50</v>
      </c>
      <c r="V48" s="331">
        <f>+'HULP-velden'!$AK$62</f>
        <v>60</v>
      </c>
      <c r="W48" s="331">
        <f>+'HULP-velden'!$AL$62</f>
        <v>70</v>
      </c>
      <c r="X48" s="331">
        <f>+'HULP-velden'!$AM$62</f>
        <v>80</v>
      </c>
      <c r="Y48" s="331">
        <f>+'HULP-velden'!$AN$62</f>
        <v>90</v>
      </c>
      <c r="Z48" s="331">
        <f>+'HULP-velden'!$AO$62</f>
        <v>100</v>
      </c>
      <c r="AA48" s="331">
        <f>+'HULP-velden'!$AP$62</f>
        <v>110.00000000000001</v>
      </c>
    </row>
    <row r="49" spans="13:27" ht="15" customHeight="1" x14ac:dyDescent="0.25">
      <c r="M49" s="223" t="s">
        <v>188</v>
      </c>
      <c r="N49" s="224">
        <f>N12</f>
        <v>500</v>
      </c>
      <c r="O49" s="223">
        <v>0</v>
      </c>
      <c r="P49" s="223"/>
      <c r="Q49" s="223"/>
      <c r="R49" s="223"/>
      <c r="S49" s="226">
        <f>'HULP-velden'!$AE$63</f>
        <v>459000</v>
      </c>
      <c r="T49" s="223"/>
      <c r="U49" s="331">
        <f>+'HULP-velden'!$AJ$63</f>
        <v>49.5</v>
      </c>
      <c r="V49" s="331">
        <f>+'HULP-velden'!$AK$63</f>
        <v>59.5</v>
      </c>
      <c r="W49" s="331">
        <f>+'HULP-velden'!$AL$63</f>
        <v>69.5</v>
      </c>
      <c r="X49" s="331">
        <f>+'HULP-velden'!$AM$63</f>
        <v>79.5</v>
      </c>
      <c r="Y49" s="331">
        <f>+'HULP-velden'!$AN$63</f>
        <v>89.5</v>
      </c>
      <c r="Z49" s="331">
        <f>+'HULP-velden'!$AO$63</f>
        <v>99.5</v>
      </c>
      <c r="AA49" s="331">
        <f>+'HULP-velden'!$AP$63</f>
        <v>109.5</v>
      </c>
    </row>
    <row r="50" spans="13:27" ht="15" customHeight="1" x14ac:dyDescent="0.25">
      <c r="M50" s="223" t="s">
        <v>189</v>
      </c>
      <c r="N50" s="223">
        <f>'HULP-velden'!$C$29</f>
        <v>0</v>
      </c>
      <c r="O50" s="223"/>
      <c r="P50" s="223"/>
      <c r="Q50" s="223"/>
      <c r="R50" s="223"/>
      <c r="S50" s="226">
        <f>'HULP-velden'!$AE$64</f>
        <v>458000</v>
      </c>
      <c r="T50" s="223"/>
      <c r="U50" s="331">
        <f>+'HULP-velden'!$AJ$64</f>
        <v>49</v>
      </c>
      <c r="V50" s="331">
        <f>+'HULP-velden'!$AK$64</f>
        <v>59</v>
      </c>
      <c r="W50" s="331">
        <f>+'HULP-velden'!$AL$64</f>
        <v>69</v>
      </c>
      <c r="X50" s="331">
        <f>+'HULP-velden'!$AM$64</f>
        <v>79</v>
      </c>
      <c r="Y50" s="331">
        <f>+'HULP-velden'!$AN$64</f>
        <v>89</v>
      </c>
      <c r="Z50" s="331">
        <f>+'HULP-velden'!$AO$64</f>
        <v>99</v>
      </c>
      <c r="AA50" s="331">
        <f>+'HULP-velden'!$AP$64</f>
        <v>109.00000000000001</v>
      </c>
    </row>
    <row r="51" spans="13:27" ht="15" customHeight="1" x14ac:dyDescent="0.25">
      <c r="M51" s="223" t="s">
        <v>190</v>
      </c>
      <c r="N51" s="224">
        <f>'HULP-velden'!$C$30</f>
        <v>500</v>
      </c>
      <c r="O51" s="223"/>
      <c r="P51" s="223"/>
      <c r="Q51" s="223"/>
      <c r="R51" s="223"/>
      <c r="S51" s="226">
        <f>'HULP-velden'!$AE$65</f>
        <v>457000</v>
      </c>
      <c r="T51" s="223"/>
      <c r="U51" s="331">
        <f>+'HULP-velden'!$AJ$65</f>
        <v>48.5</v>
      </c>
      <c r="V51" s="331">
        <f>+'HULP-velden'!$AK$65</f>
        <v>58.5</v>
      </c>
      <c r="W51" s="331">
        <f>+'HULP-velden'!$AL$65</f>
        <v>68.5</v>
      </c>
      <c r="X51" s="331">
        <f>+'HULP-velden'!$AM$65</f>
        <v>78.5</v>
      </c>
      <c r="Y51" s="331">
        <f>+'HULP-velden'!$AN$65</f>
        <v>88.5</v>
      </c>
      <c r="Z51" s="331">
        <f>+'HULP-velden'!$AO$65</f>
        <v>98.5</v>
      </c>
      <c r="AA51" s="331">
        <f>+'HULP-velden'!$AP$65</f>
        <v>108.5</v>
      </c>
    </row>
    <row r="52" spans="13:27" ht="15" customHeight="1" x14ac:dyDescent="0.25">
      <c r="M52" s="223" t="s">
        <v>74</v>
      </c>
      <c r="N52" s="223">
        <f>'HULP-velden'!$C$26</f>
        <v>-1000</v>
      </c>
      <c r="O52" s="223">
        <f>'HULP-velden'!$D$26</f>
        <v>-1000</v>
      </c>
      <c r="P52" s="223"/>
      <c r="Q52" s="223"/>
      <c r="R52" s="223"/>
      <c r="S52" s="226">
        <f>'HULP-velden'!$AE$66</f>
        <v>456000</v>
      </c>
      <c r="T52" s="223"/>
      <c r="U52" s="331">
        <f>+'HULP-velden'!$AJ$66</f>
        <v>48</v>
      </c>
      <c r="V52" s="331">
        <f>+'HULP-velden'!$AK$66</f>
        <v>57.999999999999993</v>
      </c>
      <c r="W52" s="331">
        <f>+'HULP-velden'!$AL$66</f>
        <v>68</v>
      </c>
      <c r="X52" s="331">
        <f>+'HULP-velden'!$AM$66</f>
        <v>78</v>
      </c>
      <c r="Y52" s="331">
        <f>+'HULP-velden'!$AN$66</f>
        <v>88</v>
      </c>
      <c r="Z52" s="331">
        <f>+'HULP-velden'!$AO$66</f>
        <v>98</v>
      </c>
      <c r="AA52" s="331">
        <f>+'HULP-velden'!$AP$66</f>
        <v>108</v>
      </c>
    </row>
    <row r="53" spans="13:27" ht="15" customHeight="1" x14ac:dyDescent="0.25">
      <c r="M53" s="223" t="s">
        <v>191</v>
      </c>
      <c r="N53" s="223" t="str">
        <f>'HULP-velden'!$G$15</f>
        <v xml:space="preserve">LAQ = </v>
      </c>
      <c r="O53" s="223"/>
      <c r="P53" s="223"/>
      <c r="Q53" s="223"/>
      <c r="R53" s="223"/>
      <c r="S53" s="226">
        <f>'HULP-velden'!$AE$67</f>
        <v>455000</v>
      </c>
      <c r="T53" s="223"/>
      <c r="U53" s="331">
        <f>+'HULP-velden'!$AJ$67</f>
        <v>47.5</v>
      </c>
      <c r="V53" s="331">
        <f>+'HULP-velden'!$AK$67</f>
        <v>57.499999999999993</v>
      </c>
      <c r="W53" s="331">
        <f>+'HULP-velden'!$AL$67</f>
        <v>67.5</v>
      </c>
      <c r="X53" s="331">
        <f>+'HULP-velden'!$AM$67</f>
        <v>77.5</v>
      </c>
      <c r="Y53" s="331">
        <f>+'HULP-velden'!$AN$67</f>
        <v>87.5</v>
      </c>
      <c r="Z53" s="331">
        <f>+'HULP-velden'!$AO$67</f>
        <v>97.5</v>
      </c>
      <c r="AA53" s="331">
        <f>+'HULP-velden'!$AP$67</f>
        <v>107.5</v>
      </c>
    </row>
    <row r="54" spans="13:27" ht="15" customHeight="1" x14ac:dyDescent="0.25">
      <c r="M54" s="223" t="s">
        <v>72</v>
      </c>
      <c r="N54" s="226">
        <f>'HULP-velden'!$C$13</f>
        <v>-100000</v>
      </c>
      <c r="O54" s="228">
        <f>+N54</f>
        <v>-100000</v>
      </c>
      <c r="P54" s="223"/>
      <c r="Q54" s="223"/>
      <c r="R54" s="223"/>
      <c r="S54" s="226">
        <f>'HULP-velden'!$AE$68</f>
        <v>454000</v>
      </c>
      <c r="T54" s="223"/>
      <c r="U54" s="331">
        <f>+'HULP-velden'!$AJ$68</f>
        <v>47</v>
      </c>
      <c r="V54" s="331">
        <f>+'HULP-velden'!$AK$68</f>
        <v>56.999999999999993</v>
      </c>
      <c r="W54" s="331">
        <f>+'HULP-velden'!$AL$68</f>
        <v>67</v>
      </c>
      <c r="X54" s="331">
        <f>+'HULP-velden'!$AM$68</f>
        <v>77</v>
      </c>
      <c r="Y54" s="331">
        <f>+'HULP-velden'!$AN$68</f>
        <v>87</v>
      </c>
      <c r="Z54" s="331">
        <f>+'HULP-velden'!$AO$68</f>
        <v>97</v>
      </c>
      <c r="AA54" s="331">
        <f>+'HULP-velden'!$AP$68</f>
        <v>107</v>
      </c>
    </row>
    <row r="55" spans="13:27" ht="15" customHeight="1" x14ac:dyDescent="0.25">
      <c r="M55" s="223" t="s">
        <v>191</v>
      </c>
      <c r="N55" s="223" t="str">
        <f>'HULP-velden'!$G$16</f>
        <v>Plafondprijs; -€ 100</v>
      </c>
      <c r="O55" s="223"/>
      <c r="P55" s="223"/>
      <c r="Q55" s="223"/>
      <c r="R55" s="223"/>
      <c r="S55" s="226">
        <f>'HULP-velden'!$AE$69</f>
        <v>453000</v>
      </c>
      <c r="T55" s="223"/>
      <c r="U55" s="331">
        <f>+'HULP-velden'!$AJ$69</f>
        <v>46.5</v>
      </c>
      <c r="V55" s="331">
        <f>+'HULP-velden'!$AK$69</f>
        <v>56.499999999999993</v>
      </c>
      <c r="W55" s="331">
        <f>+'HULP-velden'!$AL$69</f>
        <v>66.5</v>
      </c>
      <c r="X55" s="331">
        <f>+'HULP-velden'!$AM$69</f>
        <v>76.5</v>
      </c>
      <c r="Y55" s="331">
        <f>+'HULP-velden'!$AN$69</f>
        <v>86.5</v>
      </c>
      <c r="Z55" s="331">
        <f>+'HULP-velden'!$AO$69</f>
        <v>96.5</v>
      </c>
      <c r="AA55" s="331">
        <f>+'HULP-velden'!$AP$69</f>
        <v>106.5</v>
      </c>
    </row>
    <row r="56" spans="13:27" ht="15" customHeight="1" x14ac:dyDescent="0.25">
      <c r="M56" s="223"/>
      <c r="N56" s="223"/>
      <c r="O56" s="223"/>
      <c r="P56" s="223"/>
      <c r="Q56" s="223"/>
      <c r="R56" s="223"/>
      <c r="S56" s="226">
        <f>'HULP-velden'!$AE$70</f>
        <v>452000</v>
      </c>
      <c r="T56" s="223"/>
      <c r="U56" s="331">
        <f>+'HULP-velden'!$AJ$70</f>
        <v>46</v>
      </c>
      <c r="V56" s="331">
        <f>+'HULP-velden'!$AK$70</f>
        <v>56.000000000000007</v>
      </c>
      <c r="W56" s="331">
        <f>+'HULP-velden'!$AL$70</f>
        <v>66</v>
      </c>
      <c r="X56" s="331">
        <f>+'HULP-velden'!$AM$70</f>
        <v>76</v>
      </c>
      <c r="Y56" s="331">
        <f>+'HULP-velden'!$AN$70</f>
        <v>86</v>
      </c>
      <c r="Z56" s="331">
        <f>+'HULP-velden'!$AO$70</f>
        <v>96</v>
      </c>
      <c r="AA56" s="331">
        <f>+'HULP-velden'!$AP$70</f>
        <v>106</v>
      </c>
    </row>
    <row r="57" spans="13:27" ht="15" customHeight="1" x14ac:dyDescent="0.25">
      <c r="M57" s="243"/>
      <c r="N57" s="223"/>
      <c r="O57" s="223"/>
      <c r="P57" s="223"/>
      <c r="Q57" s="223"/>
      <c r="R57" s="223"/>
      <c r="S57" s="226">
        <f>'HULP-velden'!$AE$71</f>
        <v>451000</v>
      </c>
      <c r="T57" s="223"/>
      <c r="U57" s="331">
        <f>+'HULP-velden'!$AJ$71</f>
        <v>45.5</v>
      </c>
      <c r="V57" s="331">
        <f>+'HULP-velden'!$AK$71</f>
        <v>55.500000000000007</v>
      </c>
      <c r="W57" s="331">
        <f>+'HULP-velden'!$AL$71</f>
        <v>65.5</v>
      </c>
      <c r="X57" s="331">
        <f>+'HULP-velden'!$AM$71</f>
        <v>75.5</v>
      </c>
      <c r="Y57" s="331">
        <f>+'HULP-velden'!$AN$71</f>
        <v>85.5</v>
      </c>
      <c r="Z57" s="331">
        <f>+'HULP-velden'!$AO$71</f>
        <v>95.5</v>
      </c>
      <c r="AA57" s="331">
        <f>+'HULP-velden'!$AP$71</f>
        <v>105.5</v>
      </c>
    </row>
    <row r="58" spans="13:27" ht="15" customHeight="1" x14ac:dyDescent="0.25">
      <c r="M58" s="223"/>
      <c r="N58" s="223"/>
      <c r="O58" s="223"/>
      <c r="P58" s="223"/>
      <c r="Q58" s="223"/>
      <c r="R58" s="223"/>
      <c r="S58" s="226">
        <f>'HULP-velden'!$AE$72</f>
        <v>450000</v>
      </c>
      <c r="T58" s="223"/>
      <c r="U58" s="331">
        <f>+'HULP-velden'!$AJ$72</f>
        <v>45</v>
      </c>
      <c r="V58" s="331">
        <f>+'HULP-velden'!$AK$72</f>
        <v>55.000000000000007</v>
      </c>
      <c r="W58" s="331">
        <f>+'HULP-velden'!$AL$72</f>
        <v>65</v>
      </c>
      <c r="X58" s="331">
        <f>+'HULP-velden'!$AM$72</f>
        <v>75</v>
      </c>
      <c r="Y58" s="331">
        <f>+'HULP-velden'!$AN$72</f>
        <v>85</v>
      </c>
      <c r="Z58" s="331">
        <f>+'HULP-velden'!$AO$72</f>
        <v>95</v>
      </c>
      <c r="AA58" s="331">
        <f>+'HULP-velden'!$AP$72</f>
        <v>105</v>
      </c>
    </row>
    <row r="59" spans="13:27" ht="15" customHeight="1" x14ac:dyDescent="0.25">
      <c r="M59" s="223" t="s">
        <v>261</v>
      </c>
      <c r="N59" s="223"/>
      <c r="O59" s="223"/>
      <c r="P59" s="223"/>
      <c r="Q59" s="223"/>
      <c r="R59" s="223"/>
      <c r="S59" s="226">
        <f>'HULP-velden'!$AE$73</f>
        <v>449000</v>
      </c>
      <c r="T59" s="223"/>
      <c r="U59" s="331">
        <f>+'HULP-velden'!$AJ$73</f>
        <v>44.5</v>
      </c>
      <c r="V59" s="331">
        <f>+'HULP-velden'!$AK$73</f>
        <v>54.500000000000007</v>
      </c>
      <c r="W59" s="331">
        <f>+'HULP-velden'!$AL$73</f>
        <v>64.5</v>
      </c>
      <c r="X59" s="331">
        <f>+'HULP-velden'!$AM$73</f>
        <v>74.5</v>
      </c>
      <c r="Y59" s="331">
        <f>+'HULP-velden'!$AN$73</f>
        <v>84.5</v>
      </c>
      <c r="Z59" s="331">
        <f>+'HULP-velden'!$AO$73</f>
        <v>94.5</v>
      </c>
      <c r="AA59" s="331">
        <f>+'HULP-velden'!$AP$73</f>
        <v>104.5</v>
      </c>
    </row>
    <row r="60" spans="13:27" ht="15" customHeight="1" x14ac:dyDescent="0.25">
      <c r="M60" s="223"/>
      <c r="N60" s="223" t="s">
        <v>2</v>
      </c>
      <c r="O60" s="225" t="s">
        <v>262</v>
      </c>
      <c r="P60" s="225" t="s">
        <v>171</v>
      </c>
      <c r="Q60" s="225" t="s">
        <v>24</v>
      </c>
      <c r="R60" s="225" t="s">
        <v>144</v>
      </c>
      <c r="S60" s="226">
        <f>'HULP-velden'!$AE$74</f>
        <v>448000</v>
      </c>
      <c r="T60" s="223"/>
      <c r="U60" s="331">
        <f>+'HULP-velden'!$AJ$74</f>
        <v>44</v>
      </c>
      <c r="V60" s="331">
        <f>+'HULP-velden'!$AK$74</f>
        <v>54</v>
      </c>
      <c r="W60" s="331">
        <f>+'HULP-velden'!$AL$74</f>
        <v>64</v>
      </c>
      <c r="X60" s="331">
        <f>+'HULP-velden'!$AM$74</f>
        <v>74</v>
      </c>
      <c r="Y60" s="331">
        <f>+'HULP-velden'!$AN$74</f>
        <v>84</v>
      </c>
      <c r="Z60" s="331">
        <f>+'HULP-velden'!$AO$74</f>
        <v>94</v>
      </c>
      <c r="AA60" s="331">
        <f>+'HULP-velden'!$AP$74</f>
        <v>104</v>
      </c>
    </row>
    <row r="61" spans="13:27" ht="15" customHeight="1" x14ac:dyDescent="0.25">
      <c r="M61" s="223" t="str">
        <f>'HULP-velden'!$D$51</f>
        <v/>
      </c>
      <c r="N61" s="226" t="str">
        <f>'HULP-velden'!$E$51</f>
        <v/>
      </c>
      <c r="O61" s="223" t="str">
        <f>'HULP-velden'!$F$51</f>
        <v/>
      </c>
      <c r="P61" s="294" t="str">
        <f>IF(O61="","",O61/N12*100)</f>
        <v/>
      </c>
      <c r="Q61" s="446" t="str">
        <f>IF(O61="","",'HULP-velden'!$H$51)</f>
        <v/>
      </c>
      <c r="R61" s="225" t="str">
        <f>IF(O61="","",'HULP-velden'!$K$51)</f>
        <v/>
      </c>
      <c r="S61" s="226">
        <f>'HULP-velden'!$AE$75</f>
        <v>447000</v>
      </c>
      <c r="T61" s="223"/>
      <c r="U61" s="331">
        <f>+'HULP-velden'!$AJ$75</f>
        <v>43.5</v>
      </c>
      <c r="V61" s="331">
        <f>+'HULP-velden'!$AK$75</f>
        <v>53.5</v>
      </c>
      <c r="W61" s="331">
        <f>+'HULP-velden'!$AL$75</f>
        <v>63.5</v>
      </c>
      <c r="X61" s="331">
        <f>+'HULP-velden'!$AM$75</f>
        <v>73.5</v>
      </c>
      <c r="Y61" s="331">
        <f>+'HULP-velden'!$AN$75</f>
        <v>83.5</v>
      </c>
      <c r="Z61" s="331">
        <f>+'HULP-velden'!$AO$75</f>
        <v>93.5</v>
      </c>
      <c r="AA61" s="331">
        <f>+'HULP-velden'!$AP$75</f>
        <v>103.49999999999999</v>
      </c>
    </row>
    <row r="62" spans="13:27" ht="15" customHeight="1" x14ac:dyDescent="0.25">
      <c r="M62" s="223" t="str">
        <f>'HULP-velden'!$D$52</f>
        <v/>
      </c>
      <c r="N62" s="226" t="str">
        <f>'HULP-velden'!$E$52</f>
        <v/>
      </c>
      <c r="O62" s="223" t="str">
        <f>'HULP-velden'!$F$52</f>
        <v/>
      </c>
      <c r="P62" s="294" t="str">
        <f>IF(O62="","",O62/N12*100)</f>
        <v/>
      </c>
      <c r="Q62" s="446" t="str">
        <f>IF(O62="","",'HULP-velden'!$H$52)</f>
        <v/>
      </c>
      <c r="R62" s="225" t="str">
        <f>IF(O62="","",'HULP-velden'!$K$52)</f>
        <v/>
      </c>
      <c r="S62" s="226">
        <f>'HULP-velden'!$AE$76</f>
        <v>446000</v>
      </c>
      <c r="T62" s="223"/>
      <c r="U62" s="331">
        <f>+'HULP-velden'!$AJ$76</f>
        <v>43</v>
      </c>
      <c r="V62" s="331">
        <f>+'HULP-velden'!$AK$76</f>
        <v>53</v>
      </c>
      <c r="W62" s="331">
        <f>+'HULP-velden'!$AL$76</f>
        <v>63</v>
      </c>
      <c r="X62" s="331">
        <f>+'HULP-velden'!$AM$76</f>
        <v>73</v>
      </c>
      <c r="Y62" s="331">
        <f>+'HULP-velden'!$AN$76</f>
        <v>83</v>
      </c>
      <c r="Z62" s="331">
        <f>+'HULP-velden'!$AO$76</f>
        <v>93</v>
      </c>
      <c r="AA62" s="331">
        <f>+'HULP-velden'!$AP$76</f>
        <v>103</v>
      </c>
    </row>
    <row r="63" spans="13:27" ht="15" customHeight="1" x14ac:dyDescent="0.25">
      <c r="M63" s="223" t="str">
        <f>'HULP-velden'!$D$53</f>
        <v/>
      </c>
      <c r="N63" s="226" t="str">
        <f>'HULP-velden'!$E$53</f>
        <v/>
      </c>
      <c r="O63" s="223" t="str">
        <f>'HULP-velden'!$F$53</f>
        <v/>
      </c>
      <c r="P63" s="294" t="str">
        <f>IF(O63="","",O63/N12*100)</f>
        <v/>
      </c>
      <c r="Q63" s="446" t="str">
        <f>IF(O63="","",'HULP-velden'!$H$53)</f>
        <v/>
      </c>
      <c r="R63" s="225" t="str">
        <f>IF(O63="","",'HULP-velden'!$K$53)</f>
        <v/>
      </c>
      <c r="S63" s="226">
        <f>'HULP-velden'!$AE$77</f>
        <v>445000</v>
      </c>
      <c r="T63" s="223"/>
      <c r="U63" s="331">
        <f>+'HULP-velden'!$AJ$77</f>
        <v>42.5</v>
      </c>
      <c r="V63" s="331">
        <f>+'HULP-velden'!$AK$77</f>
        <v>52.5</v>
      </c>
      <c r="W63" s="331">
        <f>+'HULP-velden'!$AL$77</f>
        <v>62.5</v>
      </c>
      <c r="X63" s="331">
        <f>+'HULP-velden'!$AM$77</f>
        <v>72.5</v>
      </c>
      <c r="Y63" s="331">
        <f>+'HULP-velden'!$AN$77</f>
        <v>82.5</v>
      </c>
      <c r="Z63" s="331">
        <f>+'HULP-velden'!$AO$77</f>
        <v>92.5</v>
      </c>
      <c r="AA63" s="331">
        <f>+'HULP-velden'!$AP$77</f>
        <v>102.49999999999999</v>
      </c>
    </row>
    <row r="64" spans="13:27" ht="15" customHeight="1" x14ac:dyDescent="0.25">
      <c r="M64" s="223" t="str">
        <f>'HULP-velden'!$D$54</f>
        <v/>
      </c>
      <c r="N64" s="226" t="str">
        <f>'HULP-velden'!$E$54</f>
        <v/>
      </c>
      <c r="O64" s="223" t="str">
        <f>'HULP-velden'!$F$54</f>
        <v/>
      </c>
      <c r="P64" s="294" t="str">
        <f>IF(O64="","",O64/N12*100)</f>
        <v/>
      </c>
      <c r="Q64" s="446" t="str">
        <f>IF(O64="","",'HULP-velden'!$H$54)</f>
        <v/>
      </c>
      <c r="R64" s="225" t="str">
        <f>IF(O64="","",'HULP-velden'!$K$54)</f>
        <v/>
      </c>
      <c r="S64" s="226">
        <f>'HULP-velden'!$AE$78</f>
        <v>444000</v>
      </c>
      <c r="T64" s="223"/>
      <c r="U64" s="331">
        <f>+'HULP-velden'!$AJ$78</f>
        <v>42</v>
      </c>
      <c r="V64" s="331">
        <f>+'HULP-velden'!$AK$78</f>
        <v>52</v>
      </c>
      <c r="W64" s="331">
        <f>+'HULP-velden'!$AL$78</f>
        <v>62</v>
      </c>
      <c r="X64" s="331">
        <f>+'HULP-velden'!$AM$78</f>
        <v>72</v>
      </c>
      <c r="Y64" s="331">
        <f>+'HULP-velden'!$AN$78</f>
        <v>82</v>
      </c>
      <c r="Z64" s="331">
        <f>+'HULP-velden'!$AO$78</f>
        <v>92</v>
      </c>
      <c r="AA64" s="331">
        <f>+'HULP-velden'!$AP$78</f>
        <v>102</v>
      </c>
    </row>
    <row r="65" spans="13:27" ht="15" customHeight="1" x14ac:dyDescent="0.25">
      <c r="M65" s="223" t="str">
        <f>'HULP-velden'!$D$55</f>
        <v/>
      </c>
      <c r="N65" s="226" t="str">
        <f>'HULP-velden'!$E$55</f>
        <v/>
      </c>
      <c r="O65" s="223" t="str">
        <f>'HULP-velden'!$F$55</f>
        <v/>
      </c>
      <c r="P65" s="294" t="str">
        <f>IF(O65="","",O65/N12*100)</f>
        <v/>
      </c>
      <c r="Q65" s="446" t="str">
        <f>IF(O65="","",'HULP-velden'!$H$55)</f>
        <v/>
      </c>
      <c r="R65" s="225" t="str">
        <f>IF(O65="","",'HULP-velden'!$K$55)</f>
        <v/>
      </c>
      <c r="S65" s="226">
        <f>'HULP-velden'!$AE$79</f>
        <v>443000</v>
      </c>
      <c r="T65" s="223"/>
      <c r="U65" s="331">
        <f>+'HULP-velden'!$AJ$79</f>
        <v>41.5</v>
      </c>
      <c r="V65" s="331">
        <f>+'HULP-velden'!$AK$79</f>
        <v>51.5</v>
      </c>
      <c r="W65" s="331">
        <f>+'HULP-velden'!$AL$79</f>
        <v>61.5</v>
      </c>
      <c r="X65" s="331">
        <f>+'HULP-velden'!$AM$79</f>
        <v>71.5</v>
      </c>
      <c r="Y65" s="331">
        <f>+'HULP-velden'!$AN$79</f>
        <v>81.5</v>
      </c>
      <c r="Z65" s="331">
        <f>+'HULP-velden'!$AO$79</f>
        <v>91.5</v>
      </c>
      <c r="AA65" s="331">
        <f>+'HULP-velden'!$AP$79</f>
        <v>101.49999999999999</v>
      </c>
    </row>
    <row r="66" spans="13:27" ht="15" customHeight="1" x14ac:dyDescent="0.25">
      <c r="M66" s="223" t="str">
        <f>'HULP-velden'!$D$56</f>
        <v/>
      </c>
      <c r="N66" s="226" t="str">
        <f>'HULP-velden'!$E$56</f>
        <v/>
      </c>
      <c r="O66" s="223" t="str">
        <f>'HULP-velden'!$F$56</f>
        <v/>
      </c>
      <c r="P66" s="294" t="str">
        <f>IF(O66="","",O66/N12*100)</f>
        <v/>
      </c>
      <c r="Q66" s="446" t="str">
        <f>IF(O66="","",'HULP-velden'!$H$56)</f>
        <v/>
      </c>
      <c r="R66" s="225" t="str">
        <f>IF(O66="","",'HULP-velden'!$K$56)</f>
        <v/>
      </c>
      <c r="S66" s="226">
        <f>'HULP-velden'!$AE$80</f>
        <v>442000</v>
      </c>
      <c r="T66" s="223"/>
      <c r="U66" s="331">
        <f>+'HULP-velden'!$AJ$80</f>
        <v>41</v>
      </c>
      <c r="V66" s="331">
        <f>+'HULP-velden'!$AK$80</f>
        <v>51</v>
      </c>
      <c r="W66" s="331">
        <f>+'HULP-velden'!$AL$80</f>
        <v>61</v>
      </c>
      <c r="X66" s="331">
        <f>+'HULP-velden'!$AM$80</f>
        <v>71</v>
      </c>
      <c r="Y66" s="331">
        <f>+'HULP-velden'!$AN$80</f>
        <v>81</v>
      </c>
      <c r="Z66" s="331">
        <f>+'HULP-velden'!$AO$80</f>
        <v>91</v>
      </c>
      <c r="AA66" s="331">
        <f>+'HULP-velden'!$AP$80</f>
        <v>101</v>
      </c>
    </row>
    <row r="67" spans="13:27" ht="15" customHeight="1" x14ac:dyDescent="0.25">
      <c r="M67" s="223" t="str">
        <f>'HULP-velden'!$D$57</f>
        <v/>
      </c>
      <c r="N67" s="226" t="str">
        <f>'HULP-velden'!$E$57</f>
        <v/>
      </c>
      <c r="O67" s="223" t="str">
        <f>'HULP-velden'!$F$57</f>
        <v/>
      </c>
      <c r="P67" s="294" t="str">
        <f>IF(O67="","",O67/N12*100)</f>
        <v/>
      </c>
      <c r="Q67" s="446" t="str">
        <f>IF(O67="","",'HULP-velden'!$H$57)</f>
        <v/>
      </c>
      <c r="R67" s="225" t="str">
        <f>IF(O67="","",'HULP-velden'!$K$57)</f>
        <v/>
      </c>
      <c r="S67" s="226">
        <f>'HULP-velden'!$AE$81</f>
        <v>441000</v>
      </c>
      <c r="T67" s="223"/>
      <c r="U67" s="331">
        <f>+'HULP-velden'!$AJ$81</f>
        <v>40.5</v>
      </c>
      <c r="V67" s="331">
        <f>+'HULP-velden'!$AK$81</f>
        <v>50.5</v>
      </c>
      <c r="W67" s="331">
        <f>+'HULP-velden'!$AL$81</f>
        <v>60.5</v>
      </c>
      <c r="X67" s="331">
        <f>+'HULP-velden'!$AM$81</f>
        <v>70.5</v>
      </c>
      <c r="Y67" s="331">
        <f>+'HULP-velden'!$AN$81</f>
        <v>80.5</v>
      </c>
      <c r="Z67" s="331">
        <f>+'HULP-velden'!$AO$81</f>
        <v>90.5</v>
      </c>
      <c r="AA67" s="331">
        <f>+'HULP-velden'!$AP$81</f>
        <v>100.49999999999999</v>
      </c>
    </row>
    <row r="68" spans="13:27" ht="15" customHeight="1" x14ac:dyDescent="0.25">
      <c r="M68" s="223" t="str">
        <f>'HULP-velden'!$D$58</f>
        <v/>
      </c>
      <c r="N68" s="226" t="str">
        <f>'HULP-velden'!$E$58</f>
        <v/>
      </c>
      <c r="O68" s="223" t="str">
        <f>'HULP-velden'!$F$58</f>
        <v/>
      </c>
      <c r="P68" s="294" t="str">
        <f>IF(O68="","",O68/N12*100)</f>
        <v/>
      </c>
      <c r="Q68" s="446" t="str">
        <f>IF(O68="","",'HULP-velden'!$H$58)</f>
        <v/>
      </c>
      <c r="R68" s="225" t="str">
        <f>IF(O68="","",'HULP-velden'!$K$58)</f>
        <v/>
      </c>
      <c r="S68" s="226">
        <f>'HULP-velden'!$AE$82</f>
        <v>440000</v>
      </c>
      <c r="T68" s="223"/>
      <c r="U68" s="331">
        <f>+'HULP-velden'!$AJ$82</f>
        <v>40</v>
      </c>
      <c r="V68" s="331">
        <f>+'HULP-velden'!$AK$82</f>
        <v>50</v>
      </c>
      <c r="W68" s="331">
        <f>+'HULP-velden'!$AL$82</f>
        <v>60</v>
      </c>
      <c r="X68" s="331">
        <f>+'HULP-velden'!$AM$82</f>
        <v>70</v>
      </c>
      <c r="Y68" s="331">
        <f>+'HULP-velden'!$AN$82</f>
        <v>80</v>
      </c>
      <c r="Z68" s="331">
        <f>+'HULP-velden'!$AO$82</f>
        <v>90</v>
      </c>
      <c r="AA68" s="331">
        <f>+'HULP-velden'!$AP$82</f>
        <v>100</v>
      </c>
    </row>
    <row r="69" spans="13:27" ht="15" customHeight="1" x14ac:dyDescent="0.25">
      <c r="M69" s="223" t="str">
        <f>'HULP-velden'!$D$59</f>
        <v/>
      </c>
      <c r="N69" s="226" t="str">
        <f>'HULP-velden'!$E$59</f>
        <v/>
      </c>
      <c r="O69" s="223" t="str">
        <f>'HULP-velden'!$F$59</f>
        <v/>
      </c>
      <c r="P69" s="294" t="str">
        <f>IF(O69="","",O69/N12*100)</f>
        <v/>
      </c>
      <c r="Q69" s="446" t="str">
        <f>IF(O69="","",'HULP-velden'!$H$59)</f>
        <v/>
      </c>
      <c r="R69" s="225" t="str">
        <f>IF(O69="","",'HULP-velden'!$K$59)</f>
        <v/>
      </c>
      <c r="S69" s="226">
        <f>'HULP-velden'!$AE$83</f>
        <v>439000</v>
      </c>
      <c r="T69" s="223"/>
      <c r="U69" s="331">
        <f>+'HULP-velden'!$AJ$83</f>
        <v>39.5</v>
      </c>
      <c r="V69" s="331">
        <f>+'HULP-velden'!$AK$83</f>
        <v>49.5</v>
      </c>
      <c r="W69" s="331">
        <f>+'HULP-velden'!$AL$83</f>
        <v>59.5</v>
      </c>
      <c r="X69" s="331">
        <f>+'HULP-velden'!$AM$83</f>
        <v>69.5</v>
      </c>
      <c r="Y69" s="331">
        <f>+'HULP-velden'!$AN$83</f>
        <v>79.5</v>
      </c>
      <c r="Z69" s="331">
        <f>+'HULP-velden'!$AO$83</f>
        <v>89.5</v>
      </c>
      <c r="AA69" s="331">
        <f>+'HULP-velden'!$AP$83</f>
        <v>99.5</v>
      </c>
    </row>
    <row r="70" spans="13:27" ht="15" customHeight="1" x14ac:dyDescent="0.25">
      <c r="M70" s="223" t="str">
        <f>'HULP-velden'!$D$60</f>
        <v/>
      </c>
      <c r="N70" s="226" t="str">
        <f>'HULP-velden'!$E$60</f>
        <v/>
      </c>
      <c r="O70" s="223" t="str">
        <f>'HULP-velden'!$F$60</f>
        <v/>
      </c>
      <c r="P70" s="294" t="str">
        <f>IF(O70="","",O70/N12*100)</f>
        <v/>
      </c>
      <c r="Q70" s="446" t="str">
        <f>IF(O70="","",'HULP-velden'!$H$60)</f>
        <v/>
      </c>
      <c r="R70" s="225" t="str">
        <f>IF(O70="","",'HULP-velden'!$K$60)</f>
        <v/>
      </c>
      <c r="S70" s="226">
        <f>'HULP-velden'!$AE$84</f>
        <v>438000</v>
      </c>
      <c r="T70" s="223"/>
      <c r="U70" s="331">
        <f>+'HULP-velden'!$AJ$84</f>
        <v>39</v>
      </c>
      <c r="V70" s="331">
        <f>+'HULP-velden'!$AK$84</f>
        <v>49</v>
      </c>
      <c r="W70" s="331">
        <f>+'HULP-velden'!$AL$84</f>
        <v>59</v>
      </c>
      <c r="X70" s="331">
        <f>+'HULP-velden'!$AM$84</f>
        <v>69</v>
      </c>
      <c r="Y70" s="331">
        <f>+'HULP-velden'!$AN$84</f>
        <v>79</v>
      </c>
      <c r="Z70" s="331">
        <f>+'HULP-velden'!$AO$84</f>
        <v>89</v>
      </c>
      <c r="AA70" s="331">
        <f>+'HULP-velden'!$AP$84</f>
        <v>99</v>
      </c>
    </row>
    <row r="71" spans="13:27" ht="15" customHeight="1" x14ac:dyDescent="0.25">
      <c r="M71" s="223" t="str">
        <f>'HULP-velden'!$D$61</f>
        <v/>
      </c>
      <c r="N71" s="226" t="str">
        <f>'HULP-velden'!$E$61</f>
        <v/>
      </c>
      <c r="O71" s="223" t="str">
        <f>'HULP-velden'!$F$61</f>
        <v/>
      </c>
      <c r="P71" s="294" t="str">
        <f>IF(O71="","",O71/N12*100)</f>
        <v/>
      </c>
      <c r="Q71" s="446" t="str">
        <f>IF(O71="","",'HULP-velden'!$H$61)</f>
        <v/>
      </c>
      <c r="R71" s="225" t="str">
        <f>IF(O71="","",'HULP-velden'!$K$61)</f>
        <v/>
      </c>
      <c r="S71" s="226">
        <f>'HULP-velden'!$AE$85</f>
        <v>437000</v>
      </c>
      <c r="T71" s="223"/>
      <c r="U71" s="331">
        <f>+'HULP-velden'!$AJ$85</f>
        <v>38.5</v>
      </c>
      <c r="V71" s="331">
        <f>+'HULP-velden'!$AK$85</f>
        <v>48.5</v>
      </c>
      <c r="W71" s="331">
        <f>+'HULP-velden'!$AL$85</f>
        <v>58.5</v>
      </c>
      <c r="X71" s="331">
        <f>+'HULP-velden'!$AM$85</f>
        <v>68.5</v>
      </c>
      <c r="Y71" s="331">
        <f>+'HULP-velden'!$AN$85</f>
        <v>78.5</v>
      </c>
      <c r="Z71" s="331">
        <f>+'HULP-velden'!$AO$85</f>
        <v>88.5</v>
      </c>
      <c r="AA71" s="331">
        <f>+'HULP-velden'!$AP$85</f>
        <v>98.5</v>
      </c>
    </row>
    <row r="72" spans="13:27" ht="15" customHeight="1" x14ac:dyDescent="0.25">
      <c r="M72" s="223" t="str">
        <f>'HULP-velden'!$D$62</f>
        <v/>
      </c>
      <c r="N72" s="226" t="str">
        <f>'HULP-velden'!$E$62</f>
        <v/>
      </c>
      <c r="O72" s="223" t="str">
        <f>'HULP-velden'!$F$62</f>
        <v/>
      </c>
      <c r="P72" s="294" t="str">
        <f>IF(O72="","",O72/N12*100)</f>
        <v/>
      </c>
      <c r="Q72" s="446" t="str">
        <f>IF(O72="","",'HULP-velden'!$H$62)</f>
        <v/>
      </c>
      <c r="R72" s="225" t="str">
        <f>IF(O72="","",'HULP-velden'!$K$62)</f>
        <v/>
      </c>
      <c r="S72" s="226">
        <f>'HULP-velden'!$AE$86</f>
        <v>436000</v>
      </c>
      <c r="T72" s="223"/>
      <c r="U72" s="331">
        <f>+'HULP-velden'!$AJ$86</f>
        <v>38</v>
      </c>
      <c r="V72" s="331">
        <f>+'HULP-velden'!$AK$86</f>
        <v>48</v>
      </c>
      <c r="W72" s="331">
        <f>+'HULP-velden'!$AL$86</f>
        <v>57.999999999999993</v>
      </c>
      <c r="X72" s="331">
        <f>+'HULP-velden'!$AM$86</f>
        <v>68</v>
      </c>
      <c r="Y72" s="331">
        <f>+'HULP-velden'!$AN$86</f>
        <v>78</v>
      </c>
      <c r="Z72" s="331">
        <f>+'HULP-velden'!$AO$86</f>
        <v>88</v>
      </c>
      <c r="AA72" s="331">
        <f>+'HULP-velden'!$AP$86</f>
        <v>98</v>
      </c>
    </row>
    <row r="73" spans="13:27" ht="15" customHeight="1" x14ac:dyDescent="0.25">
      <c r="M73" s="223" t="str">
        <f>'HULP-velden'!$D$63</f>
        <v>Referentie</v>
      </c>
      <c r="N73" s="226">
        <f>'HULP-velden'!$E$63</f>
        <v>400000</v>
      </c>
      <c r="O73" s="223">
        <f>'HULP-velden'!$F$63</f>
        <v>250</v>
      </c>
      <c r="P73" s="294">
        <f>IF(O73="","",O73/N12*100)</f>
        <v>50</v>
      </c>
      <c r="Q73" s="446">
        <f>IF(O73="","",'HULP-velden'!$H$63)</f>
        <v>500</v>
      </c>
      <c r="R73" s="225"/>
      <c r="S73" s="226">
        <f>'HULP-velden'!$AE$87</f>
        <v>435000</v>
      </c>
      <c r="T73" s="223"/>
      <c r="U73" s="331">
        <f>+'HULP-velden'!$AJ$87</f>
        <v>37.5</v>
      </c>
      <c r="V73" s="331">
        <f>+'HULP-velden'!$AK$87</f>
        <v>47.5</v>
      </c>
      <c r="W73" s="331">
        <f>+'HULP-velden'!$AL$87</f>
        <v>57.499999999999993</v>
      </c>
      <c r="X73" s="331">
        <f>+'HULP-velden'!$AM$87</f>
        <v>67.5</v>
      </c>
      <c r="Y73" s="331">
        <f>+'HULP-velden'!$AN$87</f>
        <v>77.5</v>
      </c>
      <c r="Z73" s="331">
        <f>+'HULP-velden'!$AO$87</f>
        <v>87.5</v>
      </c>
      <c r="AA73" s="331">
        <f>+'HULP-velden'!$AP$87</f>
        <v>97.5</v>
      </c>
    </row>
    <row r="74" spans="13:27" ht="15" customHeight="1" x14ac:dyDescent="0.25">
      <c r="M74" s="223"/>
      <c r="N74" s="223"/>
      <c r="O74" s="223"/>
      <c r="P74" s="223"/>
      <c r="Q74" s="223"/>
      <c r="R74" s="223"/>
      <c r="S74" s="226">
        <f>'HULP-velden'!$AE$88</f>
        <v>434000</v>
      </c>
      <c r="T74" s="223"/>
      <c r="U74" s="331">
        <f>+'HULP-velden'!$AJ$88</f>
        <v>37</v>
      </c>
      <c r="V74" s="331">
        <f>+'HULP-velden'!$AK$88</f>
        <v>47</v>
      </c>
      <c r="W74" s="331">
        <f>+'HULP-velden'!$AL$88</f>
        <v>56.999999999999993</v>
      </c>
      <c r="X74" s="331">
        <f>+'HULP-velden'!$AM$88</f>
        <v>67</v>
      </c>
      <c r="Y74" s="331">
        <f>+'HULP-velden'!$AN$88</f>
        <v>77</v>
      </c>
      <c r="Z74" s="331">
        <f>+'HULP-velden'!$AO$88</f>
        <v>87</v>
      </c>
      <c r="AA74" s="331">
        <f>+'HULP-velden'!$AP$88</f>
        <v>97</v>
      </c>
    </row>
    <row r="75" spans="13:27" ht="15" customHeight="1" x14ac:dyDescent="0.25">
      <c r="M75" s="223"/>
      <c r="N75" s="223"/>
      <c r="O75" s="223"/>
      <c r="P75" s="223"/>
      <c r="Q75" s="223"/>
      <c r="R75" s="223"/>
      <c r="S75" s="226">
        <f>'HULP-velden'!$AE$89</f>
        <v>433000</v>
      </c>
      <c r="T75" s="223"/>
      <c r="U75" s="331">
        <f>+'HULP-velden'!$AJ$89</f>
        <v>36.5</v>
      </c>
      <c r="V75" s="331">
        <f>+'HULP-velden'!$AK$89</f>
        <v>46.5</v>
      </c>
      <c r="W75" s="331">
        <f>+'HULP-velden'!$AL$89</f>
        <v>56.499999999999993</v>
      </c>
      <c r="X75" s="331">
        <f>+'HULP-velden'!$AM$89</f>
        <v>66.5</v>
      </c>
      <c r="Y75" s="331">
        <f>+'HULP-velden'!$AN$89</f>
        <v>76.5</v>
      </c>
      <c r="Z75" s="331">
        <f>+'HULP-velden'!$AO$89</f>
        <v>86.5</v>
      </c>
      <c r="AA75" s="331">
        <f>+'HULP-velden'!$AP$89</f>
        <v>96.5</v>
      </c>
    </row>
    <row r="76" spans="13:27" ht="15" customHeight="1" x14ac:dyDescent="0.25">
      <c r="M76" s="223"/>
      <c r="N76" s="223"/>
      <c r="O76" s="223"/>
      <c r="P76" s="223"/>
      <c r="Q76" s="223"/>
      <c r="R76" s="223"/>
      <c r="S76" s="226">
        <f>'HULP-velden'!$AE$90</f>
        <v>432000</v>
      </c>
      <c r="T76" s="223"/>
      <c r="U76" s="331">
        <f>+'HULP-velden'!$AJ$90</f>
        <v>36</v>
      </c>
      <c r="V76" s="331">
        <f>+'HULP-velden'!$AK$90</f>
        <v>46</v>
      </c>
      <c r="W76" s="331">
        <f>+'HULP-velden'!$AL$90</f>
        <v>56.000000000000007</v>
      </c>
      <c r="X76" s="331">
        <f>+'HULP-velden'!$AM$90</f>
        <v>66</v>
      </c>
      <c r="Y76" s="331">
        <f>+'HULP-velden'!$AN$90</f>
        <v>76</v>
      </c>
      <c r="Z76" s="331">
        <f>+'HULP-velden'!$AO$90</f>
        <v>86</v>
      </c>
      <c r="AA76" s="331">
        <f>+'HULP-velden'!$AP$90</f>
        <v>96</v>
      </c>
    </row>
    <row r="77" spans="13:27" ht="15" customHeight="1" x14ac:dyDescent="0.25">
      <c r="M77" s="223"/>
      <c r="N77" s="223"/>
      <c r="O77" s="223"/>
      <c r="P77" s="223"/>
      <c r="Q77" s="223"/>
      <c r="R77" s="223"/>
      <c r="S77" s="226">
        <f>'HULP-velden'!$AE$91</f>
        <v>431000</v>
      </c>
      <c r="T77" s="223"/>
      <c r="U77" s="331">
        <f>+'HULP-velden'!$AJ$91</f>
        <v>35.5</v>
      </c>
      <c r="V77" s="331">
        <f>+'HULP-velden'!$AK$91</f>
        <v>45.5</v>
      </c>
      <c r="W77" s="331">
        <f>+'HULP-velden'!$AL$91</f>
        <v>55.500000000000007</v>
      </c>
      <c r="X77" s="331">
        <f>+'HULP-velden'!$AM$91</f>
        <v>65.5</v>
      </c>
      <c r="Y77" s="331">
        <f>+'HULP-velden'!$AN$91</f>
        <v>75.5</v>
      </c>
      <c r="Z77" s="331">
        <f>+'HULP-velden'!$AO$91</f>
        <v>85.5</v>
      </c>
      <c r="AA77" s="331">
        <f>+'HULP-velden'!$AP$91</f>
        <v>95.5</v>
      </c>
    </row>
    <row r="78" spans="13:27" ht="15" customHeight="1" x14ac:dyDescent="0.25">
      <c r="M78" s="223"/>
      <c r="N78" s="223"/>
      <c r="O78" s="223"/>
      <c r="P78" s="223"/>
      <c r="Q78" s="223"/>
      <c r="R78" s="223"/>
      <c r="S78" s="226">
        <f>'HULP-velden'!$AE$92</f>
        <v>430000</v>
      </c>
      <c r="T78" s="223"/>
      <c r="U78" s="331">
        <f>+'HULP-velden'!$AJ$92</f>
        <v>35</v>
      </c>
      <c r="V78" s="331">
        <f>+'HULP-velden'!$AK$92</f>
        <v>45</v>
      </c>
      <c r="W78" s="331">
        <f>+'HULP-velden'!$AL$92</f>
        <v>55.000000000000007</v>
      </c>
      <c r="X78" s="331">
        <f>+'HULP-velden'!$AM$92</f>
        <v>65</v>
      </c>
      <c r="Y78" s="331">
        <f>+'HULP-velden'!$AN$92</f>
        <v>75</v>
      </c>
      <c r="Z78" s="331">
        <f>+'HULP-velden'!$AO$92</f>
        <v>85</v>
      </c>
      <c r="AA78" s="331">
        <f>+'HULP-velden'!$AP$92</f>
        <v>95</v>
      </c>
    </row>
    <row r="79" spans="13:27" ht="15" customHeight="1" x14ac:dyDescent="0.25">
      <c r="M79" s="223"/>
      <c r="N79" s="223"/>
      <c r="O79" s="223"/>
      <c r="P79" s="223"/>
      <c r="Q79" s="223"/>
      <c r="R79" s="223"/>
      <c r="S79" s="226">
        <f>'HULP-velden'!$AE$93</f>
        <v>429000</v>
      </c>
      <c r="T79" s="223"/>
      <c r="U79" s="331">
        <f>+'HULP-velden'!$AJ$93</f>
        <v>34.5</v>
      </c>
      <c r="V79" s="331">
        <f>+'HULP-velden'!$AK$93</f>
        <v>44.5</v>
      </c>
      <c r="W79" s="331">
        <f>+'HULP-velden'!$AL$93</f>
        <v>54.500000000000007</v>
      </c>
      <c r="X79" s="331">
        <f>+'HULP-velden'!$AM$93</f>
        <v>64.5</v>
      </c>
      <c r="Y79" s="331">
        <f>+'HULP-velden'!$AN$93</f>
        <v>74.5</v>
      </c>
      <c r="Z79" s="331">
        <f>+'HULP-velden'!$AO$93</f>
        <v>84.5</v>
      </c>
      <c r="AA79" s="331">
        <f>+'HULP-velden'!$AP$93</f>
        <v>94.5</v>
      </c>
    </row>
    <row r="80" spans="13:27" ht="15" customHeight="1" x14ac:dyDescent="0.25">
      <c r="M80" s="223"/>
      <c r="N80" s="223"/>
      <c r="O80" s="223"/>
      <c r="P80" s="223"/>
      <c r="Q80" s="223"/>
      <c r="R80" s="223"/>
      <c r="S80" s="226">
        <f>'HULP-velden'!$AE$94</f>
        <v>428000</v>
      </c>
      <c r="T80" s="223"/>
      <c r="U80" s="331">
        <f>+'HULP-velden'!$AJ$94</f>
        <v>34</v>
      </c>
      <c r="V80" s="331">
        <f>+'HULP-velden'!$AK$94</f>
        <v>44</v>
      </c>
      <c r="W80" s="331">
        <f>+'HULP-velden'!$AL$94</f>
        <v>54</v>
      </c>
      <c r="X80" s="331">
        <f>+'HULP-velden'!$AM$94</f>
        <v>64</v>
      </c>
      <c r="Y80" s="331">
        <f>+'HULP-velden'!$AN$94</f>
        <v>74</v>
      </c>
      <c r="Z80" s="331">
        <f>+'HULP-velden'!$AO$94</f>
        <v>84</v>
      </c>
      <c r="AA80" s="331">
        <f>+'HULP-velden'!$AP$94</f>
        <v>94</v>
      </c>
    </row>
    <row r="81" spans="13:27" ht="15" customHeight="1" x14ac:dyDescent="0.25">
      <c r="M81" s="223"/>
      <c r="N81" s="223"/>
      <c r="O81" s="223"/>
      <c r="P81" s="223"/>
      <c r="Q81" s="223"/>
      <c r="R81" s="223"/>
      <c r="S81" s="226">
        <f>'HULP-velden'!$AE$95</f>
        <v>427000</v>
      </c>
      <c r="T81" s="223"/>
      <c r="U81" s="331">
        <f>+'HULP-velden'!$AJ$95</f>
        <v>33.5</v>
      </c>
      <c r="V81" s="331">
        <f>+'HULP-velden'!$AK$95</f>
        <v>43.5</v>
      </c>
      <c r="W81" s="331">
        <f>+'HULP-velden'!$AL$95</f>
        <v>53.5</v>
      </c>
      <c r="X81" s="331">
        <f>+'HULP-velden'!$AM$95</f>
        <v>63.5</v>
      </c>
      <c r="Y81" s="331">
        <f>+'HULP-velden'!$AN$95</f>
        <v>73.5</v>
      </c>
      <c r="Z81" s="331">
        <f>+'HULP-velden'!$AO$95</f>
        <v>83.5</v>
      </c>
      <c r="AA81" s="331">
        <f>+'HULP-velden'!$AP$95</f>
        <v>93.5</v>
      </c>
    </row>
    <row r="82" spans="13:27" ht="15" customHeight="1" x14ac:dyDescent="0.25">
      <c r="M82" s="223"/>
      <c r="N82" s="223"/>
      <c r="O82" s="223"/>
      <c r="P82" s="223"/>
      <c r="Q82" s="223"/>
      <c r="R82" s="223"/>
      <c r="S82" s="226">
        <f>'HULP-velden'!$AE$96</f>
        <v>426000</v>
      </c>
      <c r="T82" s="223"/>
      <c r="U82" s="331">
        <f>+'HULP-velden'!$AJ$96</f>
        <v>33</v>
      </c>
      <c r="V82" s="331">
        <f>+'HULP-velden'!$AK$96</f>
        <v>43</v>
      </c>
      <c r="W82" s="331">
        <f>+'HULP-velden'!$AL$96</f>
        <v>53</v>
      </c>
      <c r="X82" s="331">
        <f>+'HULP-velden'!$AM$96</f>
        <v>63</v>
      </c>
      <c r="Y82" s="331">
        <f>+'HULP-velden'!$AN$96</f>
        <v>73</v>
      </c>
      <c r="Z82" s="331">
        <f>+'HULP-velden'!$AO$96</f>
        <v>83</v>
      </c>
      <c r="AA82" s="331">
        <f>+'HULP-velden'!$AP$96</f>
        <v>93</v>
      </c>
    </row>
    <row r="83" spans="13:27" ht="15" customHeight="1" x14ac:dyDescent="0.25">
      <c r="M83" s="223"/>
      <c r="N83" s="223"/>
      <c r="O83" s="223"/>
      <c r="P83" s="223"/>
      <c r="Q83" s="223"/>
      <c r="R83" s="223"/>
      <c r="S83" s="226">
        <f>'HULP-velden'!$AE$97</f>
        <v>425000</v>
      </c>
      <c r="T83" s="223"/>
      <c r="U83" s="331">
        <f>+'HULP-velden'!$AJ$97</f>
        <v>32.5</v>
      </c>
      <c r="V83" s="331">
        <f>+'HULP-velden'!$AK$97</f>
        <v>42.5</v>
      </c>
      <c r="W83" s="331">
        <f>+'HULP-velden'!$AL$97</f>
        <v>52.5</v>
      </c>
      <c r="X83" s="331">
        <f>+'HULP-velden'!$AM$97</f>
        <v>62.5</v>
      </c>
      <c r="Y83" s="331">
        <f>+'HULP-velden'!$AN$97</f>
        <v>72.5</v>
      </c>
      <c r="Z83" s="331">
        <f>+'HULP-velden'!$AO$97</f>
        <v>82.5</v>
      </c>
      <c r="AA83" s="331">
        <f>+'HULP-velden'!$AP$97</f>
        <v>92.5</v>
      </c>
    </row>
    <row r="84" spans="13:27" ht="15" customHeight="1" x14ac:dyDescent="0.25">
      <c r="M84" s="223"/>
      <c r="N84" s="223"/>
      <c r="O84" s="223"/>
      <c r="P84" s="223"/>
      <c r="Q84" s="223"/>
      <c r="R84" s="223"/>
      <c r="S84" s="226">
        <f>'HULP-velden'!$AE$98</f>
        <v>424000</v>
      </c>
      <c r="T84" s="223"/>
      <c r="U84" s="331">
        <f>+'HULP-velden'!$AJ$98</f>
        <v>32</v>
      </c>
      <c r="V84" s="331">
        <f>+'HULP-velden'!$AK$98</f>
        <v>42</v>
      </c>
      <c r="W84" s="331">
        <f>+'HULP-velden'!$AL$98</f>
        <v>52</v>
      </c>
      <c r="X84" s="331">
        <f>+'HULP-velden'!$AM$98</f>
        <v>62</v>
      </c>
      <c r="Y84" s="331">
        <f>+'HULP-velden'!$AN$98</f>
        <v>72</v>
      </c>
      <c r="Z84" s="331">
        <f>+'HULP-velden'!$AO$98</f>
        <v>82</v>
      </c>
      <c r="AA84" s="331">
        <f>+'HULP-velden'!$AP$98</f>
        <v>92</v>
      </c>
    </row>
    <row r="85" spans="13:27" ht="15" customHeight="1" x14ac:dyDescent="0.25">
      <c r="M85" s="223"/>
      <c r="N85" s="223"/>
      <c r="O85" s="223"/>
      <c r="P85" s="223"/>
      <c r="Q85" s="223"/>
      <c r="R85" s="223"/>
      <c r="S85" s="226">
        <f>'HULP-velden'!$AE$99</f>
        <v>423000</v>
      </c>
      <c r="T85" s="223"/>
      <c r="U85" s="331">
        <f>+'HULP-velden'!$AJ$99</f>
        <v>31.5</v>
      </c>
      <c r="V85" s="331">
        <f>+'HULP-velden'!$AK$99</f>
        <v>41.5</v>
      </c>
      <c r="W85" s="331">
        <f>+'HULP-velden'!$AL$99</f>
        <v>51.5</v>
      </c>
      <c r="X85" s="331">
        <f>+'HULP-velden'!$AM$99</f>
        <v>61.5</v>
      </c>
      <c r="Y85" s="331">
        <f>+'HULP-velden'!$AN$99</f>
        <v>71.5</v>
      </c>
      <c r="Z85" s="331">
        <f>+'HULP-velden'!$AO$99</f>
        <v>81.5</v>
      </c>
      <c r="AA85" s="331">
        <f>+'HULP-velden'!$AP$99</f>
        <v>91.5</v>
      </c>
    </row>
    <row r="86" spans="13:27" ht="15" customHeight="1" x14ac:dyDescent="0.25">
      <c r="M86" s="223"/>
      <c r="N86" s="223"/>
      <c r="O86" s="223"/>
      <c r="P86" s="223"/>
      <c r="Q86" s="223"/>
      <c r="R86" s="223"/>
      <c r="S86" s="226">
        <f>'HULP-velden'!$AE$100</f>
        <v>422000</v>
      </c>
      <c r="T86" s="223"/>
      <c r="U86" s="331">
        <f>+'HULP-velden'!$AJ$100</f>
        <v>31</v>
      </c>
      <c r="V86" s="331">
        <f>+'HULP-velden'!$AK$100</f>
        <v>41</v>
      </c>
      <c r="W86" s="331">
        <f>+'HULP-velden'!$AL$100</f>
        <v>51</v>
      </c>
      <c r="X86" s="331">
        <f>+'HULP-velden'!$AM$100</f>
        <v>61</v>
      </c>
      <c r="Y86" s="331">
        <f>+'HULP-velden'!$AN$100</f>
        <v>71</v>
      </c>
      <c r="Z86" s="331">
        <f>+'HULP-velden'!$AO$100</f>
        <v>81</v>
      </c>
      <c r="AA86" s="331">
        <f>+'HULP-velden'!$AP$100</f>
        <v>91</v>
      </c>
    </row>
    <row r="87" spans="13:27" ht="15" customHeight="1" x14ac:dyDescent="0.25">
      <c r="M87" s="223"/>
      <c r="N87" s="223"/>
      <c r="O87" s="223"/>
      <c r="P87" s="223"/>
      <c r="Q87" s="223"/>
      <c r="R87" s="223"/>
      <c r="S87" s="226">
        <f>'HULP-velden'!$AE$101</f>
        <v>421000</v>
      </c>
      <c r="T87" s="223"/>
      <c r="U87" s="331">
        <f>+'HULP-velden'!$AJ$101</f>
        <v>30.5</v>
      </c>
      <c r="V87" s="331">
        <f>+'HULP-velden'!$AK$101</f>
        <v>40.5</v>
      </c>
      <c r="W87" s="331">
        <f>+'HULP-velden'!$AL$101</f>
        <v>50.5</v>
      </c>
      <c r="X87" s="331">
        <f>+'HULP-velden'!$AM$101</f>
        <v>60.5</v>
      </c>
      <c r="Y87" s="331">
        <f>+'HULP-velden'!$AN$101</f>
        <v>70.5</v>
      </c>
      <c r="Z87" s="331">
        <f>+'HULP-velden'!$AO$101</f>
        <v>80.5</v>
      </c>
      <c r="AA87" s="331">
        <f>+'HULP-velden'!$AP$101</f>
        <v>90.5</v>
      </c>
    </row>
    <row r="88" spans="13:27" ht="15" customHeight="1" x14ac:dyDescent="0.25">
      <c r="M88" s="223"/>
      <c r="N88" s="223"/>
      <c r="O88" s="223"/>
      <c r="P88" s="223"/>
      <c r="Q88" s="223"/>
      <c r="R88" s="223"/>
      <c r="S88" s="226">
        <f>'HULP-velden'!$AE$102</f>
        <v>420000</v>
      </c>
      <c r="T88" s="223"/>
      <c r="U88" s="331">
        <f>+'HULP-velden'!$AJ$102</f>
        <v>30</v>
      </c>
      <c r="V88" s="331">
        <f>+'HULP-velden'!$AK$102</f>
        <v>40</v>
      </c>
      <c r="W88" s="331">
        <f>+'HULP-velden'!$AL$102</f>
        <v>50</v>
      </c>
      <c r="X88" s="331">
        <f>+'HULP-velden'!$AM$102</f>
        <v>60</v>
      </c>
      <c r="Y88" s="331">
        <f>+'HULP-velden'!$AN$102</f>
        <v>70</v>
      </c>
      <c r="Z88" s="331">
        <f>+'HULP-velden'!$AO$102</f>
        <v>80</v>
      </c>
      <c r="AA88" s="331">
        <f>+'HULP-velden'!$AP$102</f>
        <v>90</v>
      </c>
    </row>
    <row r="89" spans="13:27" ht="15" customHeight="1" x14ac:dyDescent="0.25">
      <c r="M89" s="223"/>
      <c r="N89" s="223"/>
      <c r="O89" s="223"/>
      <c r="P89" s="223"/>
      <c r="Q89" s="223"/>
      <c r="R89" s="223"/>
      <c r="S89" s="226">
        <f>'HULP-velden'!$AE$103</f>
        <v>419000</v>
      </c>
      <c r="T89" s="223"/>
      <c r="U89" s="331">
        <f>+'HULP-velden'!$AJ$103</f>
        <v>29.5</v>
      </c>
      <c r="V89" s="331">
        <f>+'HULP-velden'!$AK$103</f>
        <v>39.5</v>
      </c>
      <c r="W89" s="331">
        <f>+'HULP-velden'!$AL$103</f>
        <v>49.5</v>
      </c>
      <c r="X89" s="331">
        <f>+'HULP-velden'!$AM$103</f>
        <v>59.5</v>
      </c>
      <c r="Y89" s="331">
        <f>+'HULP-velden'!$AN$103</f>
        <v>69.5</v>
      </c>
      <c r="Z89" s="331">
        <f>+'HULP-velden'!$AO$103</f>
        <v>79.5</v>
      </c>
      <c r="AA89" s="331">
        <f>+'HULP-velden'!$AP$103</f>
        <v>89.5</v>
      </c>
    </row>
    <row r="90" spans="13:27" ht="15" customHeight="1" x14ac:dyDescent="0.25">
      <c r="M90" s="223"/>
      <c r="N90" s="223"/>
      <c r="O90" s="223"/>
      <c r="P90" s="223"/>
      <c r="Q90" s="223"/>
      <c r="R90" s="223"/>
      <c r="S90" s="226">
        <f>'HULP-velden'!$AE$104</f>
        <v>418000</v>
      </c>
      <c r="T90" s="223"/>
      <c r="U90" s="331">
        <f>+'HULP-velden'!$AJ$104</f>
        <v>28.999999999999996</v>
      </c>
      <c r="V90" s="331">
        <f>+'HULP-velden'!$AK$104</f>
        <v>39</v>
      </c>
      <c r="W90" s="331">
        <f>+'HULP-velden'!$AL$104</f>
        <v>49</v>
      </c>
      <c r="X90" s="331">
        <f>+'HULP-velden'!$AM$104</f>
        <v>59</v>
      </c>
      <c r="Y90" s="331">
        <f>+'HULP-velden'!$AN$104</f>
        <v>69</v>
      </c>
      <c r="Z90" s="331">
        <f>+'HULP-velden'!$AO$104</f>
        <v>79</v>
      </c>
      <c r="AA90" s="331">
        <f>+'HULP-velden'!$AP$104</f>
        <v>89</v>
      </c>
    </row>
    <row r="91" spans="13:27" ht="15" customHeight="1" x14ac:dyDescent="0.25">
      <c r="M91" s="223"/>
      <c r="N91" s="223"/>
      <c r="O91" s="223"/>
      <c r="P91" s="223"/>
      <c r="Q91" s="223"/>
      <c r="R91" s="223"/>
      <c r="S91" s="226">
        <f>'HULP-velden'!$AE$105</f>
        <v>417000</v>
      </c>
      <c r="T91" s="223"/>
      <c r="U91" s="331">
        <f>+'HULP-velden'!$AJ$105</f>
        <v>28.499999999999996</v>
      </c>
      <c r="V91" s="331">
        <f>+'HULP-velden'!$AK$105</f>
        <v>38.5</v>
      </c>
      <c r="W91" s="331">
        <f>+'HULP-velden'!$AL$105</f>
        <v>48.5</v>
      </c>
      <c r="X91" s="331">
        <f>+'HULP-velden'!$AM$105</f>
        <v>58.5</v>
      </c>
      <c r="Y91" s="331">
        <f>+'HULP-velden'!$AN$105</f>
        <v>68.5</v>
      </c>
      <c r="Z91" s="331">
        <f>+'HULP-velden'!$AO$105</f>
        <v>78.5</v>
      </c>
      <c r="AA91" s="331">
        <f>+'HULP-velden'!$AP$105</f>
        <v>88.5</v>
      </c>
    </row>
    <row r="92" spans="13:27" ht="15" customHeight="1" x14ac:dyDescent="0.25">
      <c r="M92" s="223"/>
      <c r="N92" s="223"/>
      <c r="O92" s="223"/>
      <c r="P92" s="223"/>
      <c r="Q92" s="223"/>
      <c r="R92" s="223"/>
      <c r="S92" s="226">
        <f>'HULP-velden'!$AE$106</f>
        <v>416000</v>
      </c>
      <c r="T92" s="223"/>
      <c r="U92" s="331">
        <f>+'HULP-velden'!$AJ$106</f>
        <v>28.000000000000004</v>
      </c>
      <c r="V92" s="331">
        <f>+'HULP-velden'!$AK$106</f>
        <v>38</v>
      </c>
      <c r="W92" s="331">
        <f>+'HULP-velden'!$AL$106</f>
        <v>48</v>
      </c>
      <c r="X92" s="331">
        <f>+'HULP-velden'!$AM$106</f>
        <v>57.999999999999993</v>
      </c>
      <c r="Y92" s="331">
        <f>+'HULP-velden'!$AN$106</f>
        <v>68</v>
      </c>
      <c r="Z92" s="331">
        <f>+'HULP-velden'!$AO$106</f>
        <v>78</v>
      </c>
      <c r="AA92" s="331">
        <f>+'HULP-velden'!$AP$106</f>
        <v>88</v>
      </c>
    </row>
    <row r="93" spans="13:27" ht="15" customHeight="1" x14ac:dyDescent="0.25">
      <c r="M93" s="223"/>
      <c r="N93" s="223"/>
      <c r="O93" s="223"/>
      <c r="P93" s="223"/>
      <c r="Q93" s="223"/>
      <c r="R93" s="223"/>
      <c r="S93" s="226">
        <f>'HULP-velden'!$AE$107</f>
        <v>415000</v>
      </c>
      <c r="T93" s="223"/>
      <c r="U93" s="331">
        <f>+'HULP-velden'!$AJ$107</f>
        <v>27.500000000000004</v>
      </c>
      <c r="V93" s="331">
        <f>+'HULP-velden'!$AK$107</f>
        <v>37.5</v>
      </c>
      <c r="W93" s="331">
        <f>+'HULP-velden'!$AL$107</f>
        <v>47.5</v>
      </c>
      <c r="X93" s="331">
        <f>+'HULP-velden'!$AM$107</f>
        <v>57.499999999999993</v>
      </c>
      <c r="Y93" s="331">
        <f>+'HULP-velden'!$AN$107</f>
        <v>67.5</v>
      </c>
      <c r="Z93" s="331">
        <f>+'HULP-velden'!$AO$107</f>
        <v>77.5</v>
      </c>
      <c r="AA93" s="331">
        <f>+'HULP-velden'!$AP$107</f>
        <v>87.5</v>
      </c>
    </row>
    <row r="94" spans="13:27" ht="15" customHeight="1" x14ac:dyDescent="0.25">
      <c r="M94" s="223"/>
      <c r="N94" s="223"/>
      <c r="O94" s="223"/>
      <c r="P94" s="223"/>
      <c r="Q94" s="223"/>
      <c r="R94" s="223"/>
      <c r="S94" s="226">
        <f>'HULP-velden'!$AE$108</f>
        <v>414000</v>
      </c>
      <c r="T94" s="223"/>
      <c r="U94" s="331">
        <f>+'HULP-velden'!$AJ$108</f>
        <v>27</v>
      </c>
      <c r="V94" s="331">
        <f>+'HULP-velden'!$AK$108</f>
        <v>37</v>
      </c>
      <c r="W94" s="331">
        <f>+'HULP-velden'!$AL$108</f>
        <v>47</v>
      </c>
      <c r="X94" s="331">
        <f>+'HULP-velden'!$AM$108</f>
        <v>56.999999999999993</v>
      </c>
      <c r="Y94" s="331">
        <f>+'HULP-velden'!$AN$108</f>
        <v>67</v>
      </c>
      <c r="Z94" s="331">
        <f>+'HULP-velden'!$AO$108</f>
        <v>77</v>
      </c>
      <c r="AA94" s="331">
        <f>+'HULP-velden'!$AP$108</f>
        <v>87</v>
      </c>
    </row>
    <row r="95" spans="13:27" ht="15" customHeight="1" x14ac:dyDescent="0.25">
      <c r="M95" s="223"/>
      <c r="N95" s="223"/>
      <c r="O95" s="223"/>
      <c r="P95" s="223"/>
      <c r="Q95" s="223"/>
      <c r="R95" s="223"/>
      <c r="S95" s="226">
        <f>'HULP-velden'!$AE$109</f>
        <v>413000</v>
      </c>
      <c r="T95" s="223"/>
      <c r="U95" s="331">
        <f>+'HULP-velden'!$AJ$109</f>
        <v>26.5</v>
      </c>
      <c r="V95" s="331">
        <f>+'HULP-velden'!$AK$109</f>
        <v>36.5</v>
      </c>
      <c r="W95" s="331">
        <f>+'HULP-velden'!$AL$109</f>
        <v>46.5</v>
      </c>
      <c r="X95" s="331">
        <f>+'HULP-velden'!$AM$109</f>
        <v>56.499999999999993</v>
      </c>
      <c r="Y95" s="331">
        <f>+'HULP-velden'!$AN$109</f>
        <v>66.5</v>
      </c>
      <c r="Z95" s="331">
        <f>+'HULP-velden'!$AO$109</f>
        <v>76.5</v>
      </c>
      <c r="AA95" s="331">
        <f>+'HULP-velden'!$AP$109</f>
        <v>86.5</v>
      </c>
    </row>
    <row r="96" spans="13:27" ht="15" customHeight="1" x14ac:dyDescent="0.25">
      <c r="M96" s="223"/>
      <c r="N96" s="223"/>
      <c r="O96" s="223"/>
      <c r="P96" s="223"/>
      <c r="Q96" s="223"/>
      <c r="R96" s="223"/>
      <c r="S96" s="226">
        <f>'HULP-velden'!$AE$110</f>
        <v>412000</v>
      </c>
      <c r="T96" s="223"/>
      <c r="U96" s="331">
        <f>+'HULP-velden'!$AJ$110</f>
        <v>26</v>
      </c>
      <c r="V96" s="331">
        <f>+'HULP-velden'!$AK$110</f>
        <v>36</v>
      </c>
      <c r="W96" s="331">
        <f>+'HULP-velden'!$AL$110</f>
        <v>46</v>
      </c>
      <c r="X96" s="331">
        <f>+'HULP-velden'!$AM$110</f>
        <v>56.000000000000007</v>
      </c>
      <c r="Y96" s="331">
        <f>+'HULP-velden'!$AN$110</f>
        <v>66</v>
      </c>
      <c r="Z96" s="331">
        <f>+'HULP-velden'!$AO$110</f>
        <v>76</v>
      </c>
      <c r="AA96" s="331">
        <f>+'HULP-velden'!$AP$110</f>
        <v>86</v>
      </c>
    </row>
    <row r="97" spans="13:27" ht="15" customHeight="1" x14ac:dyDescent="0.25">
      <c r="M97" s="223"/>
      <c r="N97" s="223"/>
      <c r="O97" s="223"/>
      <c r="P97" s="223"/>
      <c r="Q97" s="223"/>
      <c r="R97" s="223"/>
      <c r="S97" s="226">
        <f>'HULP-velden'!$AE$111</f>
        <v>411000</v>
      </c>
      <c r="T97" s="223"/>
      <c r="U97" s="331">
        <f>+'HULP-velden'!$AJ$111</f>
        <v>25.5</v>
      </c>
      <c r="V97" s="331">
        <f>+'HULP-velden'!$AK$111</f>
        <v>35.5</v>
      </c>
      <c r="W97" s="331">
        <f>+'HULP-velden'!$AL$111</f>
        <v>45.5</v>
      </c>
      <c r="X97" s="331">
        <f>+'HULP-velden'!$AM$111</f>
        <v>55.500000000000007</v>
      </c>
      <c r="Y97" s="331">
        <f>+'HULP-velden'!$AN$111</f>
        <v>65.5</v>
      </c>
      <c r="Z97" s="331">
        <f>+'HULP-velden'!$AO$111</f>
        <v>75.5</v>
      </c>
      <c r="AA97" s="331">
        <f>+'HULP-velden'!$AP$111</f>
        <v>85.5</v>
      </c>
    </row>
    <row r="98" spans="13:27" ht="15" customHeight="1" x14ac:dyDescent="0.25">
      <c r="M98" s="223"/>
      <c r="N98" s="223"/>
      <c r="O98" s="223"/>
      <c r="P98" s="223"/>
      <c r="Q98" s="223"/>
      <c r="R98" s="223"/>
      <c r="S98" s="226">
        <f>'HULP-velden'!$AE$112</f>
        <v>410000</v>
      </c>
      <c r="T98" s="223"/>
      <c r="U98" s="331">
        <f>+'HULP-velden'!$AJ$112</f>
        <v>25</v>
      </c>
      <c r="V98" s="331">
        <f>+'HULP-velden'!$AK$112</f>
        <v>35</v>
      </c>
      <c r="W98" s="331">
        <f>+'HULP-velden'!$AL$112</f>
        <v>45</v>
      </c>
      <c r="X98" s="331">
        <f>+'HULP-velden'!$AM$112</f>
        <v>55.000000000000007</v>
      </c>
      <c r="Y98" s="331">
        <f>+'HULP-velden'!$AN$112</f>
        <v>65</v>
      </c>
      <c r="Z98" s="331">
        <f>+'HULP-velden'!$AO$112</f>
        <v>75</v>
      </c>
      <c r="AA98" s="331">
        <f>+'HULP-velden'!$AP$112</f>
        <v>85</v>
      </c>
    </row>
    <row r="99" spans="13:27" ht="15" customHeight="1" x14ac:dyDescent="0.25">
      <c r="M99" s="223"/>
      <c r="N99" s="223"/>
      <c r="O99" s="223"/>
      <c r="P99" s="223"/>
      <c r="Q99" s="223"/>
      <c r="R99" s="223"/>
      <c r="S99" s="226">
        <f>'HULP-velden'!$AE$113</f>
        <v>409000</v>
      </c>
      <c r="T99" s="223"/>
      <c r="U99" s="331">
        <f>+'HULP-velden'!$AJ$113</f>
        <v>24.5</v>
      </c>
      <c r="V99" s="331">
        <f>+'HULP-velden'!$AK$113</f>
        <v>34.5</v>
      </c>
      <c r="W99" s="331">
        <f>+'HULP-velden'!$AL$113</f>
        <v>44.5</v>
      </c>
      <c r="X99" s="331">
        <f>+'HULP-velden'!$AM$113</f>
        <v>54.500000000000007</v>
      </c>
      <c r="Y99" s="331">
        <f>+'HULP-velden'!$AN$113</f>
        <v>64.5</v>
      </c>
      <c r="Z99" s="331">
        <f>+'HULP-velden'!$AO$113</f>
        <v>74.5</v>
      </c>
      <c r="AA99" s="331">
        <f>+'HULP-velden'!$AP$113</f>
        <v>84.5</v>
      </c>
    </row>
    <row r="100" spans="13:27" ht="15" customHeight="1" x14ac:dyDescent="0.25">
      <c r="M100" s="223"/>
      <c r="N100" s="223"/>
      <c r="O100" s="223"/>
      <c r="P100" s="223"/>
      <c r="Q100" s="223"/>
      <c r="R100" s="223"/>
      <c r="S100" s="226">
        <f>'HULP-velden'!$AE$114</f>
        <v>408000</v>
      </c>
      <c r="T100" s="223"/>
      <c r="U100" s="331">
        <f>+'HULP-velden'!$AJ$114</f>
        <v>24</v>
      </c>
      <c r="V100" s="331">
        <f>+'HULP-velden'!$AK$114</f>
        <v>34</v>
      </c>
      <c r="W100" s="331">
        <f>+'HULP-velden'!$AL$114</f>
        <v>44</v>
      </c>
      <c r="X100" s="331">
        <f>+'HULP-velden'!$AM$114</f>
        <v>54</v>
      </c>
      <c r="Y100" s="331">
        <f>+'HULP-velden'!$AN$114</f>
        <v>64</v>
      </c>
      <c r="Z100" s="331">
        <f>+'HULP-velden'!$AO$114</f>
        <v>74</v>
      </c>
      <c r="AA100" s="331">
        <f>+'HULP-velden'!$AP$114</f>
        <v>84</v>
      </c>
    </row>
    <row r="101" spans="13:27" ht="15" customHeight="1" x14ac:dyDescent="0.25">
      <c r="M101" s="223"/>
      <c r="N101" s="223"/>
      <c r="O101" s="223"/>
      <c r="P101" s="223"/>
      <c r="Q101" s="223"/>
      <c r="R101" s="223"/>
      <c r="S101" s="226">
        <f>'HULP-velden'!$AE$115</f>
        <v>407000</v>
      </c>
      <c r="T101" s="223"/>
      <c r="U101" s="331">
        <f>+'HULP-velden'!$AJ$115</f>
        <v>23.5</v>
      </c>
      <c r="V101" s="331">
        <f>+'HULP-velden'!$AK$115</f>
        <v>33.5</v>
      </c>
      <c r="W101" s="331">
        <f>+'HULP-velden'!$AL$115</f>
        <v>43.5</v>
      </c>
      <c r="X101" s="331">
        <f>+'HULP-velden'!$AM$115</f>
        <v>53.5</v>
      </c>
      <c r="Y101" s="331">
        <f>+'HULP-velden'!$AN$115</f>
        <v>63.5</v>
      </c>
      <c r="Z101" s="331">
        <f>+'HULP-velden'!$AO$115</f>
        <v>73.5</v>
      </c>
      <c r="AA101" s="331">
        <f>+'HULP-velden'!$AP$115</f>
        <v>83.5</v>
      </c>
    </row>
    <row r="102" spans="13:27" ht="15" customHeight="1" x14ac:dyDescent="0.25">
      <c r="M102" s="223"/>
      <c r="N102" s="223"/>
      <c r="O102" s="223"/>
      <c r="P102" s="223"/>
      <c r="Q102" s="223"/>
      <c r="R102" s="223"/>
      <c r="S102" s="226">
        <f>'HULP-velden'!$AE$116</f>
        <v>406000</v>
      </c>
      <c r="T102" s="223"/>
      <c r="U102" s="331">
        <f>+'HULP-velden'!$AJ$116</f>
        <v>23</v>
      </c>
      <c r="V102" s="331">
        <f>+'HULP-velden'!$AK$116</f>
        <v>33</v>
      </c>
      <c r="W102" s="331">
        <f>+'HULP-velden'!$AL$116</f>
        <v>43</v>
      </c>
      <c r="X102" s="331">
        <f>+'HULP-velden'!$AM$116</f>
        <v>53</v>
      </c>
      <c r="Y102" s="331">
        <f>+'HULP-velden'!$AN$116</f>
        <v>63</v>
      </c>
      <c r="Z102" s="331">
        <f>+'HULP-velden'!$AO$116</f>
        <v>73</v>
      </c>
      <c r="AA102" s="331">
        <f>+'HULP-velden'!$AP$116</f>
        <v>83</v>
      </c>
    </row>
    <row r="103" spans="13:27" ht="15" customHeight="1" x14ac:dyDescent="0.25">
      <c r="M103" s="223"/>
      <c r="N103" s="223"/>
      <c r="O103" s="223"/>
      <c r="P103" s="223"/>
      <c r="Q103" s="223"/>
      <c r="R103" s="223"/>
      <c r="S103" s="226">
        <f>'HULP-velden'!$AE$117</f>
        <v>405000</v>
      </c>
      <c r="T103" s="223"/>
      <c r="U103" s="331">
        <f>+'HULP-velden'!$AJ$117</f>
        <v>22.5</v>
      </c>
      <c r="V103" s="331">
        <f>+'HULP-velden'!$AK$117</f>
        <v>32.5</v>
      </c>
      <c r="W103" s="331">
        <f>+'HULP-velden'!$AL$117</f>
        <v>42.5</v>
      </c>
      <c r="X103" s="331">
        <f>+'HULP-velden'!$AM$117</f>
        <v>52.5</v>
      </c>
      <c r="Y103" s="331">
        <f>+'HULP-velden'!$AN$117</f>
        <v>62.5</v>
      </c>
      <c r="Z103" s="331">
        <f>+'HULP-velden'!$AO$117</f>
        <v>72.5</v>
      </c>
      <c r="AA103" s="331">
        <f>+'HULP-velden'!$AP$117</f>
        <v>82.5</v>
      </c>
    </row>
    <row r="104" spans="13:27" ht="15" customHeight="1" x14ac:dyDescent="0.25">
      <c r="M104" s="223"/>
      <c r="N104" s="223"/>
      <c r="O104" s="223"/>
      <c r="P104" s="223"/>
      <c r="Q104" s="223"/>
      <c r="R104" s="223"/>
      <c r="S104" s="226">
        <f>'HULP-velden'!$AE$118</f>
        <v>404000</v>
      </c>
      <c r="T104" s="223"/>
      <c r="U104" s="331">
        <f>+'HULP-velden'!$AJ$118</f>
        <v>22</v>
      </c>
      <c r="V104" s="331">
        <f>+'HULP-velden'!$AK$118</f>
        <v>32</v>
      </c>
      <c r="W104" s="331">
        <f>+'HULP-velden'!$AL$118</f>
        <v>42</v>
      </c>
      <c r="X104" s="331">
        <f>+'HULP-velden'!$AM$118</f>
        <v>52</v>
      </c>
      <c r="Y104" s="331">
        <f>+'HULP-velden'!$AN$118</f>
        <v>62</v>
      </c>
      <c r="Z104" s="331">
        <f>+'HULP-velden'!$AO$118</f>
        <v>72</v>
      </c>
      <c r="AA104" s="331">
        <f>+'HULP-velden'!$AP$118</f>
        <v>82</v>
      </c>
    </row>
    <row r="105" spans="13:27" ht="15" customHeight="1" x14ac:dyDescent="0.25">
      <c r="M105" s="223"/>
      <c r="N105" s="223"/>
      <c r="O105" s="223"/>
      <c r="P105" s="223"/>
      <c r="Q105" s="223"/>
      <c r="R105" s="223"/>
      <c r="S105" s="226">
        <f>'HULP-velden'!$AE$119</f>
        <v>403000</v>
      </c>
      <c r="T105" s="223"/>
      <c r="U105" s="331">
        <f>+'HULP-velden'!$AJ$119</f>
        <v>21.5</v>
      </c>
      <c r="V105" s="331">
        <f>+'HULP-velden'!$AK$119</f>
        <v>31.5</v>
      </c>
      <c r="W105" s="331">
        <f>+'HULP-velden'!$AL$119</f>
        <v>41.5</v>
      </c>
      <c r="X105" s="331">
        <f>+'HULP-velden'!$AM$119</f>
        <v>51.5</v>
      </c>
      <c r="Y105" s="331">
        <f>+'HULP-velden'!$AN$119</f>
        <v>61.5</v>
      </c>
      <c r="Z105" s="331">
        <f>+'HULP-velden'!$AO$119</f>
        <v>71.5</v>
      </c>
      <c r="AA105" s="331">
        <f>+'HULP-velden'!$AP$119</f>
        <v>81.5</v>
      </c>
    </row>
    <row r="106" spans="13:27" ht="15" customHeight="1" x14ac:dyDescent="0.25">
      <c r="M106" s="223"/>
      <c r="N106" s="223"/>
      <c r="O106" s="223"/>
      <c r="P106" s="223"/>
      <c r="Q106" s="223"/>
      <c r="R106" s="223"/>
      <c r="S106" s="226">
        <f>'HULP-velden'!$AE$120</f>
        <v>402000</v>
      </c>
      <c r="T106" s="223"/>
      <c r="U106" s="331">
        <f>+'HULP-velden'!$AJ$120</f>
        <v>21</v>
      </c>
      <c r="V106" s="331">
        <f>+'HULP-velden'!$AK$120</f>
        <v>31</v>
      </c>
      <c r="W106" s="331">
        <f>+'HULP-velden'!$AL$120</f>
        <v>41</v>
      </c>
      <c r="X106" s="331">
        <f>+'HULP-velden'!$AM$120</f>
        <v>51</v>
      </c>
      <c r="Y106" s="331">
        <f>+'HULP-velden'!$AN$120</f>
        <v>61</v>
      </c>
      <c r="Z106" s="331">
        <f>+'HULP-velden'!$AO$120</f>
        <v>71</v>
      </c>
      <c r="AA106" s="331">
        <f>+'HULP-velden'!$AP$120</f>
        <v>81</v>
      </c>
    </row>
    <row r="107" spans="13:27" ht="15" customHeight="1" x14ac:dyDescent="0.25">
      <c r="M107" s="223"/>
      <c r="N107" s="223"/>
      <c r="O107" s="223"/>
      <c r="P107" s="223"/>
      <c r="Q107" s="223"/>
      <c r="R107" s="223"/>
      <c r="S107" s="226">
        <f>'HULP-velden'!$AE$121</f>
        <v>401000</v>
      </c>
      <c r="T107" s="223"/>
      <c r="U107" s="331">
        <f>+'HULP-velden'!$AJ$121</f>
        <v>20.5</v>
      </c>
      <c r="V107" s="331">
        <f>+'HULP-velden'!$AK$121</f>
        <v>30.5</v>
      </c>
      <c r="W107" s="331">
        <f>+'HULP-velden'!$AL$121</f>
        <v>40.5</v>
      </c>
      <c r="X107" s="331">
        <f>+'HULP-velden'!$AM$121</f>
        <v>50.5</v>
      </c>
      <c r="Y107" s="331">
        <f>+'HULP-velden'!$AN$121</f>
        <v>60.5</v>
      </c>
      <c r="Z107" s="331">
        <f>+'HULP-velden'!$AO$121</f>
        <v>70.5</v>
      </c>
      <c r="AA107" s="331">
        <f>+'HULP-velden'!$AP$121</f>
        <v>80.5</v>
      </c>
    </row>
    <row r="108" spans="13:27" ht="15" customHeight="1" x14ac:dyDescent="0.25">
      <c r="M108" s="223"/>
      <c r="N108" s="223"/>
      <c r="O108" s="223"/>
      <c r="P108" s="223"/>
      <c r="Q108" s="223"/>
      <c r="R108" s="223"/>
      <c r="S108" s="226">
        <f>'HULP-velden'!$AE$122</f>
        <v>400000</v>
      </c>
      <c r="T108" s="223"/>
      <c r="U108" s="331">
        <f>+'HULP-velden'!$AJ$122</f>
        <v>20</v>
      </c>
      <c r="V108" s="331">
        <f>+'HULP-velden'!$AK$122</f>
        <v>30</v>
      </c>
      <c r="W108" s="331">
        <f>+'HULP-velden'!$AL$122</f>
        <v>40</v>
      </c>
      <c r="X108" s="331">
        <f>+'HULP-velden'!$AM$122</f>
        <v>50</v>
      </c>
      <c r="Y108" s="331">
        <f>+'HULP-velden'!$AN$122</f>
        <v>60</v>
      </c>
      <c r="Z108" s="331">
        <f>+'HULP-velden'!$AO$122</f>
        <v>70</v>
      </c>
      <c r="AA108" s="331">
        <f>+'HULP-velden'!$AP$122</f>
        <v>80</v>
      </c>
    </row>
    <row r="109" spans="13:27" ht="15" customHeight="1" x14ac:dyDescent="0.25">
      <c r="M109" s="223"/>
      <c r="N109" s="223"/>
      <c r="O109" s="223"/>
      <c r="P109" s="223"/>
      <c r="Q109" s="223"/>
      <c r="R109" s="223"/>
      <c r="S109" s="226">
        <f>'HULP-velden'!$AE$123</f>
        <v>399000</v>
      </c>
      <c r="T109" s="223"/>
      <c r="U109" s="331">
        <f>+'HULP-velden'!$AJ$123</f>
        <v>19.5</v>
      </c>
      <c r="V109" s="331">
        <f>+'HULP-velden'!$AK$123</f>
        <v>29.5</v>
      </c>
      <c r="W109" s="331">
        <f>+'HULP-velden'!$AL$123</f>
        <v>39.5</v>
      </c>
      <c r="X109" s="331">
        <f>+'HULP-velden'!$AM$123</f>
        <v>49.5</v>
      </c>
      <c r="Y109" s="331">
        <f>+'HULP-velden'!$AN$123</f>
        <v>59.5</v>
      </c>
      <c r="Z109" s="331">
        <f>+'HULP-velden'!$AO$123</f>
        <v>69.5</v>
      </c>
      <c r="AA109" s="331">
        <f>+'HULP-velden'!$AP$123</f>
        <v>79.5</v>
      </c>
    </row>
    <row r="110" spans="13:27" ht="15" customHeight="1" x14ac:dyDescent="0.25">
      <c r="M110" s="223"/>
      <c r="N110" s="223"/>
      <c r="O110" s="223"/>
      <c r="P110" s="223"/>
      <c r="Q110" s="223"/>
      <c r="R110" s="223"/>
      <c r="S110" s="226">
        <f>'HULP-velden'!$AE$124</f>
        <v>398000</v>
      </c>
      <c r="T110" s="223"/>
      <c r="U110" s="331">
        <f>+'HULP-velden'!$AJ$124</f>
        <v>19</v>
      </c>
      <c r="V110" s="331">
        <f>+'HULP-velden'!$AK$124</f>
        <v>28.999999999999996</v>
      </c>
      <c r="W110" s="331">
        <f>+'HULP-velden'!$AL$124</f>
        <v>39</v>
      </c>
      <c r="X110" s="331">
        <f>+'HULP-velden'!$AM$124</f>
        <v>49</v>
      </c>
      <c r="Y110" s="331">
        <f>+'HULP-velden'!$AN$124</f>
        <v>59</v>
      </c>
      <c r="Z110" s="331">
        <f>+'HULP-velden'!$AO$124</f>
        <v>69</v>
      </c>
      <c r="AA110" s="331">
        <f>+'HULP-velden'!$AP$124</f>
        <v>79</v>
      </c>
    </row>
    <row r="111" spans="13:27" ht="15" customHeight="1" x14ac:dyDescent="0.25">
      <c r="M111" s="223"/>
      <c r="N111" s="223"/>
      <c r="O111" s="223"/>
      <c r="P111" s="223"/>
      <c r="Q111" s="223"/>
      <c r="R111" s="223"/>
      <c r="S111" s="226">
        <f>'HULP-velden'!$AE$125</f>
        <v>397000</v>
      </c>
      <c r="T111" s="223"/>
      <c r="U111" s="331">
        <f>+'HULP-velden'!$AJ$125</f>
        <v>18.5</v>
      </c>
      <c r="V111" s="331">
        <f>+'HULP-velden'!$AK$125</f>
        <v>28.499999999999996</v>
      </c>
      <c r="W111" s="331">
        <f>+'HULP-velden'!$AL$125</f>
        <v>38.5</v>
      </c>
      <c r="X111" s="331">
        <f>+'HULP-velden'!$AM$125</f>
        <v>48.5</v>
      </c>
      <c r="Y111" s="331">
        <f>+'HULP-velden'!$AN$125</f>
        <v>58.5</v>
      </c>
      <c r="Z111" s="331">
        <f>+'HULP-velden'!$AO$125</f>
        <v>68.5</v>
      </c>
      <c r="AA111" s="331">
        <f>+'HULP-velden'!$AP$125</f>
        <v>78.5</v>
      </c>
    </row>
    <row r="112" spans="13:27" ht="15" customHeight="1" x14ac:dyDescent="0.25">
      <c r="M112" s="223"/>
      <c r="N112" s="223"/>
      <c r="O112" s="223"/>
      <c r="P112" s="223"/>
      <c r="Q112" s="223"/>
      <c r="R112" s="223"/>
      <c r="S112" s="226">
        <f>'HULP-velden'!$AE$126</f>
        <v>396000</v>
      </c>
      <c r="T112" s="223"/>
      <c r="U112" s="331">
        <f>+'HULP-velden'!$AJ$126</f>
        <v>18</v>
      </c>
      <c r="V112" s="331">
        <f>+'HULP-velden'!$AK$126</f>
        <v>28.000000000000004</v>
      </c>
      <c r="W112" s="331">
        <f>+'HULP-velden'!$AL$126</f>
        <v>38</v>
      </c>
      <c r="X112" s="331">
        <f>+'HULP-velden'!$AM$126</f>
        <v>48</v>
      </c>
      <c r="Y112" s="331">
        <f>+'HULP-velden'!$AN$126</f>
        <v>57.999999999999993</v>
      </c>
      <c r="Z112" s="331">
        <f>+'HULP-velden'!$AO$126</f>
        <v>68</v>
      </c>
      <c r="AA112" s="331">
        <f>+'HULP-velden'!$AP$126</f>
        <v>78</v>
      </c>
    </row>
    <row r="113" spans="13:27" ht="15" customHeight="1" x14ac:dyDescent="0.25">
      <c r="M113" s="223"/>
      <c r="N113" s="223"/>
      <c r="O113" s="223"/>
      <c r="P113" s="223"/>
      <c r="Q113" s="223"/>
      <c r="R113" s="223"/>
      <c r="S113" s="226">
        <f>'HULP-velden'!$AE$127</f>
        <v>395000</v>
      </c>
      <c r="T113" s="223"/>
      <c r="U113" s="331">
        <f>+'HULP-velden'!$AJ$127</f>
        <v>17.5</v>
      </c>
      <c r="V113" s="331">
        <f>+'HULP-velden'!$AK$127</f>
        <v>27.500000000000004</v>
      </c>
      <c r="W113" s="331">
        <f>+'HULP-velden'!$AL$127</f>
        <v>37.5</v>
      </c>
      <c r="X113" s="331">
        <f>+'HULP-velden'!$AM$127</f>
        <v>47.5</v>
      </c>
      <c r="Y113" s="331">
        <f>+'HULP-velden'!$AN$127</f>
        <v>57.499999999999993</v>
      </c>
      <c r="Z113" s="331">
        <f>+'HULP-velden'!$AO$127</f>
        <v>67.5</v>
      </c>
      <c r="AA113" s="331">
        <f>+'HULP-velden'!$AP$127</f>
        <v>77.5</v>
      </c>
    </row>
    <row r="114" spans="13:27" ht="15" customHeight="1" x14ac:dyDescent="0.25">
      <c r="M114" s="223"/>
      <c r="N114" s="223"/>
      <c r="O114" s="223"/>
      <c r="P114" s="223"/>
      <c r="Q114" s="223"/>
      <c r="R114" s="223"/>
      <c r="S114" s="226">
        <f>'HULP-velden'!$AE$128</f>
        <v>394000</v>
      </c>
      <c r="T114" s="223"/>
      <c r="U114" s="331">
        <f>+'HULP-velden'!$AJ$128</f>
        <v>17</v>
      </c>
      <c r="V114" s="331">
        <f>+'HULP-velden'!$AK$128</f>
        <v>27</v>
      </c>
      <c r="W114" s="331">
        <f>+'HULP-velden'!$AL$128</f>
        <v>37</v>
      </c>
      <c r="X114" s="331">
        <f>+'HULP-velden'!$AM$128</f>
        <v>47</v>
      </c>
      <c r="Y114" s="331">
        <f>+'HULP-velden'!$AN$128</f>
        <v>56.999999999999993</v>
      </c>
      <c r="Z114" s="331">
        <f>+'HULP-velden'!$AO$128</f>
        <v>67</v>
      </c>
      <c r="AA114" s="331">
        <f>+'HULP-velden'!$AP$128</f>
        <v>77</v>
      </c>
    </row>
    <row r="115" spans="13:27" ht="15" customHeight="1" x14ac:dyDescent="0.25">
      <c r="M115" s="223"/>
      <c r="N115" s="223"/>
      <c r="O115" s="223"/>
      <c r="P115" s="223"/>
      <c r="Q115" s="223"/>
      <c r="R115" s="223"/>
      <c r="S115" s="226">
        <f>'HULP-velden'!$AE$129</f>
        <v>393000</v>
      </c>
      <c r="T115" s="223"/>
      <c r="U115" s="331">
        <f>+'HULP-velden'!$AJ$129</f>
        <v>16.5</v>
      </c>
      <c r="V115" s="331">
        <f>+'HULP-velden'!$AK$129</f>
        <v>26.5</v>
      </c>
      <c r="W115" s="331">
        <f>+'HULP-velden'!$AL$129</f>
        <v>36.5</v>
      </c>
      <c r="X115" s="331">
        <f>+'HULP-velden'!$AM$129</f>
        <v>46.5</v>
      </c>
      <c r="Y115" s="331">
        <f>+'HULP-velden'!$AN$129</f>
        <v>56.499999999999993</v>
      </c>
      <c r="Z115" s="331">
        <f>+'HULP-velden'!$AO$129</f>
        <v>66.5</v>
      </c>
      <c r="AA115" s="331">
        <f>+'HULP-velden'!$AP$129</f>
        <v>76.5</v>
      </c>
    </row>
    <row r="116" spans="13:27" ht="15" customHeight="1" x14ac:dyDescent="0.25">
      <c r="M116" s="223"/>
      <c r="N116" s="223"/>
      <c r="O116" s="223"/>
      <c r="P116" s="223"/>
      <c r="Q116" s="223"/>
      <c r="R116" s="223"/>
      <c r="S116" s="226">
        <f>'HULP-velden'!$AE$130</f>
        <v>392000</v>
      </c>
      <c r="T116" s="223"/>
      <c r="U116" s="331">
        <f>+'HULP-velden'!$AJ$130</f>
        <v>16</v>
      </c>
      <c r="V116" s="331">
        <f>+'HULP-velden'!$AK$130</f>
        <v>26</v>
      </c>
      <c r="W116" s="331">
        <f>+'HULP-velden'!$AL$130</f>
        <v>36</v>
      </c>
      <c r="X116" s="331">
        <f>+'HULP-velden'!$AM$130</f>
        <v>46</v>
      </c>
      <c r="Y116" s="331">
        <f>+'HULP-velden'!$AN$130</f>
        <v>56.000000000000007</v>
      </c>
      <c r="Z116" s="331">
        <f>+'HULP-velden'!$AO$130</f>
        <v>66</v>
      </c>
      <c r="AA116" s="331">
        <f>+'HULP-velden'!$AP$130</f>
        <v>76</v>
      </c>
    </row>
    <row r="117" spans="13:27" ht="15" customHeight="1" x14ac:dyDescent="0.25">
      <c r="M117" s="223"/>
      <c r="N117" s="223"/>
      <c r="O117" s="223"/>
      <c r="P117" s="223"/>
      <c r="Q117" s="223"/>
      <c r="R117" s="223"/>
      <c r="S117" s="226">
        <f>'HULP-velden'!$AE$131</f>
        <v>391000</v>
      </c>
      <c r="T117" s="223"/>
      <c r="U117" s="331">
        <f>+'HULP-velden'!$AJ$131</f>
        <v>15.5</v>
      </c>
      <c r="V117" s="331">
        <f>+'HULP-velden'!$AK$131</f>
        <v>25.5</v>
      </c>
      <c r="W117" s="331">
        <f>+'HULP-velden'!$AL$131</f>
        <v>35.5</v>
      </c>
      <c r="X117" s="331">
        <f>+'HULP-velden'!$AM$131</f>
        <v>45.5</v>
      </c>
      <c r="Y117" s="331">
        <f>+'HULP-velden'!$AN$131</f>
        <v>55.500000000000007</v>
      </c>
      <c r="Z117" s="331">
        <f>+'HULP-velden'!$AO$131</f>
        <v>65.5</v>
      </c>
      <c r="AA117" s="331">
        <f>+'HULP-velden'!$AP$131</f>
        <v>75.5</v>
      </c>
    </row>
    <row r="118" spans="13:27" ht="15" customHeight="1" x14ac:dyDescent="0.25">
      <c r="M118" s="223"/>
      <c r="N118" s="223"/>
      <c r="O118" s="223"/>
      <c r="P118" s="223"/>
      <c r="Q118" s="223"/>
      <c r="R118" s="223"/>
      <c r="S118" s="226">
        <f>'HULP-velden'!$AE$132</f>
        <v>390000</v>
      </c>
      <c r="T118" s="223"/>
      <c r="U118" s="331">
        <f>+'HULP-velden'!$AJ$132</f>
        <v>15</v>
      </c>
      <c r="V118" s="331">
        <f>+'HULP-velden'!$AK$132</f>
        <v>25</v>
      </c>
      <c r="W118" s="331">
        <f>+'HULP-velden'!$AL$132</f>
        <v>35</v>
      </c>
      <c r="X118" s="331">
        <f>+'HULP-velden'!$AM$132</f>
        <v>45</v>
      </c>
      <c r="Y118" s="331">
        <f>+'HULP-velden'!$AN$132</f>
        <v>55.000000000000007</v>
      </c>
      <c r="Z118" s="331">
        <f>+'HULP-velden'!$AO$132</f>
        <v>65</v>
      </c>
      <c r="AA118" s="331">
        <f>+'HULP-velden'!$AP$132</f>
        <v>75</v>
      </c>
    </row>
    <row r="119" spans="13:27" ht="15" customHeight="1" x14ac:dyDescent="0.25">
      <c r="M119" s="223"/>
      <c r="N119" s="223"/>
      <c r="O119" s="223"/>
      <c r="P119" s="223"/>
      <c r="Q119" s="223"/>
      <c r="R119" s="223"/>
      <c r="S119" s="226">
        <f>'HULP-velden'!$AE$133</f>
        <v>389000</v>
      </c>
      <c r="T119" s="223"/>
      <c r="U119" s="331">
        <f>+'HULP-velden'!$AJ$133</f>
        <v>14.499999999999998</v>
      </c>
      <c r="V119" s="331">
        <f>+'HULP-velden'!$AK$133</f>
        <v>24.5</v>
      </c>
      <c r="W119" s="331">
        <f>+'HULP-velden'!$AL$133</f>
        <v>34.5</v>
      </c>
      <c r="X119" s="331">
        <f>+'HULP-velden'!$AM$133</f>
        <v>44.5</v>
      </c>
      <c r="Y119" s="331">
        <f>+'HULP-velden'!$AN$133</f>
        <v>54.500000000000007</v>
      </c>
      <c r="Z119" s="331">
        <f>+'HULP-velden'!$AO$133</f>
        <v>64.5</v>
      </c>
      <c r="AA119" s="331">
        <f>+'HULP-velden'!$AP$133</f>
        <v>74.5</v>
      </c>
    </row>
    <row r="120" spans="13:27" ht="15" customHeight="1" x14ac:dyDescent="0.25">
      <c r="M120" s="223"/>
      <c r="N120" s="223"/>
      <c r="O120" s="223"/>
      <c r="P120" s="223"/>
      <c r="Q120" s="223"/>
      <c r="R120" s="223"/>
      <c r="S120" s="226">
        <f>'HULP-velden'!$AE$134</f>
        <v>388000</v>
      </c>
      <c r="T120" s="223"/>
      <c r="U120" s="331">
        <f>+'HULP-velden'!$AJ$134</f>
        <v>14.000000000000002</v>
      </c>
      <c r="V120" s="331">
        <f>+'HULP-velden'!$AK$134</f>
        <v>24</v>
      </c>
      <c r="W120" s="331">
        <f>+'HULP-velden'!$AL$134</f>
        <v>34</v>
      </c>
      <c r="X120" s="331">
        <f>+'HULP-velden'!$AM$134</f>
        <v>44</v>
      </c>
      <c r="Y120" s="331">
        <f>+'HULP-velden'!$AN$134</f>
        <v>54</v>
      </c>
      <c r="Z120" s="331">
        <f>+'HULP-velden'!$AO$134</f>
        <v>64</v>
      </c>
      <c r="AA120" s="331">
        <f>+'HULP-velden'!$AP$134</f>
        <v>74</v>
      </c>
    </row>
    <row r="121" spans="13:27" ht="15" customHeight="1" x14ac:dyDescent="0.25">
      <c r="M121" s="223"/>
      <c r="N121" s="223"/>
      <c r="O121" s="223"/>
      <c r="P121" s="223"/>
      <c r="Q121" s="223"/>
      <c r="R121" s="223"/>
      <c r="S121" s="226">
        <f>'HULP-velden'!$AE$135</f>
        <v>387000</v>
      </c>
      <c r="T121" s="223"/>
      <c r="U121" s="331">
        <f>+'HULP-velden'!$AJ$135</f>
        <v>13.5</v>
      </c>
      <c r="V121" s="331">
        <f>+'HULP-velden'!$AK$135</f>
        <v>23.5</v>
      </c>
      <c r="W121" s="331">
        <f>+'HULP-velden'!$AL$135</f>
        <v>33.5</v>
      </c>
      <c r="X121" s="331">
        <f>+'HULP-velden'!$AM$135</f>
        <v>43.5</v>
      </c>
      <c r="Y121" s="331">
        <f>+'HULP-velden'!$AN$135</f>
        <v>53.5</v>
      </c>
      <c r="Z121" s="331">
        <f>+'HULP-velden'!$AO$135</f>
        <v>63.5</v>
      </c>
      <c r="AA121" s="331">
        <f>+'HULP-velden'!$AP$135</f>
        <v>73.5</v>
      </c>
    </row>
    <row r="122" spans="13:27" ht="15" customHeight="1" x14ac:dyDescent="0.25">
      <c r="M122" s="223"/>
      <c r="N122" s="223"/>
      <c r="O122" s="223"/>
      <c r="P122" s="223"/>
      <c r="Q122" s="223"/>
      <c r="R122" s="223"/>
      <c r="S122" s="226">
        <f>'HULP-velden'!$AE$136</f>
        <v>386000</v>
      </c>
      <c r="T122" s="223"/>
      <c r="U122" s="331">
        <f>+'HULP-velden'!$AJ$136</f>
        <v>13</v>
      </c>
      <c r="V122" s="331">
        <f>+'HULP-velden'!$AK$136</f>
        <v>23</v>
      </c>
      <c r="W122" s="331">
        <f>+'HULP-velden'!$AL$136</f>
        <v>33</v>
      </c>
      <c r="X122" s="331">
        <f>+'HULP-velden'!$AM$136</f>
        <v>43</v>
      </c>
      <c r="Y122" s="331">
        <f>+'HULP-velden'!$AN$136</f>
        <v>53</v>
      </c>
      <c r="Z122" s="331">
        <f>+'HULP-velden'!$AO$136</f>
        <v>63</v>
      </c>
      <c r="AA122" s="331">
        <f>+'HULP-velden'!$AP$136</f>
        <v>73</v>
      </c>
    </row>
    <row r="123" spans="13:27" ht="15" customHeight="1" x14ac:dyDescent="0.25">
      <c r="M123" s="223"/>
      <c r="N123" s="223"/>
      <c r="O123" s="223"/>
      <c r="P123" s="223"/>
      <c r="Q123" s="223"/>
      <c r="R123" s="223"/>
      <c r="S123" s="226">
        <f>'HULP-velden'!$AE$137</f>
        <v>385000</v>
      </c>
      <c r="T123" s="223"/>
      <c r="U123" s="331">
        <f>+'HULP-velden'!$AJ$137</f>
        <v>12.5</v>
      </c>
      <c r="V123" s="331">
        <f>+'HULP-velden'!$AK$137</f>
        <v>22.5</v>
      </c>
      <c r="W123" s="331">
        <f>+'HULP-velden'!$AL$137</f>
        <v>32.5</v>
      </c>
      <c r="X123" s="331">
        <f>+'HULP-velden'!$AM$137</f>
        <v>42.5</v>
      </c>
      <c r="Y123" s="331">
        <f>+'HULP-velden'!$AN$137</f>
        <v>52.5</v>
      </c>
      <c r="Z123" s="331">
        <f>+'HULP-velden'!$AO$137</f>
        <v>62.5</v>
      </c>
      <c r="AA123" s="331">
        <f>+'HULP-velden'!$AP$137</f>
        <v>72.5</v>
      </c>
    </row>
    <row r="124" spans="13:27" ht="15" customHeight="1" x14ac:dyDescent="0.25">
      <c r="M124" s="223"/>
      <c r="N124" s="223"/>
      <c r="O124" s="223"/>
      <c r="P124" s="223"/>
      <c r="Q124" s="223"/>
      <c r="R124" s="223"/>
      <c r="S124" s="226">
        <f>'HULP-velden'!$AE$138</f>
        <v>384000</v>
      </c>
      <c r="T124" s="223"/>
      <c r="U124" s="331">
        <f>+'HULP-velden'!$AJ$138</f>
        <v>12</v>
      </c>
      <c r="V124" s="331">
        <f>+'HULP-velden'!$AK$138</f>
        <v>22</v>
      </c>
      <c r="W124" s="331">
        <f>+'HULP-velden'!$AL$138</f>
        <v>32</v>
      </c>
      <c r="X124" s="331">
        <f>+'HULP-velden'!$AM$138</f>
        <v>42</v>
      </c>
      <c r="Y124" s="331">
        <f>+'HULP-velden'!$AN$138</f>
        <v>52</v>
      </c>
      <c r="Z124" s="331">
        <f>+'HULP-velden'!$AO$138</f>
        <v>62</v>
      </c>
      <c r="AA124" s="331">
        <f>+'HULP-velden'!$AP$138</f>
        <v>72</v>
      </c>
    </row>
    <row r="125" spans="13:27" ht="15" customHeight="1" x14ac:dyDescent="0.25">
      <c r="M125" s="223"/>
      <c r="N125" s="223"/>
      <c r="O125" s="223"/>
      <c r="P125" s="223"/>
      <c r="Q125" s="223"/>
      <c r="R125" s="223"/>
      <c r="S125" s="226">
        <f>'HULP-velden'!$AE$139</f>
        <v>383000</v>
      </c>
      <c r="T125" s="223"/>
      <c r="U125" s="331">
        <f>+'HULP-velden'!$AJ$139</f>
        <v>11.5</v>
      </c>
      <c r="V125" s="331">
        <f>+'HULP-velden'!$AK$139</f>
        <v>21.5</v>
      </c>
      <c r="W125" s="331">
        <f>+'HULP-velden'!$AL$139</f>
        <v>31.5</v>
      </c>
      <c r="X125" s="331">
        <f>+'HULP-velden'!$AM$139</f>
        <v>41.5</v>
      </c>
      <c r="Y125" s="331">
        <f>+'HULP-velden'!$AN$139</f>
        <v>51.5</v>
      </c>
      <c r="Z125" s="331">
        <f>+'HULP-velden'!$AO$139</f>
        <v>61.5</v>
      </c>
      <c r="AA125" s="331">
        <f>+'HULP-velden'!$AP$139</f>
        <v>71.5</v>
      </c>
    </row>
    <row r="126" spans="13:27" ht="15" customHeight="1" x14ac:dyDescent="0.25">
      <c r="M126" s="223"/>
      <c r="N126" s="223"/>
      <c r="O126" s="223"/>
      <c r="P126" s="223"/>
      <c r="Q126" s="223"/>
      <c r="R126" s="223"/>
      <c r="S126" s="226">
        <f>'HULP-velden'!$AE$140</f>
        <v>382000</v>
      </c>
      <c r="T126" s="223"/>
      <c r="U126" s="331">
        <f>+'HULP-velden'!$AJ$140</f>
        <v>11</v>
      </c>
      <c r="V126" s="331">
        <f>+'HULP-velden'!$AK$140</f>
        <v>21</v>
      </c>
      <c r="W126" s="331">
        <f>+'HULP-velden'!$AL$140</f>
        <v>31</v>
      </c>
      <c r="X126" s="331">
        <f>+'HULP-velden'!$AM$140</f>
        <v>41</v>
      </c>
      <c r="Y126" s="331">
        <f>+'HULP-velden'!$AN$140</f>
        <v>51</v>
      </c>
      <c r="Z126" s="331">
        <f>+'HULP-velden'!$AO$140</f>
        <v>61</v>
      </c>
      <c r="AA126" s="331">
        <f>+'HULP-velden'!$AP$140</f>
        <v>71</v>
      </c>
    </row>
    <row r="127" spans="13:27" ht="15" customHeight="1" x14ac:dyDescent="0.25">
      <c r="M127" s="223"/>
      <c r="N127" s="223"/>
      <c r="O127" s="223"/>
      <c r="P127" s="223"/>
      <c r="Q127" s="223"/>
      <c r="R127" s="223"/>
      <c r="S127" s="226">
        <f>'HULP-velden'!$AE$141</f>
        <v>381000</v>
      </c>
      <c r="T127" s="223"/>
      <c r="U127" s="331">
        <f>+'HULP-velden'!$AJ$141</f>
        <v>10.5</v>
      </c>
      <c r="V127" s="331">
        <f>+'HULP-velden'!$AK$141</f>
        <v>20.5</v>
      </c>
      <c r="W127" s="331">
        <f>+'HULP-velden'!$AL$141</f>
        <v>30.5</v>
      </c>
      <c r="X127" s="331">
        <f>+'HULP-velden'!$AM$141</f>
        <v>40.5</v>
      </c>
      <c r="Y127" s="331">
        <f>+'HULP-velden'!$AN$141</f>
        <v>50.5</v>
      </c>
      <c r="Z127" s="331">
        <f>+'HULP-velden'!$AO$141</f>
        <v>60.5</v>
      </c>
      <c r="AA127" s="331">
        <f>+'HULP-velden'!$AP$141</f>
        <v>70.5</v>
      </c>
    </row>
    <row r="128" spans="13:27" ht="15" customHeight="1" x14ac:dyDescent="0.25">
      <c r="M128" s="223"/>
      <c r="N128" s="223"/>
      <c r="O128" s="223"/>
      <c r="P128" s="223"/>
      <c r="Q128" s="223"/>
      <c r="R128" s="223"/>
      <c r="S128" s="226">
        <f>'HULP-velden'!$AE$142</f>
        <v>380000</v>
      </c>
      <c r="T128" s="223"/>
      <c r="U128" s="331">
        <f>+'HULP-velden'!$AJ$142</f>
        <v>10</v>
      </c>
      <c r="V128" s="331">
        <f>+'HULP-velden'!$AK$142</f>
        <v>20</v>
      </c>
      <c r="W128" s="331">
        <f>+'HULP-velden'!$AL$142</f>
        <v>30</v>
      </c>
      <c r="X128" s="331">
        <f>+'HULP-velden'!$AM$142</f>
        <v>40</v>
      </c>
      <c r="Y128" s="331">
        <f>+'HULP-velden'!$AN$142</f>
        <v>50</v>
      </c>
      <c r="Z128" s="331">
        <f>+'HULP-velden'!$AO$142</f>
        <v>60</v>
      </c>
      <c r="AA128" s="331">
        <f>+'HULP-velden'!$AP$142</f>
        <v>70</v>
      </c>
    </row>
    <row r="129" spans="13:27" ht="15" customHeight="1" x14ac:dyDescent="0.25">
      <c r="M129" s="223"/>
      <c r="N129" s="223"/>
      <c r="O129" s="223"/>
      <c r="P129" s="223"/>
      <c r="Q129" s="223"/>
      <c r="R129" s="223"/>
      <c r="S129" s="226">
        <f>'HULP-velden'!$AE$143</f>
        <v>379000</v>
      </c>
      <c r="T129" s="223"/>
      <c r="U129" s="331">
        <f>+'HULP-velden'!$AJ$143</f>
        <v>9.5</v>
      </c>
      <c r="V129" s="331">
        <f>+'HULP-velden'!$AK$143</f>
        <v>19.5</v>
      </c>
      <c r="W129" s="331">
        <f>+'HULP-velden'!$AL$143</f>
        <v>29.5</v>
      </c>
      <c r="X129" s="331">
        <f>+'HULP-velden'!$AM$143</f>
        <v>39.5</v>
      </c>
      <c r="Y129" s="331">
        <f>+'HULP-velden'!$AN$143</f>
        <v>49.5</v>
      </c>
      <c r="Z129" s="331">
        <f>+'HULP-velden'!$AO$143</f>
        <v>59.5</v>
      </c>
      <c r="AA129" s="331">
        <f>+'HULP-velden'!$AP$143</f>
        <v>69.5</v>
      </c>
    </row>
    <row r="130" spans="13:27" ht="15" customHeight="1" x14ac:dyDescent="0.25">
      <c r="M130" s="223"/>
      <c r="N130" s="223"/>
      <c r="O130" s="223"/>
      <c r="P130" s="223"/>
      <c r="Q130" s="223"/>
      <c r="R130" s="223"/>
      <c r="S130" s="226">
        <f>'HULP-velden'!$AE$144</f>
        <v>378000</v>
      </c>
      <c r="T130" s="223"/>
      <c r="U130" s="331">
        <f>+'HULP-velden'!$AJ$144</f>
        <v>9</v>
      </c>
      <c r="V130" s="331">
        <f>+'HULP-velden'!$AK$144</f>
        <v>19</v>
      </c>
      <c r="W130" s="331">
        <f>+'HULP-velden'!$AL$144</f>
        <v>28.999999999999996</v>
      </c>
      <c r="X130" s="331">
        <f>+'HULP-velden'!$AM$144</f>
        <v>39</v>
      </c>
      <c r="Y130" s="331">
        <f>+'HULP-velden'!$AN$144</f>
        <v>49</v>
      </c>
      <c r="Z130" s="331">
        <f>+'HULP-velden'!$AO$144</f>
        <v>59</v>
      </c>
      <c r="AA130" s="331">
        <f>+'HULP-velden'!$AP$144</f>
        <v>69</v>
      </c>
    </row>
    <row r="131" spans="13:27" ht="15" customHeight="1" x14ac:dyDescent="0.25">
      <c r="M131" s="223"/>
      <c r="N131" s="223"/>
      <c r="O131" s="223"/>
      <c r="P131" s="223"/>
      <c r="Q131" s="223"/>
      <c r="R131" s="223"/>
      <c r="S131" s="226">
        <f>'HULP-velden'!$AE$145</f>
        <v>377000</v>
      </c>
      <c r="T131" s="223"/>
      <c r="U131" s="331">
        <f>+'HULP-velden'!$AJ$145</f>
        <v>8.5</v>
      </c>
      <c r="V131" s="331">
        <f>+'HULP-velden'!$AK$145</f>
        <v>18.5</v>
      </c>
      <c r="W131" s="331">
        <f>+'HULP-velden'!$AL$145</f>
        <v>28.499999999999996</v>
      </c>
      <c r="X131" s="331">
        <f>+'HULP-velden'!$AM$145</f>
        <v>38.5</v>
      </c>
      <c r="Y131" s="331">
        <f>+'HULP-velden'!$AN$145</f>
        <v>48.5</v>
      </c>
      <c r="Z131" s="331">
        <f>+'HULP-velden'!$AO$145</f>
        <v>58.5</v>
      </c>
      <c r="AA131" s="331">
        <f>+'HULP-velden'!$AP$145</f>
        <v>68.5</v>
      </c>
    </row>
    <row r="132" spans="13:27" ht="15" customHeight="1" x14ac:dyDescent="0.25">
      <c r="M132" s="223"/>
      <c r="N132" s="223"/>
      <c r="O132" s="223"/>
      <c r="P132" s="223"/>
      <c r="Q132" s="223"/>
      <c r="R132" s="223"/>
      <c r="S132" s="226">
        <f>'HULP-velden'!$AE$146</f>
        <v>376000</v>
      </c>
      <c r="T132" s="223"/>
      <c r="U132" s="331">
        <f>+'HULP-velden'!$AJ$146</f>
        <v>8</v>
      </c>
      <c r="V132" s="331">
        <f>+'HULP-velden'!$AK$146</f>
        <v>18</v>
      </c>
      <c r="W132" s="331">
        <f>+'HULP-velden'!$AL$146</f>
        <v>28.000000000000004</v>
      </c>
      <c r="X132" s="331">
        <f>+'HULP-velden'!$AM$146</f>
        <v>38</v>
      </c>
      <c r="Y132" s="331">
        <f>+'HULP-velden'!$AN$146</f>
        <v>48</v>
      </c>
      <c r="Z132" s="331">
        <f>+'HULP-velden'!$AO$146</f>
        <v>57.999999999999993</v>
      </c>
      <c r="AA132" s="331">
        <f>+'HULP-velden'!$AP$146</f>
        <v>68</v>
      </c>
    </row>
    <row r="133" spans="13:27" ht="15" customHeight="1" x14ac:dyDescent="0.25">
      <c r="M133" s="223"/>
      <c r="N133" s="223"/>
      <c r="O133" s="223"/>
      <c r="P133" s="223"/>
      <c r="Q133" s="223"/>
      <c r="R133" s="223"/>
      <c r="S133" s="226">
        <f>'HULP-velden'!$AE$147</f>
        <v>375000</v>
      </c>
      <c r="T133" s="223"/>
      <c r="U133" s="331">
        <f>+'HULP-velden'!$AJ$147</f>
        <v>7.5</v>
      </c>
      <c r="V133" s="331">
        <f>+'HULP-velden'!$AK$147</f>
        <v>17.5</v>
      </c>
      <c r="W133" s="331">
        <f>+'HULP-velden'!$AL$147</f>
        <v>27.500000000000004</v>
      </c>
      <c r="X133" s="331">
        <f>+'HULP-velden'!$AM$147</f>
        <v>37.5</v>
      </c>
      <c r="Y133" s="331">
        <f>+'HULP-velden'!$AN$147</f>
        <v>47.5</v>
      </c>
      <c r="Z133" s="331">
        <f>+'HULP-velden'!$AO$147</f>
        <v>57.499999999999993</v>
      </c>
      <c r="AA133" s="331">
        <f>+'HULP-velden'!$AP$147</f>
        <v>67.5</v>
      </c>
    </row>
    <row r="134" spans="13:27" ht="15" customHeight="1" x14ac:dyDescent="0.25">
      <c r="M134" s="223"/>
      <c r="N134" s="223"/>
      <c r="O134" s="223"/>
      <c r="P134" s="223"/>
      <c r="Q134" s="223"/>
      <c r="R134" s="223"/>
      <c r="S134" s="226">
        <f>'HULP-velden'!$AE$148</f>
        <v>374000</v>
      </c>
      <c r="T134" s="223"/>
      <c r="U134" s="331">
        <f>+'HULP-velden'!$AJ$148</f>
        <v>7.0000000000000009</v>
      </c>
      <c r="V134" s="331">
        <f>+'HULP-velden'!$AK$148</f>
        <v>17</v>
      </c>
      <c r="W134" s="331">
        <f>+'HULP-velden'!$AL$148</f>
        <v>27</v>
      </c>
      <c r="X134" s="331">
        <f>+'HULP-velden'!$AM$148</f>
        <v>37</v>
      </c>
      <c r="Y134" s="331">
        <f>+'HULP-velden'!$AN$148</f>
        <v>47</v>
      </c>
      <c r="Z134" s="331">
        <f>+'HULP-velden'!$AO$148</f>
        <v>56.999999999999993</v>
      </c>
      <c r="AA134" s="331">
        <f>+'HULP-velden'!$AP$148</f>
        <v>67</v>
      </c>
    </row>
    <row r="135" spans="13:27" ht="15" customHeight="1" x14ac:dyDescent="0.25">
      <c r="M135" s="223"/>
      <c r="N135" s="223"/>
      <c r="O135" s="223"/>
      <c r="P135" s="223"/>
      <c r="Q135" s="223"/>
      <c r="R135" s="223"/>
      <c r="S135" s="226">
        <f>'HULP-velden'!$AE$149</f>
        <v>373000</v>
      </c>
      <c r="T135" s="223"/>
      <c r="U135" s="331">
        <f>+'HULP-velden'!$AJ$149</f>
        <v>6.5</v>
      </c>
      <c r="V135" s="331">
        <f>+'HULP-velden'!$AK$149</f>
        <v>16.5</v>
      </c>
      <c r="W135" s="331">
        <f>+'HULP-velden'!$AL$149</f>
        <v>26.5</v>
      </c>
      <c r="X135" s="331">
        <f>+'HULP-velden'!$AM$149</f>
        <v>36.5</v>
      </c>
      <c r="Y135" s="331">
        <f>+'HULP-velden'!$AN$149</f>
        <v>46.5</v>
      </c>
      <c r="Z135" s="331">
        <f>+'HULP-velden'!$AO$149</f>
        <v>56.499999999999993</v>
      </c>
      <c r="AA135" s="331">
        <f>+'HULP-velden'!$AP$149</f>
        <v>66.5</v>
      </c>
    </row>
    <row r="136" spans="13:27" ht="15" customHeight="1" x14ac:dyDescent="0.25">
      <c r="M136" s="223"/>
      <c r="N136" s="223"/>
      <c r="O136" s="223"/>
      <c r="P136" s="223"/>
      <c r="Q136" s="223"/>
      <c r="R136" s="223"/>
      <c r="S136" s="226">
        <f>'HULP-velden'!$AE$150</f>
        <v>372000</v>
      </c>
      <c r="T136" s="223"/>
      <c r="U136" s="331">
        <f>+'HULP-velden'!$AJ$150</f>
        <v>6</v>
      </c>
      <c r="V136" s="331">
        <f>+'HULP-velden'!$AK$150</f>
        <v>16</v>
      </c>
      <c r="W136" s="331">
        <f>+'HULP-velden'!$AL$150</f>
        <v>26</v>
      </c>
      <c r="X136" s="331">
        <f>+'HULP-velden'!$AM$150</f>
        <v>36</v>
      </c>
      <c r="Y136" s="331">
        <f>+'HULP-velden'!$AN$150</f>
        <v>46</v>
      </c>
      <c r="Z136" s="331">
        <f>+'HULP-velden'!$AO$150</f>
        <v>56.000000000000007</v>
      </c>
      <c r="AA136" s="331">
        <f>+'HULP-velden'!$AP$150</f>
        <v>66</v>
      </c>
    </row>
    <row r="137" spans="13:27" ht="15" customHeight="1" x14ac:dyDescent="0.25">
      <c r="M137" s="223"/>
      <c r="N137" s="223"/>
      <c r="O137" s="223"/>
      <c r="P137" s="223"/>
      <c r="Q137" s="223"/>
      <c r="R137" s="223"/>
      <c r="S137" s="226">
        <f>'HULP-velden'!$AE$151</f>
        <v>371000</v>
      </c>
      <c r="T137" s="223"/>
      <c r="U137" s="331">
        <f>+'HULP-velden'!$AJ$151</f>
        <v>5.5</v>
      </c>
      <c r="V137" s="331">
        <f>+'HULP-velden'!$AK$151</f>
        <v>15.5</v>
      </c>
      <c r="W137" s="331">
        <f>+'HULP-velden'!$AL$151</f>
        <v>25.5</v>
      </c>
      <c r="X137" s="331">
        <f>+'HULP-velden'!$AM$151</f>
        <v>35.5</v>
      </c>
      <c r="Y137" s="331">
        <f>+'HULP-velden'!$AN$151</f>
        <v>45.5</v>
      </c>
      <c r="Z137" s="331">
        <f>+'HULP-velden'!$AO$151</f>
        <v>55.500000000000007</v>
      </c>
      <c r="AA137" s="331">
        <f>+'HULP-velden'!$AP$151</f>
        <v>65.5</v>
      </c>
    </row>
    <row r="138" spans="13:27" ht="15" customHeight="1" x14ac:dyDescent="0.25">
      <c r="M138" s="223"/>
      <c r="N138" s="223"/>
      <c r="O138" s="223"/>
      <c r="P138" s="223"/>
      <c r="Q138" s="223"/>
      <c r="R138" s="223"/>
      <c r="S138" s="226">
        <f>'HULP-velden'!$AE$152</f>
        <v>370000</v>
      </c>
      <c r="T138" s="223"/>
      <c r="U138" s="331">
        <f>+'HULP-velden'!$AJ$152</f>
        <v>5</v>
      </c>
      <c r="V138" s="331">
        <f>+'HULP-velden'!$AK$152</f>
        <v>15</v>
      </c>
      <c r="W138" s="331">
        <f>+'HULP-velden'!$AL$152</f>
        <v>25</v>
      </c>
      <c r="X138" s="331">
        <f>+'HULP-velden'!$AM$152</f>
        <v>35</v>
      </c>
      <c r="Y138" s="331">
        <f>+'HULP-velden'!$AN$152</f>
        <v>45</v>
      </c>
      <c r="Z138" s="331">
        <f>+'HULP-velden'!$AO$152</f>
        <v>55.000000000000007</v>
      </c>
      <c r="AA138" s="331">
        <f>+'HULP-velden'!$AP$152</f>
        <v>65</v>
      </c>
    </row>
    <row r="139" spans="13:27" ht="15" customHeight="1" x14ac:dyDescent="0.25">
      <c r="M139" s="223"/>
      <c r="N139" s="223"/>
      <c r="O139" s="223"/>
      <c r="P139" s="223"/>
      <c r="Q139" s="223"/>
      <c r="R139" s="223"/>
      <c r="S139" s="226">
        <f>'HULP-velden'!$AE$153</f>
        <v>369000</v>
      </c>
      <c r="T139" s="223"/>
      <c r="U139" s="331">
        <f>+'HULP-velden'!$AJ$153</f>
        <v>4.5</v>
      </c>
      <c r="V139" s="331">
        <f>+'HULP-velden'!$AK$153</f>
        <v>14.499999999999998</v>
      </c>
      <c r="W139" s="331">
        <f>+'HULP-velden'!$AL$153</f>
        <v>24.5</v>
      </c>
      <c r="X139" s="331">
        <f>+'HULP-velden'!$AM$153</f>
        <v>34.5</v>
      </c>
      <c r="Y139" s="331">
        <f>+'HULP-velden'!$AN$153</f>
        <v>44.5</v>
      </c>
      <c r="Z139" s="331">
        <f>+'HULP-velden'!$AO$153</f>
        <v>54.500000000000007</v>
      </c>
      <c r="AA139" s="331">
        <f>+'HULP-velden'!$AP$153</f>
        <v>64.5</v>
      </c>
    </row>
    <row r="140" spans="13:27" ht="15" customHeight="1" x14ac:dyDescent="0.25">
      <c r="M140" s="223"/>
      <c r="N140" s="223"/>
      <c r="O140" s="223"/>
      <c r="P140" s="223"/>
      <c r="Q140" s="223"/>
      <c r="R140" s="223"/>
      <c r="S140" s="226">
        <f>'HULP-velden'!$AE$154</f>
        <v>368000</v>
      </c>
      <c r="T140" s="223"/>
      <c r="U140" s="331">
        <f>+'HULP-velden'!$AJ$154</f>
        <v>4</v>
      </c>
      <c r="V140" s="331">
        <f>+'HULP-velden'!$AK$154</f>
        <v>14.000000000000002</v>
      </c>
      <c r="W140" s="331">
        <f>+'HULP-velden'!$AL$154</f>
        <v>24</v>
      </c>
      <c r="X140" s="331">
        <f>+'HULP-velden'!$AM$154</f>
        <v>34</v>
      </c>
      <c r="Y140" s="331">
        <f>+'HULP-velden'!$AN$154</f>
        <v>44</v>
      </c>
      <c r="Z140" s="331">
        <f>+'HULP-velden'!$AO$154</f>
        <v>54</v>
      </c>
      <c r="AA140" s="331">
        <f>+'HULP-velden'!$AP$154</f>
        <v>64</v>
      </c>
    </row>
    <row r="141" spans="13:27" ht="15" customHeight="1" x14ac:dyDescent="0.25">
      <c r="M141" s="223"/>
      <c r="N141" s="223"/>
      <c r="O141" s="223"/>
      <c r="P141" s="223"/>
      <c r="Q141" s="223"/>
      <c r="R141" s="223"/>
      <c r="S141" s="226">
        <f>'HULP-velden'!$AE$155</f>
        <v>367000</v>
      </c>
      <c r="T141" s="223"/>
      <c r="U141" s="331">
        <f>+'HULP-velden'!$AJ$155</f>
        <v>3.5000000000000004</v>
      </c>
      <c r="V141" s="331">
        <f>+'HULP-velden'!$AK$155</f>
        <v>13.5</v>
      </c>
      <c r="W141" s="331">
        <f>+'HULP-velden'!$AL$155</f>
        <v>23.5</v>
      </c>
      <c r="X141" s="331">
        <f>+'HULP-velden'!$AM$155</f>
        <v>33.5</v>
      </c>
      <c r="Y141" s="331">
        <f>+'HULP-velden'!$AN$155</f>
        <v>43.5</v>
      </c>
      <c r="Z141" s="331">
        <f>+'HULP-velden'!$AO$155</f>
        <v>53.5</v>
      </c>
      <c r="AA141" s="331">
        <f>+'HULP-velden'!$AP$155</f>
        <v>63.5</v>
      </c>
    </row>
    <row r="142" spans="13:27" ht="15" customHeight="1" x14ac:dyDescent="0.25">
      <c r="M142" s="223"/>
      <c r="N142" s="223"/>
      <c r="O142" s="223"/>
      <c r="P142" s="223"/>
      <c r="Q142" s="223"/>
      <c r="R142" s="223"/>
      <c r="S142" s="226">
        <f>'HULP-velden'!$AE$156</f>
        <v>366000</v>
      </c>
      <c r="T142" s="223"/>
      <c r="U142" s="331">
        <f>+'HULP-velden'!$AJ$156</f>
        <v>3</v>
      </c>
      <c r="V142" s="331">
        <f>+'HULP-velden'!$AK$156</f>
        <v>13</v>
      </c>
      <c r="W142" s="331">
        <f>+'HULP-velden'!$AL$156</f>
        <v>23</v>
      </c>
      <c r="X142" s="331">
        <f>+'HULP-velden'!$AM$156</f>
        <v>33</v>
      </c>
      <c r="Y142" s="331">
        <f>+'HULP-velden'!$AN$156</f>
        <v>43</v>
      </c>
      <c r="Z142" s="331">
        <f>+'HULP-velden'!$AO$156</f>
        <v>53</v>
      </c>
      <c r="AA142" s="331">
        <f>+'HULP-velden'!$AP$156</f>
        <v>63</v>
      </c>
    </row>
    <row r="143" spans="13:27" ht="15" customHeight="1" x14ac:dyDescent="0.25">
      <c r="M143" s="223"/>
      <c r="N143" s="223"/>
      <c r="O143" s="223"/>
      <c r="P143" s="223"/>
      <c r="Q143" s="223"/>
      <c r="R143" s="223"/>
      <c r="S143" s="226">
        <f>'HULP-velden'!$AE$157</f>
        <v>365000</v>
      </c>
      <c r="T143" s="223"/>
      <c r="U143" s="331">
        <f>+'HULP-velden'!$AJ$157</f>
        <v>2.5</v>
      </c>
      <c r="V143" s="331">
        <f>+'HULP-velden'!$AK$157</f>
        <v>12.5</v>
      </c>
      <c r="W143" s="331">
        <f>+'HULP-velden'!$AL$157</f>
        <v>22.5</v>
      </c>
      <c r="X143" s="331">
        <f>+'HULP-velden'!$AM$157</f>
        <v>32.5</v>
      </c>
      <c r="Y143" s="331">
        <f>+'HULP-velden'!$AN$157</f>
        <v>42.5</v>
      </c>
      <c r="Z143" s="331">
        <f>+'HULP-velden'!$AO$157</f>
        <v>52.5</v>
      </c>
      <c r="AA143" s="331">
        <f>+'HULP-velden'!$AP$157</f>
        <v>62.5</v>
      </c>
    </row>
    <row r="144" spans="13:27" ht="15" customHeight="1" x14ac:dyDescent="0.25">
      <c r="M144" s="223"/>
      <c r="N144" s="223"/>
      <c r="O144" s="223"/>
      <c r="P144" s="223"/>
      <c r="Q144" s="223"/>
      <c r="R144" s="223"/>
      <c r="S144" s="226">
        <f>'HULP-velden'!$AE$158</f>
        <v>364000</v>
      </c>
      <c r="T144" s="223"/>
      <c r="U144" s="331">
        <f>+'HULP-velden'!$AJ$158</f>
        <v>2</v>
      </c>
      <c r="V144" s="331">
        <f>+'HULP-velden'!$AK$158</f>
        <v>12</v>
      </c>
      <c r="W144" s="331">
        <f>+'HULP-velden'!$AL$158</f>
        <v>22</v>
      </c>
      <c r="X144" s="331">
        <f>+'HULP-velden'!$AM$158</f>
        <v>32</v>
      </c>
      <c r="Y144" s="331">
        <f>+'HULP-velden'!$AN$158</f>
        <v>42</v>
      </c>
      <c r="Z144" s="331">
        <f>+'HULP-velden'!$AO$158</f>
        <v>52</v>
      </c>
      <c r="AA144" s="331">
        <f>+'HULP-velden'!$AP$158</f>
        <v>62</v>
      </c>
    </row>
    <row r="145" spans="13:27" ht="15" customHeight="1" x14ac:dyDescent="0.25">
      <c r="M145" s="223"/>
      <c r="N145" s="223"/>
      <c r="O145" s="223"/>
      <c r="P145" s="223"/>
      <c r="Q145" s="223"/>
      <c r="R145" s="223"/>
      <c r="S145" s="226">
        <f>'HULP-velden'!$AE$159</f>
        <v>363000</v>
      </c>
      <c r="T145" s="223"/>
      <c r="U145" s="331">
        <f>+'HULP-velden'!$AJ$159</f>
        <v>1.5</v>
      </c>
      <c r="V145" s="331">
        <f>+'HULP-velden'!$AK$159</f>
        <v>11.5</v>
      </c>
      <c r="W145" s="331">
        <f>+'HULP-velden'!$AL$159</f>
        <v>21.5</v>
      </c>
      <c r="X145" s="331">
        <f>+'HULP-velden'!$AM$159</f>
        <v>31.5</v>
      </c>
      <c r="Y145" s="331">
        <f>+'HULP-velden'!$AN$159</f>
        <v>41.5</v>
      </c>
      <c r="Z145" s="331">
        <f>+'HULP-velden'!$AO$159</f>
        <v>51.5</v>
      </c>
      <c r="AA145" s="331">
        <f>+'HULP-velden'!$AP$159</f>
        <v>61.5</v>
      </c>
    </row>
    <row r="146" spans="13:27" ht="15" customHeight="1" x14ac:dyDescent="0.25">
      <c r="M146" s="223"/>
      <c r="N146" s="223"/>
      <c r="O146" s="223"/>
      <c r="P146" s="223"/>
      <c r="Q146" s="223"/>
      <c r="R146" s="223"/>
      <c r="S146" s="226">
        <f>'HULP-velden'!$AE$160</f>
        <v>362000</v>
      </c>
      <c r="T146" s="223"/>
      <c r="U146" s="331">
        <f>+'HULP-velden'!$AJ$160</f>
        <v>1</v>
      </c>
      <c r="V146" s="331">
        <f>+'HULP-velden'!$AK$160</f>
        <v>11</v>
      </c>
      <c r="W146" s="331">
        <f>+'HULP-velden'!$AL$160</f>
        <v>21</v>
      </c>
      <c r="X146" s="331">
        <f>+'HULP-velden'!$AM$160</f>
        <v>31</v>
      </c>
      <c r="Y146" s="331">
        <f>+'HULP-velden'!$AN$160</f>
        <v>41</v>
      </c>
      <c r="Z146" s="331">
        <f>+'HULP-velden'!$AO$160</f>
        <v>51</v>
      </c>
      <c r="AA146" s="331">
        <f>+'HULP-velden'!$AP$160</f>
        <v>61</v>
      </c>
    </row>
    <row r="147" spans="13:27" ht="15" customHeight="1" x14ac:dyDescent="0.25">
      <c r="M147" s="223"/>
      <c r="N147" s="223"/>
      <c r="O147" s="223"/>
      <c r="P147" s="223"/>
      <c r="Q147" s="223"/>
      <c r="R147" s="223"/>
      <c r="S147" s="226">
        <f>'HULP-velden'!$AE$161</f>
        <v>361000</v>
      </c>
      <c r="T147" s="223"/>
      <c r="U147" s="331">
        <f>+'HULP-velden'!$AJ$161</f>
        <v>0.5</v>
      </c>
      <c r="V147" s="331">
        <f>+'HULP-velden'!$AK$161</f>
        <v>10.5</v>
      </c>
      <c r="W147" s="331">
        <f>+'HULP-velden'!$AL$161</f>
        <v>20.5</v>
      </c>
      <c r="X147" s="331">
        <f>+'HULP-velden'!$AM$161</f>
        <v>30.5</v>
      </c>
      <c r="Y147" s="331">
        <f>+'HULP-velden'!$AN$161</f>
        <v>40.5</v>
      </c>
      <c r="Z147" s="331">
        <f>+'HULP-velden'!$AO$161</f>
        <v>50.5</v>
      </c>
      <c r="AA147" s="331">
        <f>+'HULP-velden'!$AP$161</f>
        <v>60.5</v>
      </c>
    </row>
    <row r="148" spans="13:27" ht="15" customHeight="1" x14ac:dyDescent="0.25">
      <c r="M148" s="223"/>
      <c r="N148" s="223"/>
      <c r="O148" s="223"/>
      <c r="P148" s="223"/>
      <c r="Q148" s="223"/>
      <c r="R148" s="223"/>
      <c r="S148" s="226">
        <f>'HULP-velden'!$AE$162</f>
        <v>360000</v>
      </c>
      <c r="T148" s="223"/>
      <c r="U148" s="331">
        <f>+'HULP-velden'!$AJ$162</f>
        <v>0</v>
      </c>
      <c r="V148" s="331">
        <f>+'HULP-velden'!$AK$162</f>
        <v>10</v>
      </c>
      <c r="W148" s="331">
        <f>+'HULP-velden'!$AL$162</f>
        <v>20</v>
      </c>
      <c r="X148" s="331">
        <f>+'HULP-velden'!$AM$162</f>
        <v>30</v>
      </c>
      <c r="Y148" s="331">
        <f>+'HULP-velden'!$AN$162</f>
        <v>40</v>
      </c>
      <c r="Z148" s="331">
        <f>+'HULP-velden'!$AO$162</f>
        <v>50</v>
      </c>
      <c r="AA148" s="331">
        <f>+'HULP-velden'!$AP$162</f>
        <v>60</v>
      </c>
    </row>
    <row r="149" spans="13:27" ht="15" customHeight="1" x14ac:dyDescent="0.25">
      <c r="M149" s="223"/>
      <c r="N149" s="223"/>
      <c r="O149" s="223"/>
      <c r="P149" s="223"/>
      <c r="Q149" s="223"/>
      <c r="R149" s="223"/>
      <c r="S149" s="226">
        <f>'HULP-velden'!$AE$163</f>
        <v>359000</v>
      </c>
      <c r="T149" s="223"/>
      <c r="U149" s="331">
        <f>+'HULP-velden'!$AJ$163</f>
        <v>-0.5</v>
      </c>
      <c r="V149" s="331">
        <f>+'HULP-velden'!$AK$163</f>
        <v>9.5</v>
      </c>
      <c r="W149" s="331">
        <f>+'HULP-velden'!$AL$163</f>
        <v>19.5</v>
      </c>
      <c r="X149" s="331">
        <f>+'HULP-velden'!$AM$163</f>
        <v>29.5</v>
      </c>
      <c r="Y149" s="331">
        <f>+'HULP-velden'!$AN$163</f>
        <v>39.5</v>
      </c>
      <c r="Z149" s="331">
        <f>+'HULP-velden'!$AO$163</f>
        <v>49.5</v>
      </c>
      <c r="AA149" s="331">
        <f>+'HULP-velden'!$AP$163</f>
        <v>59.5</v>
      </c>
    </row>
    <row r="150" spans="13:27" ht="15" customHeight="1" x14ac:dyDescent="0.25">
      <c r="M150" s="223"/>
      <c r="N150" s="223"/>
      <c r="O150" s="223"/>
      <c r="P150" s="223"/>
      <c r="Q150" s="223"/>
      <c r="R150" s="223"/>
      <c r="S150" s="226">
        <f>'HULP-velden'!$AE$164</f>
        <v>358000</v>
      </c>
      <c r="T150" s="223"/>
      <c r="U150" s="331">
        <f>+'HULP-velden'!$AJ$164</f>
        <v>-1</v>
      </c>
      <c r="V150" s="331">
        <f>+'HULP-velden'!$AK$164</f>
        <v>9</v>
      </c>
      <c r="W150" s="331">
        <f>+'HULP-velden'!$AL$164</f>
        <v>19</v>
      </c>
      <c r="X150" s="331">
        <f>+'HULP-velden'!$AM$164</f>
        <v>28.999999999999996</v>
      </c>
      <c r="Y150" s="331">
        <f>+'HULP-velden'!$AN$164</f>
        <v>39</v>
      </c>
      <c r="Z150" s="331">
        <f>+'HULP-velden'!$AO$164</f>
        <v>49</v>
      </c>
      <c r="AA150" s="331">
        <f>+'HULP-velden'!$AP$164</f>
        <v>59</v>
      </c>
    </row>
    <row r="151" spans="13:27" ht="15" customHeight="1" x14ac:dyDescent="0.25">
      <c r="M151" s="223"/>
      <c r="N151" s="223"/>
      <c r="O151" s="223"/>
      <c r="P151" s="223"/>
      <c r="Q151" s="223"/>
      <c r="R151" s="223"/>
      <c r="S151" s="226">
        <f>'HULP-velden'!$AE$165</f>
        <v>357000</v>
      </c>
      <c r="T151" s="223"/>
      <c r="U151" s="331">
        <f>+'HULP-velden'!$AJ$165</f>
        <v>-1.5</v>
      </c>
      <c r="V151" s="331">
        <f>+'HULP-velden'!$AK$165</f>
        <v>8.5</v>
      </c>
      <c r="W151" s="331">
        <f>+'HULP-velden'!$AL$165</f>
        <v>18.5</v>
      </c>
      <c r="X151" s="331">
        <f>+'HULP-velden'!$AM$165</f>
        <v>28.499999999999996</v>
      </c>
      <c r="Y151" s="331">
        <f>+'HULP-velden'!$AN$165</f>
        <v>38.5</v>
      </c>
      <c r="Z151" s="331">
        <f>+'HULP-velden'!$AO$165</f>
        <v>48.5</v>
      </c>
      <c r="AA151" s="331">
        <f>+'HULP-velden'!$AP$165</f>
        <v>58.5</v>
      </c>
    </row>
    <row r="152" spans="13:27" ht="15" customHeight="1" x14ac:dyDescent="0.25">
      <c r="M152" s="223"/>
      <c r="N152" s="223"/>
      <c r="O152" s="223"/>
      <c r="P152" s="223"/>
      <c r="Q152" s="223"/>
      <c r="R152" s="223"/>
      <c r="S152" s="226">
        <f>'HULP-velden'!$AE$167</f>
        <v>356000</v>
      </c>
      <c r="T152" s="223"/>
      <c r="U152" s="331">
        <f>+'HULP-velden'!$AJ$167</f>
        <v>-2</v>
      </c>
      <c r="V152" s="331">
        <f>+'HULP-velden'!$AK$167</f>
        <v>8</v>
      </c>
      <c r="W152" s="331">
        <f>+'HULP-velden'!$AL$167</f>
        <v>18</v>
      </c>
      <c r="X152" s="331">
        <f>+'HULP-velden'!$AM$167</f>
        <v>28.000000000000004</v>
      </c>
      <c r="Y152" s="331">
        <f>+'HULP-velden'!$AN$167</f>
        <v>38</v>
      </c>
      <c r="Z152" s="331">
        <f>+'HULP-velden'!$AO$167</f>
        <v>48</v>
      </c>
      <c r="AA152" s="331">
        <f>+'HULP-velden'!$AP$167</f>
        <v>57.999999999999993</v>
      </c>
    </row>
    <row r="153" spans="13:27" ht="15" customHeight="1" x14ac:dyDescent="0.25">
      <c r="M153" s="223"/>
      <c r="N153" s="223"/>
      <c r="O153" s="223"/>
      <c r="P153" s="223"/>
      <c r="Q153" s="223"/>
      <c r="R153" s="223"/>
      <c r="S153" s="226">
        <f>'HULP-velden'!$AE$168</f>
        <v>355000</v>
      </c>
      <c r="T153" s="223"/>
      <c r="U153" s="331">
        <f>+'HULP-velden'!$AJ$168</f>
        <v>-2.5</v>
      </c>
      <c r="V153" s="331">
        <f>+'HULP-velden'!$AK$168</f>
        <v>7.5</v>
      </c>
      <c r="W153" s="331">
        <f>+'HULP-velden'!$AL$168</f>
        <v>17.5</v>
      </c>
      <c r="X153" s="331">
        <f>+'HULP-velden'!$AM$168</f>
        <v>27.500000000000004</v>
      </c>
      <c r="Y153" s="331">
        <f>+'HULP-velden'!$AN$168</f>
        <v>37.5</v>
      </c>
      <c r="Z153" s="331">
        <f>+'HULP-velden'!$AO$168</f>
        <v>47.5</v>
      </c>
      <c r="AA153" s="331">
        <f>+'HULP-velden'!$AP$168</f>
        <v>57.499999999999993</v>
      </c>
    </row>
    <row r="154" spans="13:27" ht="15" customHeight="1" x14ac:dyDescent="0.25">
      <c r="M154" s="223"/>
      <c r="N154" s="223"/>
      <c r="O154" s="223"/>
      <c r="P154" s="223"/>
      <c r="Q154" s="223"/>
      <c r="R154" s="223"/>
      <c r="S154" s="226">
        <f>'HULP-velden'!$AE$169</f>
        <v>354000</v>
      </c>
      <c r="T154" s="223"/>
      <c r="U154" s="331">
        <f>+'HULP-velden'!$AJ$169</f>
        <v>-3</v>
      </c>
      <c r="V154" s="331">
        <f>+'HULP-velden'!$AK$169</f>
        <v>7.0000000000000009</v>
      </c>
      <c r="W154" s="331">
        <f>+'HULP-velden'!$AL$169</f>
        <v>17</v>
      </c>
      <c r="X154" s="331">
        <f>+'HULP-velden'!$AM$169</f>
        <v>27</v>
      </c>
      <c r="Y154" s="331">
        <f>+'HULP-velden'!$AN$169</f>
        <v>37</v>
      </c>
      <c r="Z154" s="331">
        <f>+'HULP-velden'!$AO$169</f>
        <v>47</v>
      </c>
      <c r="AA154" s="331">
        <f>+'HULP-velden'!$AP$169</f>
        <v>56.999999999999993</v>
      </c>
    </row>
    <row r="155" spans="13:27" ht="15" customHeight="1" x14ac:dyDescent="0.25">
      <c r="M155" s="223"/>
      <c r="N155" s="223"/>
      <c r="O155" s="223"/>
      <c r="P155" s="223"/>
      <c r="Q155" s="223"/>
      <c r="R155" s="223"/>
      <c r="S155" s="226">
        <f>'HULP-velden'!$AE$170</f>
        <v>353000</v>
      </c>
      <c r="T155" s="223"/>
      <c r="U155" s="331">
        <f>+'HULP-velden'!$AJ$170</f>
        <v>-3.5000000000000004</v>
      </c>
      <c r="V155" s="331">
        <f>+'HULP-velden'!$AK$170</f>
        <v>6.5</v>
      </c>
      <c r="W155" s="331">
        <f>+'HULP-velden'!$AL$170</f>
        <v>16.5</v>
      </c>
      <c r="X155" s="331">
        <f>+'HULP-velden'!$AM$170</f>
        <v>26.5</v>
      </c>
      <c r="Y155" s="331">
        <f>+'HULP-velden'!$AN$170</f>
        <v>36.5</v>
      </c>
      <c r="Z155" s="331">
        <f>+'HULP-velden'!$AO$170</f>
        <v>46.5</v>
      </c>
      <c r="AA155" s="331">
        <f>+'HULP-velden'!$AP$170</f>
        <v>56.499999999999993</v>
      </c>
    </row>
    <row r="156" spans="13:27" ht="15" customHeight="1" x14ac:dyDescent="0.25">
      <c r="M156" s="223"/>
      <c r="N156" s="223"/>
      <c r="O156" s="223"/>
      <c r="P156" s="223"/>
      <c r="Q156" s="223"/>
      <c r="R156" s="223"/>
      <c r="S156" s="226">
        <f>'HULP-velden'!$AE$171</f>
        <v>352000</v>
      </c>
      <c r="T156" s="223"/>
      <c r="U156" s="331">
        <f>+'HULP-velden'!$AJ$171</f>
        <v>-4</v>
      </c>
      <c r="V156" s="331">
        <f>+'HULP-velden'!$AK$171</f>
        <v>6</v>
      </c>
      <c r="W156" s="331">
        <f>+'HULP-velden'!$AL$171</f>
        <v>16</v>
      </c>
      <c r="X156" s="331">
        <f>+'HULP-velden'!$AM$171</f>
        <v>26</v>
      </c>
      <c r="Y156" s="331">
        <f>+'HULP-velden'!$AN$171</f>
        <v>36</v>
      </c>
      <c r="Z156" s="331">
        <f>+'HULP-velden'!$AO$171</f>
        <v>46</v>
      </c>
      <c r="AA156" s="331">
        <f>+'HULP-velden'!$AP$171</f>
        <v>56.000000000000007</v>
      </c>
    </row>
    <row r="157" spans="13:27" ht="15" customHeight="1" x14ac:dyDescent="0.25">
      <c r="M157" s="223"/>
      <c r="N157" s="223"/>
      <c r="O157" s="223"/>
      <c r="P157" s="223"/>
      <c r="Q157" s="223"/>
      <c r="R157" s="223"/>
      <c r="S157" s="226">
        <f>'HULP-velden'!$AE$172</f>
        <v>351000</v>
      </c>
      <c r="T157" s="223"/>
      <c r="U157" s="331">
        <f>+'HULP-velden'!$AJ$172</f>
        <v>-4.5</v>
      </c>
      <c r="V157" s="331">
        <f>+'HULP-velden'!$AK$172</f>
        <v>5.5</v>
      </c>
      <c r="W157" s="331">
        <f>+'HULP-velden'!$AL$172</f>
        <v>15.5</v>
      </c>
      <c r="X157" s="331">
        <f>+'HULP-velden'!$AM$172</f>
        <v>25.5</v>
      </c>
      <c r="Y157" s="331">
        <f>+'HULP-velden'!$AN$172</f>
        <v>35.5</v>
      </c>
      <c r="Z157" s="331">
        <f>+'HULP-velden'!$AO$172</f>
        <v>45.5</v>
      </c>
      <c r="AA157" s="331">
        <f>+'HULP-velden'!$AP$172</f>
        <v>55.500000000000007</v>
      </c>
    </row>
    <row r="158" spans="13:27" ht="15" customHeight="1" x14ac:dyDescent="0.25">
      <c r="M158" s="223"/>
      <c r="N158" s="223"/>
      <c r="O158" s="223"/>
      <c r="P158" s="223"/>
      <c r="Q158" s="223"/>
      <c r="R158" s="223"/>
      <c r="S158" s="226">
        <f>'HULP-velden'!$AE$173</f>
        <v>350000</v>
      </c>
      <c r="T158" s="223"/>
      <c r="U158" s="331">
        <f>+'HULP-velden'!$AJ$173</f>
        <v>-5</v>
      </c>
      <c r="V158" s="331">
        <f>+'HULP-velden'!$AK$173</f>
        <v>5</v>
      </c>
      <c r="W158" s="331">
        <f>+'HULP-velden'!$AL$173</f>
        <v>15</v>
      </c>
      <c r="X158" s="331">
        <f>+'HULP-velden'!$AM$173</f>
        <v>25</v>
      </c>
      <c r="Y158" s="331">
        <f>+'HULP-velden'!$AN$173</f>
        <v>35</v>
      </c>
      <c r="Z158" s="331">
        <f>+'HULP-velden'!$AO$173</f>
        <v>45</v>
      </c>
      <c r="AA158" s="331">
        <f>+'HULP-velden'!$AP$173</f>
        <v>55.000000000000007</v>
      </c>
    </row>
    <row r="159" spans="13:27" ht="15" customHeight="1" x14ac:dyDescent="0.25">
      <c r="M159" s="223"/>
      <c r="N159" s="223"/>
      <c r="O159" s="223"/>
      <c r="P159" s="223"/>
      <c r="Q159" s="223"/>
      <c r="R159" s="223"/>
      <c r="S159" s="226">
        <f>'HULP-velden'!$AE$174</f>
        <v>349000</v>
      </c>
      <c r="T159" s="223"/>
      <c r="U159" s="331">
        <f>+'HULP-velden'!$AJ$174</f>
        <v>-5.5</v>
      </c>
      <c r="V159" s="331">
        <f>+'HULP-velden'!$AK$174</f>
        <v>4.5</v>
      </c>
      <c r="W159" s="331">
        <f>+'HULP-velden'!$AL$174</f>
        <v>14.499999999999998</v>
      </c>
      <c r="X159" s="331">
        <f>+'HULP-velden'!$AM$174</f>
        <v>24.5</v>
      </c>
      <c r="Y159" s="331">
        <f>+'HULP-velden'!$AN$174</f>
        <v>34.5</v>
      </c>
      <c r="Z159" s="331">
        <f>+'HULP-velden'!$AO$174</f>
        <v>44.5</v>
      </c>
      <c r="AA159" s="331">
        <f>+'HULP-velden'!$AP$174</f>
        <v>54.500000000000007</v>
      </c>
    </row>
    <row r="160" spans="13:27" ht="15" customHeight="1" x14ac:dyDescent="0.25">
      <c r="M160" s="223"/>
      <c r="N160" s="223"/>
      <c r="O160" s="223"/>
      <c r="P160" s="223"/>
      <c r="Q160" s="223"/>
      <c r="R160" s="223"/>
      <c r="S160" s="226">
        <f>'HULP-velden'!$AE$175</f>
        <v>348000</v>
      </c>
      <c r="T160" s="223"/>
      <c r="U160" s="331">
        <f>+'HULP-velden'!$AJ$175</f>
        <v>-6</v>
      </c>
      <c r="V160" s="331">
        <f>+'HULP-velden'!$AK$175</f>
        <v>4</v>
      </c>
      <c r="W160" s="331">
        <f>+'HULP-velden'!$AL$175</f>
        <v>14.000000000000002</v>
      </c>
      <c r="X160" s="331">
        <f>+'HULP-velden'!$AM$175</f>
        <v>24</v>
      </c>
      <c r="Y160" s="331">
        <f>+'HULP-velden'!$AN$175</f>
        <v>34</v>
      </c>
      <c r="Z160" s="331">
        <f>+'HULP-velden'!$AO$175</f>
        <v>44</v>
      </c>
      <c r="AA160" s="331">
        <f>+'HULP-velden'!$AP$175</f>
        <v>54</v>
      </c>
    </row>
    <row r="161" spans="13:27" ht="15" customHeight="1" x14ac:dyDescent="0.25">
      <c r="M161" s="223"/>
      <c r="N161" s="223"/>
      <c r="O161" s="223"/>
      <c r="P161" s="223"/>
      <c r="Q161" s="223"/>
      <c r="R161" s="223"/>
      <c r="S161" s="226">
        <f>'HULP-velden'!$AE$176</f>
        <v>347000</v>
      </c>
      <c r="T161" s="223"/>
      <c r="U161" s="331">
        <f>+'HULP-velden'!$AJ$176</f>
        <v>-6.5</v>
      </c>
      <c r="V161" s="331">
        <f>+'HULP-velden'!$AK$176</f>
        <v>3.5000000000000004</v>
      </c>
      <c r="W161" s="331">
        <f>+'HULP-velden'!$AL$176</f>
        <v>13.5</v>
      </c>
      <c r="X161" s="331">
        <f>+'HULP-velden'!$AM$176</f>
        <v>23.5</v>
      </c>
      <c r="Y161" s="331">
        <f>+'HULP-velden'!$AN$176</f>
        <v>33.5</v>
      </c>
      <c r="Z161" s="331">
        <f>+'HULP-velden'!$AO$176</f>
        <v>43.5</v>
      </c>
      <c r="AA161" s="331">
        <f>+'HULP-velden'!$AP$176</f>
        <v>53.5</v>
      </c>
    </row>
    <row r="162" spans="13:27" ht="15" customHeight="1" x14ac:dyDescent="0.25">
      <c r="M162" s="223"/>
      <c r="N162" s="223"/>
      <c r="O162" s="223"/>
      <c r="P162" s="223"/>
      <c r="Q162" s="223"/>
      <c r="R162" s="223"/>
      <c r="S162" s="226">
        <f>'HULP-velden'!$AE$177</f>
        <v>346000</v>
      </c>
      <c r="T162" s="223"/>
      <c r="U162" s="331">
        <f>+'HULP-velden'!$AJ$177</f>
        <v>-7.0000000000000009</v>
      </c>
      <c r="V162" s="331">
        <f>+'HULP-velden'!$AK$177</f>
        <v>3</v>
      </c>
      <c r="W162" s="331">
        <f>+'HULP-velden'!$AL$177</f>
        <v>13</v>
      </c>
      <c r="X162" s="331">
        <f>+'HULP-velden'!$AM$177</f>
        <v>23</v>
      </c>
      <c r="Y162" s="331">
        <f>+'HULP-velden'!$AN$177</f>
        <v>33</v>
      </c>
      <c r="Z162" s="331">
        <f>+'HULP-velden'!$AO$177</f>
        <v>43</v>
      </c>
      <c r="AA162" s="331">
        <f>+'HULP-velden'!$AP$177</f>
        <v>53</v>
      </c>
    </row>
    <row r="163" spans="13:27" ht="15" customHeight="1" x14ac:dyDescent="0.25">
      <c r="M163" s="223"/>
      <c r="N163" s="223"/>
      <c r="O163" s="223"/>
      <c r="P163" s="223"/>
      <c r="Q163" s="223"/>
      <c r="R163" s="223"/>
      <c r="S163" s="226">
        <f>'HULP-velden'!$AE$178</f>
        <v>345000</v>
      </c>
      <c r="T163" s="223"/>
      <c r="U163" s="331">
        <f>+'HULP-velden'!$AJ$178</f>
        <v>-7.5</v>
      </c>
      <c r="V163" s="331">
        <f>+'HULP-velden'!$AK$178</f>
        <v>2.5</v>
      </c>
      <c r="W163" s="331">
        <f>+'HULP-velden'!$AL$178</f>
        <v>12.5</v>
      </c>
      <c r="X163" s="331">
        <f>+'HULP-velden'!$AM$178</f>
        <v>22.5</v>
      </c>
      <c r="Y163" s="331">
        <f>+'HULP-velden'!$AN$178</f>
        <v>32.5</v>
      </c>
      <c r="Z163" s="331">
        <f>+'HULP-velden'!$AO$178</f>
        <v>42.5</v>
      </c>
      <c r="AA163" s="331">
        <f>+'HULP-velden'!$AP$178</f>
        <v>52.5</v>
      </c>
    </row>
    <row r="164" spans="13:27" ht="15" customHeight="1" x14ac:dyDescent="0.25">
      <c r="M164" s="223"/>
      <c r="N164" s="223"/>
      <c r="O164" s="223"/>
      <c r="P164" s="223"/>
      <c r="Q164" s="223"/>
      <c r="R164" s="223"/>
      <c r="S164" s="226">
        <f>'HULP-velden'!$AE$179</f>
        <v>344000</v>
      </c>
      <c r="T164" s="223"/>
      <c r="U164" s="331">
        <f>+'HULP-velden'!$AJ$179</f>
        <v>-8</v>
      </c>
      <c r="V164" s="331">
        <f>+'HULP-velden'!$AK$179</f>
        <v>2</v>
      </c>
      <c r="W164" s="331">
        <f>+'HULP-velden'!$AL$179</f>
        <v>12</v>
      </c>
      <c r="X164" s="331">
        <f>+'HULP-velden'!$AM$179</f>
        <v>22</v>
      </c>
      <c r="Y164" s="331">
        <f>+'HULP-velden'!$AN$179</f>
        <v>32</v>
      </c>
      <c r="Z164" s="331">
        <f>+'HULP-velden'!$AO$179</f>
        <v>42</v>
      </c>
      <c r="AA164" s="331">
        <f>+'HULP-velden'!$AP$179</f>
        <v>52</v>
      </c>
    </row>
    <row r="165" spans="13:27" ht="15" customHeight="1" x14ac:dyDescent="0.25">
      <c r="M165" s="223"/>
      <c r="N165" s="223"/>
      <c r="O165" s="223"/>
      <c r="P165" s="223"/>
      <c r="Q165" s="223"/>
      <c r="R165" s="223"/>
      <c r="S165" s="226">
        <f>'HULP-velden'!$AE$180</f>
        <v>343000</v>
      </c>
      <c r="T165" s="223"/>
      <c r="U165" s="331">
        <f>+'HULP-velden'!$AJ$180</f>
        <v>-8.5</v>
      </c>
      <c r="V165" s="331">
        <f>+'HULP-velden'!$AK$180</f>
        <v>1.5</v>
      </c>
      <c r="W165" s="331">
        <f>+'HULP-velden'!$AL$180</f>
        <v>11.5</v>
      </c>
      <c r="X165" s="331">
        <f>+'HULP-velden'!$AM$180</f>
        <v>21.5</v>
      </c>
      <c r="Y165" s="331">
        <f>+'HULP-velden'!$AN$180</f>
        <v>31.5</v>
      </c>
      <c r="Z165" s="331">
        <f>+'HULP-velden'!$AO$180</f>
        <v>41.5</v>
      </c>
      <c r="AA165" s="331">
        <f>+'HULP-velden'!$AP$180</f>
        <v>51.5</v>
      </c>
    </row>
    <row r="166" spans="13:27" ht="15" customHeight="1" x14ac:dyDescent="0.25">
      <c r="M166" s="223"/>
      <c r="N166" s="223"/>
      <c r="O166" s="223"/>
      <c r="P166" s="223"/>
      <c r="Q166" s="223"/>
      <c r="R166" s="223"/>
      <c r="S166" s="226">
        <f>'HULP-velden'!$AE$181</f>
        <v>342000</v>
      </c>
      <c r="T166" s="223"/>
      <c r="U166" s="331">
        <f>+'HULP-velden'!$AJ$181</f>
        <v>-9</v>
      </c>
      <c r="V166" s="331">
        <f>+'HULP-velden'!$AK$181</f>
        <v>1</v>
      </c>
      <c r="W166" s="331">
        <f>+'HULP-velden'!$AL$181</f>
        <v>11</v>
      </c>
      <c r="X166" s="331">
        <f>+'HULP-velden'!$AM$181</f>
        <v>21</v>
      </c>
      <c r="Y166" s="331">
        <f>+'HULP-velden'!$AN$181</f>
        <v>31</v>
      </c>
      <c r="Z166" s="331">
        <f>+'HULP-velden'!$AO$181</f>
        <v>41</v>
      </c>
      <c r="AA166" s="331">
        <f>+'HULP-velden'!$AP$181</f>
        <v>51</v>
      </c>
    </row>
    <row r="167" spans="13:27" ht="15" customHeight="1" x14ac:dyDescent="0.25">
      <c r="M167" s="223"/>
      <c r="N167" s="223"/>
      <c r="O167" s="223"/>
      <c r="P167" s="223"/>
      <c r="Q167" s="223"/>
      <c r="R167" s="223"/>
      <c r="S167" s="226">
        <f>'HULP-velden'!$AE$182</f>
        <v>341000</v>
      </c>
      <c r="T167" s="223"/>
      <c r="U167" s="331">
        <f>+'HULP-velden'!$AJ$182</f>
        <v>-9.5</v>
      </c>
      <c r="V167" s="331">
        <f>+'HULP-velden'!$AK$182</f>
        <v>0.5</v>
      </c>
      <c r="W167" s="331">
        <f>+'HULP-velden'!$AL$182</f>
        <v>10.5</v>
      </c>
      <c r="X167" s="331">
        <f>+'HULP-velden'!$AM$182</f>
        <v>20.5</v>
      </c>
      <c r="Y167" s="331">
        <f>+'HULP-velden'!$AN$182</f>
        <v>30.5</v>
      </c>
      <c r="Z167" s="331">
        <f>+'HULP-velden'!$AO$182</f>
        <v>40.5</v>
      </c>
      <c r="AA167" s="331">
        <f>+'HULP-velden'!$AP$182</f>
        <v>50.5</v>
      </c>
    </row>
    <row r="168" spans="13:27" ht="15" customHeight="1" x14ac:dyDescent="0.25">
      <c r="M168" s="223"/>
      <c r="N168" s="223"/>
      <c r="O168" s="223"/>
      <c r="P168" s="223"/>
      <c r="Q168" s="223"/>
      <c r="R168" s="223"/>
      <c r="S168" s="226">
        <f>'HULP-velden'!$AE$183</f>
        <v>340000</v>
      </c>
      <c r="T168" s="223"/>
      <c r="U168" s="331">
        <f>+'HULP-velden'!$AJ$183</f>
        <v>-10</v>
      </c>
      <c r="V168" s="331">
        <f>+'HULP-velden'!$AK$183</f>
        <v>0</v>
      </c>
      <c r="W168" s="331">
        <f>+'HULP-velden'!$AL$183</f>
        <v>10</v>
      </c>
      <c r="X168" s="331">
        <f>+'HULP-velden'!$AM$183</f>
        <v>20</v>
      </c>
      <c r="Y168" s="331">
        <f>+'HULP-velden'!$AN$183</f>
        <v>30</v>
      </c>
      <c r="Z168" s="331">
        <f>+'HULP-velden'!$AO$183</f>
        <v>40</v>
      </c>
      <c r="AA168" s="331">
        <f>+'HULP-velden'!$AP$183</f>
        <v>50</v>
      </c>
    </row>
    <row r="169" spans="13:27" ht="15" customHeight="1" x14ac:dyDescent="0.25">
      <c r="M169" s="223"/>
      <c r="N169" s="223"/>
      <c r="O169" s="223"/>
      <c r="P169" s="223"/>
      <c r="Q169" s="223"/>
      <c r="R169" s="223"/>
      <c r="S169" s="226">
        <f>'HULP-velden'!$AE$184</f>
        <v>339000</v>
      </c>
      <c r="T169" s="223"/>
      <c r="U169" s="331">
        <f>+'HULP-velden'!$AJ$184</f>
        <v>-10.5</v>
      </c>
      <c r="V169" s="331">
        <f>+'HULP-velden'!$AK$184</f>
        <v>-0.5</v>
      </c>
      <c r="W169" s="331">
        <f>+'HULP-velden'!$AL$184</f>
        <v>9.5</v>
      </c>
      <c r="X169" s="331">
        <f>+'HULP-velden'!$AM$184</f>
        <v>19.5</v>
      </c>
      <c r="Y169" s="331">
        <f>+'HULP-velden'!$AN$184</f>
        <v>29.5</v>
      </c>
      <c r="Z169" s="331">
        <f>+'HULP-velden'!$AO$184</f>
        <v>39.5</v>
      </c>
      <c r="AA169" s="331">
        <f>+'HULP-velden'!$AP$184</f>
        <v>49.5</v>
      </c>
    </row>
    <row r="170" spans="13:27" ht="15" customHeight="1" x14ac:dyDescent="0.25">
      <c r="M170" s="223"/>
      <c r="N170" s="223"/>
      <c r="O170" s="223"/>
      <c r="P170" s="223"/>
      <c r="Q170" s="223"/>
      <c r="R170" s="223"/>
      <c r="S170" s="226">
        <f>'HULP-velden'!$AE$185</f>
        <v>338000</v>
      </c>
      <c r="T170" s="223"/>
      <c r="U170" s="331">
        <f>+'HULP-velden'!$AJ$185</f>
        <v>-11</v>
      </c>
      <c r="V170" s="331">
        <f>+'HULP-velden'!$AK$185</f>
        <v>-1</v>
      </c>
      <c r="W170" s="331">
        <f>+'HULP-velden'!$AL$185</f>
        <v>9</v>
      </c>
      <c r="X170" s="331">
        <f>+'HULP-velden'!$AM$185</f>
        <v>19</v>
      </c>
      <c r="Y170" s="331">
        <f>+'HULP-velden'!$AN$185</f>
        <v>28.999999999999996</v>
      </c>
      <c r="Z170" s="331">
        <f>+'HULP-velden'!$AO$185</f>
        <v>39</v>
      </c>
      <c r="AA170" s="331">
        <f>+'HULP-velden'!$AP$185</f>
        <v>49</v>
      </c>
    </row>
    <row r="171" spans="13:27" ht="15" customHeight="1" x14ac:dyDescent="0.25">
      <c r="M171" s="223"/>
      <c r="N171" s="223"/>
      <c r="O171" s="223"/>
      <c r="P171" s="223"/>
      <c r="Q171" s="223"/>
      <c r="R171" s="223"/>
      <c r="S171" s="226">
        <f>'HULP-velden'!$AE$186</f>
        <v>337000</v>
      </c>
      <c r="T171" s="223"/>
      <c r="U171" s="331">
        <f>+'HULP-velden'!$AJ$186</f>
        <v>-11.5</v>
      </c>
      <c r="V171" s="331">
        <f>+'HULP-velden'!$AK$186</f>
        <v>-1.5</v>
      </c>
      <c r="W171" s="331">
        <f>+'HULP-velden'!$AL$186</f>
        <v>8.5</v>
      </c>
      <c r="X171" s="331">
        <f>+'HULP-velden'!$AM$186</f>
        <v>18.5</v>
      </c>
      <c r="Y171" s="331">
        <f>+'HULP-velden'!$AN$186</f>
        <v>28.499999999999996</v>
      </c>
      <c r="Z171" s="331">
        <f>+'HULP-velden'!$AO$186</f>
        <v>38.5</v>
      </c>
      <c r="AA171" s="331">
        <f>+'HULP-velden'!$AP$186</f>
        <v>48.5</v>
      </c>
    </row>
    <row r="172" spans="13:27" ht="15" customHeight="1" x14ac:dyDescent="0.25">
      <c r="M172" s="223"/>
      <c r="N172" s="223"/>
      <c r="O172" s="223"/>
      <c r="P172" s="223"/>
      <c r="Q172" s="223"/>
      <c r="R172" s="223"/>
      <c r="S172" s="226">
        <f>'HULP-velden'!$AE$187</f>
        <v>336000</v>
      </c>
      <c r="T172" s="223"/>
      <c r="U172" s="331">
        <f>+'HULP-velden'!$AJ$187</f>
        <v>-12</v>
      </c>
      <c r="V172" s="331">
        <f>+'HULP-velden'!$AK$187</f>
        <v>-2</v>
      </c>
      <c r="W172" s="331">
        <f>+'HULP-velden'!$AL$187</f>
        <v>8</v>
      </c>
      <c r="X172" s="331">
        <f>+'HULP-velden'!$AM$187</f>
        <v>18</v>
      </c>
      <c r="Y172" s="331">
        <f>+'HULP-velden'!$AN$187</f>
        <v>28.000000000000004</v>
      </c>
      <c r="Z172" s="331">
        <f>+'HULP-velden'!$AO$187</f>
        <v>38</v>
      </c>
      <c r="AA172" s="331">
        <f>+'HULP-velden'!$AP$187</f>
        <v>48</v>
      </c>
    </row>
    <row r="173" spans="13:27" ht="15" customHeight="1" x14ac:dyDescent="0.25">
      <c r="M173" s="223"/>
      <c r="N173" s="223"/>
      <c r="O173" s="223"/>
      <c r="P173" s="223"/>
      <c r="Q173" s="223"/>
      <c r="R173" s="223"/>
      <c r="S173" s="226">
        <f>'HULP-velden'!$AE$188</f>
        <v>335000</v>
      </c>
      <c r="T173" s="223"/>
      <c r="U173" s="331">
        <f>+'HULP-velden'!$AJ$188</f>
        <v>-12.5</v>
      </c>
      <c r="V173" s="331">
        <f>+'HULP-velden'!$AK$188</f>
        <v>-2.5</v>
      </c>
      <c r="W173" s="331">
        <f>+'HULP-velden'!$AL$188</f>
        <v>7.5</v>
      </c>
      <c r="X173" s="331">
        <f>+'HULP-velden'!$AM$188</f>
        <v>17.5</v>
      </c>
      <c r="Y173" s="331">
        <f>+'HULP-velden'!$AN$188</f>
        <v>27.500000000000004</v>
      </c>
      <c r="Z173" s="331">
        <f>+'HULP-velden'!$AO$188</f>
        <v>37.5</v>
      </c>
      <c r="AA173" s="331">
        <f>+'HULP-velden'!$AP$188</f>
        <v>47.5</v>
      </c>
    </row>
    <row r="174" spans="13:27" ht="15" customHeight="1" x14ac:dyDescent="0.25">
      <c r="M174" s="223"/>
      <c r="N174" s="223"/>
      <c r="O174" s="223"/>
      <c r="P174" s="223"/>
      <c r="Q174" s="223"/>
      <c r="R174" s="223"/>
      <c r="S174" s="226">
        <f>'HULP-velden'!$AE$189</f>
        <v>334000</v>
      </c>
      <c r="T174" s="223"/>
      <c r="U174" s="331">
        <f>+'HULP-velden'!$AJ$189</f>
        <v>-13</v>
      </c>
      <c r="V174" s="331">
        <f>+'HULP-velden'!$AK$189</f>
        <v>-3</v>
      </c>
      <c r="W174" s="331">
        <f>+'HULP-velden'!$AL$189</f>
        <v>7.0000000000000009</v>
      </c>
      <c r="X174" s="331">
        <f>+'HULP-velden'!$AM$189</f>
        <v>17</v>
      </c>
      <c r="Y174" s="331">
        <f>+'HULP-velden'!$AN$189</f>
        <v>27</v>
      </c>
      <c r="Z174" s="331">
        <f>+'HULP-velden'!$AO$189</f>
        <v>37</v>
      </c>
      <c r="AA174" s="331">
        <f>+'HULP-velden'!$AP$189</f>
        <v>47</v>
      </c>
    </row>
    <row r="175" spans="13:27" ht="15" customHeight="1" x14ac:dyDescent="0.25">
      <c r="M175" s="223"/>
      <c r="N175" s="223"/>
      <c r="O175" s="223"/>
      <c r="P175" s="223"/>
      <c r="Q175" s="223"/>
      <c r="R175" s="223"/>
      <c r="S175" s="226">
        <f>'HULP-velden'!$AE$190</f>
        <v>333000</v>
      </c>
      <c r="T175" s="223"/>
      <c r="U175" s="331">
        <f>+'HULP-velden'!$AJ$190</f>
        <v>-13.5</v>
      </c>
      <c r="V175" s="331">
        <f>+'HULP-velden'!$AK$190</f>
        <v>-3.5000000000000004</v>
      </c>
      <c r="W175" s="331">
        <f>+'HULP-velden'!$AL$190</f>
        <v>6.5</v>
      </c>
      <c r="X175" s="331">
        <f>+'HULP-velden'!$AM$190</f>
        <v>16.5</v>
      </c>
      <c r="Y175" s="331">
        <f>+'HULP-velden'!$AN$190</f>
        <v>26.5</v>
      </c>
      <c r="Z175" s="331">
        <f>+'HULP-velden'!$AO$190</f>
        <v>36.5</v>
      </c>
      <c r="AA175" s="331">
        <f>+'HULP-velden'!$AP$190</f>
        <v>46.5</v>
      </c>
    </row>
    <row r="176" spans="13:27" ht="15" customHeight="1" x14ac:dyDescent="0.25">
      <c r="M176" s="223"/>
      <c r="N176" s="223"/>
      <c r="O176" s="223"/>
      <c r="P176" s="223"/>
      <c r="Q176" s="223"/>
      <c r="R176" s="223"/>
      <c r="S176" s="226">
        <f>'HULP-velden'!$AE$191</f>
        <v>332000</v>
      </c>
      <c r="T176" s="223"/>
      <c r="U176" s="331">
        <f>+'HULP-velden'!$AJ$191</f>
        <v>-14.000000000000002</v>
      </c>
      <c r="V176" s="331">
        <f>+'HULP-velden'!$AK$191</f>
        <v>-4</v>
      </c>
      <c r="W176" s="331">
        <f>+'HULP-velden'!$AL$191</f>
        <v>6</v>
      </c>
      <c r="X176" s="331">
        <f>+'HULP-velden'!$AM$191</f>
        <v>16</v>
      </c>
      <c r="Y176" s="331">
        <f>+'HULP-velden'!$AN$191</f>
        <v>26</v>
      </c>
      <c r="Z176" s="331">
        <f>+'HULP-velden'!$AO$191</f>
        <v>36</v>
      </c>
      <c r="AA176" s="331">
        <f>+'HULP-velden'!$AP$191</f>
        <v>46</v>
      </c>
    </row>
    <row r="177" spans="13:27" ht="15" customHeight="1" x14ac:dyDescent="0.25">
      <c r="M177" s="223"/>
      <c r="N177" s="223"/>
      <c r="O177" s="223"/>
      <c r="P177" s="223"/>
      <c r="Q177" s="223"/>
      <c r="R177" s="223"/>
      <c r="S177" s="226">
        <f>'HULP-velden'!$AE$192</f>
        <v>331000</v>
      </c>
      <c r="T177" s="223"/>
      <c r="U177" s="331">
        <f>+'HULP-velden'!$AJ$192</f>
        <v>-14.499999999999998</v>
      </c>
      <c r="V177" s="331">
        <f>+'HULP-velden'!$AK$192</f>
        <v>-4.5</v>
      </c>
      <c r="W177" s="331">
        <f>+'HULP-velden'!$AL$192</f>
        <v>5.5</v>
      </c>
      <c r="X177" s="331">
        <f>+'HULP-velden'!$AM$192</f>
        <v>15.5</v>
      </c>
      <c r="Y177" s="331">
        <f>+'HULP-velden'!$AN$192</f>
        <v>25.5</v>
      </c>
      <c r="Z177" s="331">
        <f>+'HULP-velden'!$AO$192</f>
        <v>35.5</v>
      </c>
      <c r="AA177" s="331">
        <f>+'HULP-velden'!$AP$192</f>
        <v>45.5</v>
      </c>
    </row>
    <row r="178" spans="13:27" ht="15" customHeight="1" x14ac:dyDescent="0.25">
      <c r="M178" s="223"/>
      <c r="N178" s="223"/>
      <c r="O178" s="223"/>
      <c r="P178" s="223"/>
      <c r="Q178" s="223"/>
      <c r="R178" s="223"/>
      <c r="S178" s="226">
        <f>'HULP-velden'!$AE$193</f>
        <v>330000</v>
      </c>
      <c r="T178" s="223"/>
      <c r="U178" s="331">
        <f>+'HULP-velden'!$AJ$193</f>
        <v>-15</v>
      </c>
      <c r="V178" s="331">
        <f>+'HULP-velden'!$AK$193</f>
        <v>-5</v>
      </c>
      <c r="W178" s="331">
        <f>+'HULP-velden'!$AL$193</f>
        <v>5</v>
      </c>
      <c r="X178" s="331">
        <f>+'HULP-velden'!$AM$193</f>
        <v>15</v>
      </c>
      <c r="Y178" s="331">
        <f>+'HULP-velden'!$AN$193</f>
        <v>25</v>
      </c>
      <c r="Z178" s="331">
        <f>+'HULP-velden'!$AO$193</f>
        <v>35</v>
      </c>
      <c r="AA178" s="331">
        <f>+'HULP-velden'!$AP$193</f>
        <v>45</v>
      </c>
    </row>
    <row r="179" spans="13:27" ht="15" customHeight="1" x14ac:dyDescent="0.25">
      <c r="M179" s="223"/>
      <c r="N179" s="223"/>
      <c r="O179" s="223"/>
      <c r="P179" s="223"/>
      <c r="Q179" s="223"/>
      <c r="R179" s="223"/>
      <c r="S179" s="226">
        <f>'HULP-velden'!$AE$194</f>
        <v>329000</v>
      </c>
      <c r="T179" s="223"/>
      <c r="U179" s="331">
        <f>+'HULP-velden'!$AJ$194</f>
        <v>-15.5</v>
      </c>
      <c r="V179" s="331">
        <f>+'HULP-velden'!$AK$194</f>
        <v>-5.5</v>
      </c>
      <c r="W179" s="331">
        <f>+'HULP-velden'!$AL$194</f>
        <v>4.5</v>
      </c>
      <c r="X179" s="331">
        <f>+'HULP-velden'!$AM$194</f>
        <v>14.499999999999998</v>
      </c>
      <c r="Y179" s="331">
        <f>+'HULP-velden'!$AN$194</f>
        <v>24.5</v>
      </c>
      <c r="Z179" s="331">
        <f>+'HULP-velden'!$AO$194</f>
        <v>34.5</v>
      </c>
      <c r="AA179" s="331">
        <f>+'HULP-velden'!$AP$194</f>
        <v>44.5</v>
      </c>
    </row>
    <row r="180" spans="13:27" ht="15" customHeight="1" x14ac:dyDescent="0.25">
      <c r="M180" s="223"/>
      <c r="N180" s="223"/>
      <c r="O180" s="223"/>
      <c r="P180" s="223"/>
      <c r="Q180" s="223"/>
      <c r="R180" s="223"/>
      <c r="S180" s="226">
        <f>'HULP-velden'!$AE$195</f>
        <v>328000</v>
      </c>
      <c r="T180" s="223"/>
      <c r="U180" s="331">
        <f>+'HULP-velden'!$AJ$195</f>
        <v>-16</v>
      </c>
      <c r="V180" s="331">
        <f>+'HULP-velden'!$AK$195</f>
        <v>-6</v>
      </c>
      <c r="W180" s="331">
        <f>+'HULP-velden'!$AL$195</f>
        <v>4</v>
      </c>
      <c r="X180" s="331">
        <f>+'HULP-velden'!$AM$195</f>
        <v>14.000000000000002</v>
      </c>
      <c r="Y180" s="331">
        <f>+'HULP-velden'!$AN$195</f>
        <v>24</v>
      </c>
      <c r="Z180" s="331">
        <f>+'HULP-velden'!$AO$195</f>
        <v>34</v>
      </c>
      <c r="AA180" s="331">
        <f>+'HULP-velden'!$AP$195</f>
        <v>44</v>
      </c>
    </row>
    <row r="181" spans="13:27" ht="15" customHeight="1" x14ac:dyDescent="0.25">
      <c r="M181" s="223"/>
      <c r="N181" s="223"/>
      <c r="O181" s="223"/>
      <c r="P181" s="223"/>
      <c r="Q181" s="223"/>
      <c r="R181" s="223"/>
      <c r="S181" s="226">
        <f>'HULP-velden'!$AE$196</f>
        <v>327000</v>
      </c>
      <c r="T181" s="223"/>
      <c r="U181" s="331">
        <f>+'HULP-velden'!$AJ$196</f>
        <v>-16.5</v>
      </c>
      <c r="V181" s="331">
        <f>+'HULP-velden'!$AK$196</f>
        <v>-6.5</v>
      </c>
      <c r="W181" s="331">
        <f>+'HULP-velden'!$AL$196</f>
        <v>3.5000000000000004</v>
      </c>
      <c r="X181" s="331">
        <f>+'HULP-velden'!$AM$196</f>
        <v>13.5</v>
      </c>
      <c r="Y181" s="331">
        <f>+'HULP-velden'!$AN$196</f>
        <v>23.5</v>
      </c>
      <c r="Z181" s="331">
        <f>+'HULP-velden'!$AO$196</f>
        <v>33.5</v>
      </c>
      <c r="AA181" s="331">
        <f>+'HULP-velden'!$AP$196</f>
        <v>43.5</v>
      </c>
    </row>
    <row r="182" spans="13:27" ht="15" customHeight="1" x14ac:dyDescent="0.25">
      <c r="M182" s="223"/>
      <c r="N182" s="223"/>
      <c r="O182" s="223"/>
      <c r="P182" s="223"/>
      <c r="Q182" s="223"/>
      <c r="R182" s="223"/>
      <c r="S182" s="226">
        <f>'HULP-velden'!$AE$197</f>
        <v>326000</v>
      </c>
      <c r="T182" s="223"/>
      <c r="U182" s="331">
        <f>+'HULP-velden'!$AJ$197</f>
        <v>-17</v>
      </c>
      <c r="V182" s="331">
        <f>+'HULP-velden'!$AK$197</f>
        <v>-7.0000000000000009</v>
      </c>
      <c r="W182" s="331">
        <f>+'HULP-velden'!$AL$197</f>
        <v>3</v>
      </c>
      <c r="X182" s="331">
        <f>+'HULP-velden'!$AM$197</f>
        <v>13</v>
      </c>
      <c r="Y182" s="331">
        <f>+'HULP-velden'!$AN$197</f>
        <v>23</v>
      </c>
      <c r="Z182" s="331">
        <f>+'HULP-velden'!$AO$197</f>
        <v>33</v>
      </c>
      <c r="AA182" s="331">
        <f>+'HULP-velden'!$AP$197</f>
        <v>43</v>
      </c>
    </row>
    <row r="183" spans="13:27" ht="15" customHeight="1" x14ac:dyDescent="0.25">
      <c r="M183" s="223"/>
      <c r="N183" s="223"/>
      <c r="O183" s="223"/>
      <c r="P183" s="223"/>
      <c r="Q183" s="223"/>
      <c r="R183" s="223"/>
      <c r="S183" s="226">
        <f>'HULP-velden'!$AE$198</f>
        <v>325000</v>
      </c>
      <c r="T183" s="223"/>
      <c r="U183" s="331">
        <f>+'HULP-velden'!$AJ$198</f>
        <v>-17.5</v>
      </c>
      <c r="V183" s="331">
        <f>+'HULP-velden'!$AK$198</f>
        <v>-7.5</v>
      </c>
      <c r="W183" s="331">
        <f>+'HULP-velden'!$AL$198</f>
        <v>2.5</v>
      </c>
      <c r="X183" s="331">
        <f>+'HULP-velden'!$AM$198</f>
        <v>12.5</v>
      </c>
      <c r="Y183" s="331">
        <f>+'HULP-velden'!$AN$198</f>
        <v>22.5</v>
      </c>
      <c r="Z183" s="331">
        <f>+'HULP-velden'!$AO$198</f>
        <v>32.5</v>
      </c>
      <c r="AA183" s="331">
        <f>+'HULP-velden'!$AP$198</f>
        <v>42.5</v>
      </c>
    </row>
    <row r="184" spans="13:27" ht="15" customHeight="1" x14ac:dyDescent="0.25">
      <c r="M184" s="223"/>
      <c r="N184" s="223"/>
      <c r="O184" s="223"/>
      <c r="P184" s="223"/>
      <c r="Q184" s="223"/>
      <c r="R184" s="223"/>
      <c r="S184" s="226">
        <f>'HULP-velden'!$AE$199</f>
        <v>324000</v>
      </c>
      <c r="T184" s="223"/>
      <c r="U184" s="331">
        <f>+'HULP-velden'!$AJ$199</f>
        <v>-18</v>
      </c>
      <c r="V184" s="331">
        <f>+'HULP-velden'!$AK$199</f>
        <v>-8</v>
      </c>
      <c r="W184" s="331">
        <f>+'HULP-velden'!$AL$199</f>
        <v>2</v>
      </c>
      <c r="X184" s="331">
        <f>+'HULP-velden'!$AM$199</f>
        <v>12</v>
      </c>
      <c r="Y184" s="331">
        <f>+'HULP-velden'!$AN$199</f>
        <v>22</v>
      </c>
      <c r="Z184" s="331">
        <f>+'HULP-velden'!$AO$199</f>
        <v>32</v>
      </c>
      <c r="AA184" s="331">
        <f>+'HULP-velden'!$AP$199</f>
        <v>42</v>
      </c>
    </row>
    <row r="185" spans="13:27" ht="15" customHeight="1" x14ac:dyDescent="0.25">
      <c r="M185" s="223"/>
      <c r="N185" s="223"/>
      <c r="O185" s="223"/>
      <c r="P185" s="223"/>
      <c r="Q185" s="223"/>
      <c r="R185" s="223"/>
      <c r="S185" s="226">
        <f>'HULP-velden'!$AE$200</f>
        <v>323000</v>
      </c>
      <c r="T185" s="223"/>
      <c r="U185" s="331">
        <f>+'HULP-velden'!$AJ$200</f>
        <v>-18.5</v>
      </c>
      <c r="V185" s="331">
        <f>+'HULP-velden'!$AK$200</f>
        <v>-8.5</v>
      </c>
      <c r="W185" s="331">
        <f>+'HULP-velden'!$AL$200</f>
        <v>1.5</v>
      </c>
      <c r="X185" s="331">
        <f>+'HULP-velden'!$AM$200</f>
        <v>11.5</v>
      </c>
      <c r="Y185" s="331">
        <f>+'HULP-velden'!$AN$200</f>
        <v>21.5</v>
      </c>
      <c r="Z185" s="331">
        <f>+'HULP-velden'!$AO$200</f>
        <v>31.5</v>
      </c>
      <c r="AA185" s="331">
        <f>+'HULP-velden'!$AP$200</f>
        <v>41.5</v>
      </c>
    </row>
    <row r="186" spans="13:27" ht="15" customHeight="1" x14ac:dyDescent="0.25">
      <c r="M186" s="223"/>
      <c r="N186" s="223"/>
      <c r="O186" s="223"/>
      <c r="P186" s="223"/>
      <c r="Q186" s="223"/>
      <c r="R186" s="223"/>
      <c r="S186" s="226">
        <f>'HULP-velden'!$AE$201</f>
        <v>322000</v>
      </c>
      <c r="T186" s="223"/>
      <c r="U186" s="331">
        <f>+'HULP-velden'!$AJ$201</f>
        <v>-19</v>
      </c>
      <c r="V186" s="331">
        <f>+'HULP-velden'!$AK$201</f>
        <v>-9</v>
      </c>
      <c r="W186" s="331">
        <f>+'HULP-velden'!$AL$201</f>
        <v>1</v>
      </c>
      <c r="X186" s="331">
        <f>+'HULP-velden'!$AM$201</f>
        <v>11</v>
      </c>
      <c r="Y186" s="331">
        <f>+'HULP-velden'!$AN$201</f>
        <v>21</v>
      </c>
      <c r="Z186" s="331">
        <f>+'HULP-velden'!$AO$201</f>
        <v>31</v>
      </c>
      <c r="AA186" s="331">
        <f>+'HULP-velden'!$AP$201</f>
        <v>41</v>
      </c>
    </row>
    <row r="187" spans="13:27" ht="15" customHeight="1" x14ac:dyDescent="0.25">
      <c r="M187" s="223"/>
      <c r="N187" s="223"/>
      <c r="O187" s="223"/>
      <c r="P187" s="223"/>
      <c r="Q187" s="223"/>
      <c r="R187" s="223"/>
      <c r="S187" s="226">
        <f>'HULP-velden'!$AE$202</f>
        <v>321000</v>
      </c>
      <c r="T187" s="223"/>
      <c r="U187" s="331">
        <f>+'HULP-velden'!$AJ$202</f>
        <v>-19.5</v>
      </c>
      <c r="V187" s="331">
        <f>+'HULP-velden'!$AK$202</f>
        <v>-9.5</v>
      </c>
      <c r="W187" s="331">
        <f>+'HULP-velden'!$AL$202</f>
        <v>0.5</v>
      </c>
      <c r="X187" s="331">
        <f>+'HULP-velden'!$AM$202</f>
        <v>10.5</v>
      </c>
      <c r="Y187" s="331">
        <f>+'HULP-velden'!$AN$202</f>
        <v>20.5</v>
      </c>
      <c r="Z187" s="331">
        <f>+'HULP-velden'!$AO$202</f>
        <v>30.5</v>
      </c>
      <c r="AA187" s="331">
        <f>+'HULP-velden'!$AP$202</f>
        <v>40.5</v>
      </c>
    </row>
    <row r="188" spans="13:27" ht="15" customHeight="1" x14ac:dyDescent="0.25">
      <c r="M188" s="223"/>
      <c r="N188" s="223"/>
      <c r="O188" s="223"/>
      <c r="P188" s="223"/>
      <c r="Q188" s="223"/>
      <c r="R188" s="223"/>
      <c r="S188" s="226">
        <f>'HULP-velden'!$AE$203</f>
        <v>320000</v>
      </c>
      <c r="T188" s="223"/>
      <c r="U188" s="331">
        <f>+'HULP-velden'!$AJ$203</f>
        <v>-20</v>
      </c>
      <c r="V188" s="331">
        <f>+'HULP-velden'!$AK$203</f>
        <v>-10</v>
      </c>
      <c r="W188" s="331">
        <f>+'HULP-velden'!$AL$203</f>
        <v>0</v>
      </c>
      <c r="X188" s="331">
        <f>+'HULP-velden'!$AM$203</f>
        <v>10</v>
      </c>
      <c r="Y188" s="331">
        <f>+'HULP-velden'!$AN$203</f>
        <v>20</v>
      </c>
      <c r="Z188" s="331">
        <f>+'HULP-velden'!$AO$203</f>
        <v>30</v>
      </c>
      <c r="AA188" s="331">
        <f>+'HULP-velden'!$AP$203</f>
        <v>40</v>
      </c>
    </row>
    <row r="189" spans="13:27" ht="15" customHeight="1" x14ac:dyDescent="0.25">
      <c r="M189" s="223"/>
      <c r="N189" s="223"/>
      <c r="O189" s="223"/>
      <c r="P189" s="223"/>
      <c r="Q189" s="223"/>
      <c r="R189" s="223"/>
      <c r="S189" s="226">
        <f>'HULP-velden'!$AE$204</f>
        <v>319000</v>
      </c>
      <c r="T189" s="223"/>
      <c r="U189" s="331">
        <f>+'HULP-velden'!$AJ$204</f>
        <v>-20.5</v>
      </c>
      <c r="V189" s="331">
        <f>+'HULP-velden'!$AK$204</f>
        <v>-10.5</v>
      </c>
      <c r="W189" s="331">
        <f>+'HULP-velden'!$AL$204</f>
        <v>-0.5</v>
      </c>
      <c r="X189" s="331">
        <f>+'HULP-velden'!$AM$204</f>
        <v>9.5</v>
      </c>
      <c r="Y189" s="331">
        <f>+'HULP-velden'!$AN$204</f>
        <v>19.5</v>
      </c>
      <c r="Z189" s="331">
        <f>+'HULP-velden'!$AO$204</f>
        <v>29.5</v>
      </c>
      <c r="AA189" s="331">
        <f>+'HULP-velden'!$AP$204</f>
        <v>39.5</v>
      </c>
    </row>
    <row r="190" spans="13:27" ht="15" customHeight="1" x14ac:dyDescent="0.25">
      <c r="M190" s="223"/>
      <c r="N190" s="223"/>
      <c r="O190" s="223"/>
      <c r="P190" s="223"/>
      <c r="Q190" s="223"/>
      <c r="R190" s="223"/>
      <c r="S190" s="226">
        <f>'HULP-velden'!$AE$205</f>
        <v>318000</v>
      </c>
      <c r="T190" s="223"/>
      <c r="U190" s="331">
        <f>+'HULP-velden'!$AJ$205</f>
        <v>-21</v>
      </c>
      <c r="V190" s="331">
        <f>+'HULP-velden'!$AK$205</f>
        <v>-11</v>
      </c>
      <c r="W190" s="331">
        <f>+'HULP-velden'!$AL$205</f>
        <v>-1</v>
      </c>
      <c r="X190" s="331">
        <f>+'HULP-velden'!$AM$205</f>
        <v>9</v>
      </c>
      <c r="Y190" s="331">
        <f>+'HULP-velden'!$AN$205</f>
        <v>19</v>
      </c>
      <c r="Z190" s="331">
        <f>+'HULP-velden'!$AO$205</f>
        <v>28.999999999999996</v>
      </c>
      <c r="AA190" s="331">
        <f>+'HULP-velden'!$AP$205</f>
        <v>39</v>
      </c>
    </row>
    <row r="191" spans="13:27" ht="15" customHeight="1" x14ac:dyDescent="0.25">
      <c r="M191" s="223"/>
      <c r="N191" s="223"/>
      <c r="O191" s="223"/>
      <c r="P191" s="223"/>
      <c r="Q191" s="223"/>
      <c r="R191" s="223"/>
      <c r="S191" s="226">
        <f>'HULP-velden'!$AE$206</f>
        <v>317000</v>
      </c>
      <c r="T191" s="223"/>
      <c r="U191" s="331">
        <f>+'HULP-velden'!$AJ$206</f>
        <v>-21.5</v>
      </c>
      <c r="V191" s="331">
        <f>+'HULP-velden'!$AK$206</f>
        <v>-11.5</v>
      </c>
      <c r="W191" s="331">
        <f>+'HULP-velden'!$AL$206</f>
        <v>-1.5</v>
      </c>
      <c r="X191" s="331">
        <f>+'HULP-velden'!$AM$206</f>
        <v>8.5</v>
      </c>
      <c r="Y191" s="331">
        <f>+'HULP-velden'!$AN$206</f>
        <v>18.5</v>
      </c>
      <c r="Z191" s="331">
        <f>+'HULP-velden'!$AO$206</f>
        <v>28.499999999999996</v>
      </c>
      <c r="AA191" s="331">
        <f>+'HULP-velden'!$AP$206</f>
        <v>38.5</v>
      </c>
    </row>
    <row r="192" spans="13:27" ht="15" customHeight="1" x14ac:dyDescent="0.25">
      <c r="M192" s="223"/>
      <c r="N192" s="223"/>
      <c r="O192" s="223"/>
      <c r="P192" s="223"/>
      <c r="Q192" s="223"/>
      <c r="R192" s="223"/>
      <c r="S192" s="226">
        <f>'HULP-velden'!$AE$207</f>
        <v>316000</v>
      </c>
      <c r="T192" s="223"/>
      <c r="U192" s="331">
        <f>+'HULP-velden'!$AJ$207</f>
        <v>-22</v>
      </c>
      <c r="V192" s="331">
        <f>+'HULP-velden'!$AK$207</f>
        <v>-12</v>
      </c>
      <c r="W192" s="331">
        <f>+'HULP-velden'!$AL$207</f>
        <v>-2</v>
      </c>
      <c r="X192" s="331">
        <f>+'HULP-velden'!$AM$207</f>
        <v>8</v>
      </c>
      <c r="Y192" s="331">
        <f>+'HULP-velden'!$AN$207</f>
        <v>18</v>
      </c>
      <c r="Z192" s="331">
        <f>+'HULP-velden'!$AO$207</f>
        <v>28.000000000000004</v>
      </c>
      <c r="AA192" s="331">
        <f>+'HULP-velden'!$AP$207</f>
        <v>38</v>
      </c>
    </row>
    <row r="193" spans="13:27" ht="15" customHeight="1" x14ac:dyDescent="0.25">
      <c r="M193" s="223"/>
      <c r="N193" s="223"/>
      <c r="O193" s="223"/>
      <c r="P193" s="223"/>
      <c r="Q193" s="223"/>
      <c r="R193" s="223"/>
      <c r="S193" s="226">
        <f>'HULP-velden'!$AE$208</f>
        <v>315000</v>
      </c>
      <c r="T193" s="223"/>
      <c r="U193" s="331">
        <f>+'HULP-velden'!$AJ$208</f>
        <v>-22.5</v>
      </c>
      <c r="V193" s="331">
        <f>+'HULP-velden'!$AK$208</f>
        <v>-12.5</v>
      </c>
      <c r="W193" s="331">
        <f>+'HULP-velden'!$AL$208</f>
        <v>-2.5</v>
      </c>
      <c r="X193" s="331">
        <f>+'HULP-velden'!$AM$208</f>
        <v>7.5</v>
      </c>
      <c r="Y193" s="331">
        <f>+'HULP-velden'!$AN$208</f>
        <v>17.5</v>
      </c>
      <c r="Z193" s="331">
        <f>+'HULP-velden'!$AO$208</f>
        <v>27.500000000000004</v>
      </c>
      <c r="AA193" s="331">
        <f>+'HULP-velden'!$AP$208</f>
        <v>37.5</v>
      </c>
    </row>
    <row r="194" spans="13:27" ht="15" customHeight="1" x14ac:dyDescent="0.25">
      <c r="M194" s="223"/>
      <c r="N194" s="223"/>
      <c r="O194" s="223"/>
      <c r="P194" s="223"/>
      <c r="Q194" s="223"/>
      <c r="R194" s="223"/>
      <c r="S194" s="226">
        <f>'HULP-velden'!$AE$209</f>
        <v>314000</v>
      </c>
      <c r="T194" s="223"/>
      <c r="U194" s="331">
        <f>+'HULP-velden'!$AJ$209</f>
        <v>-23</v>
      </c>
      <c r="V194" s="331">
        <f>+'HULP-velden'!$AK$209</f>
        <v>-13</v>
      </c>
      <c r="W194" s="331">
        <f>+'HULP-velden'!$AL$209</f>
        <v>-3</v>
      </c>
      <c r="X194" s="331">
        <f>+'HULP-velden'!$AM$209</f>
        <v>7.0000000000000009</v>
      </c>
      <c r="Y194" s="331">
        <f>+'HULP-velden'!$AN$209</f>
        <v>17</v>
      </c>
      <c r="Z194" s="331">
        <f>+'HULP-velden'!$AO$209</f>
        <v>27</v>
      </c>
      <c r="AA194" s="331">
        <f>+'HULP-velden'!$AP$209</f>
        <v>37</v>
      </c>
    </row>
    <row r="195" spans="13:27" ht="15" customHeight="1" x14ac:dyDescent="0.25">
      <c r="M195" s="223"/>
      <c r="N195" s="223"/>
      <c r="O195" s="223"/>
      <c r="P195" s="223"/>
      <c r="Q195" s="223"/>
      <c r="R195" s="223"/>
      <c r="S195" s="226">
        <f>'HULP-velden'!$AE$210</f>
        <v>313000</v>
      </c>
      <c r="T195" s="223"/>
      <c r="U195" s="331">
        <f>+'HULP-velden'!$AJ$210</f>
        <v>-23.5</v>
      </c>
      <c r="V195" s="331">
        <f>+'HULP-velden'!$AK$210</f>
        <v>-13.5</v>
      </c>
      <c r="W195" s="331">
        <f>+'HULP-velden'!$AL$210</f>
        <v>-3.5000000000000004</v>
      </c>
      <c r="X195" s="331">
        <f>+'HULP-velden'!$AM$210</f>
        <v>6.5</v>
      </c>
      <c r="Y195" s="331">
        <f>+'HULP-velden'!$AN$210</f>
        <v>16.5</v>
      </c>
      <c r="Z195" s="331">
        <f>+'HULP-velden'!$AO$210</f>
        <v>26.5</v>
      </c>
      <c r="AA195" s="331">
        <f>+'HULP-velden'!$AP$210</f>
        <v>36.5</v>
      </c>
    </row>
    <row r="196" spans="13:27" ht="15" customHeight="1" x14ac:dyDescent="0.25">
      <c r="M196" s="223"/>
      <c r="N196" s="223"/>
      <c r="O196" s="223"/>
      <c r="P196" s="223"/>
      <c r="Q196" s="223"/>
      <c r="R196" s="223"/>
      <c r="S196" s="226">
        <f>'HULP-velden'!$AE$211</f>
        <v>312000</v>
      </c>
      <c r="T196" s="223"/>
      <c r="U196" s="331">
        <f>+'HULP-velden'!$AJ$211</f>
        <v>-24</v>
      </c>
      <c r="V196" s="331">
        <f>+'HULP-velden'!$AK$211</f>
        <v>-14.000000000000002</v>
      </c>
      <c r="W196" s="331">
        <f>+'HULP-velden'!$AL$211</f>
        <v>-4</v>
      </c>
      <c r="X196" s="331">
        <f>+'HULP-velden'!$AM$211</f>
        <v>6</v>
      </c>
      <c r="Y196" s="331">
        <f>+'HULP-velden'!$AN$211</f>
        <v>16</v>
      </c>
      <c r="Z196" s="331">
        <f>+'HULP-velden'!$AO$211</f>
        <v>26</v>
      </c>
      <c r="AA196" s="331">
        <f>+'HULP-velden'!$AP$211</f>
        <v>36</v>
      </c>
    </row>
    <row r="197" spans="13:27" ht="15" customHeight="1" x14ac:dyDescent="0.25">
      <c r="M197" s="223"/>
      <c r="N197" s="223"/>
      <c r="O197" s="223"/>
      <c r="P197" s="223"/>
      <c r="Q197" s="223"/>
      <c r="R197" s="223"/>
      <c r="S197" s="226">
        <f>'HULP-velden'!$AE$212</f>
        <v>311000</v>
      </c>
      <c r="T197" s="223"/>
      <c r="U197" s="331">
        <f>+'HULP-velden'!$AJ$212</f>
        <v>-24.5</v>
      </c>
      <c r="V197" s="331">
        <f>+'HULP-velden'!$AK$212</f>
        <v>-14.499999999999998</v>
      </c>
      <c r="W197" s="331">
        <f>+'HULP-velden'!$AL$212</f>
        <v>-4.5</v>
      </c>
      <c r="X197" s="331">
        <f>+'HULP-velden'!$AM$212</f>
        <v>5.5</v>
      </c>
      <c r="Y197" s="331">
        <f>+'HULP-velden'!$AN$212</f>
        <v>15.5</v>
      </c>
      <c r="Z197" s="331">
        <f>+'HULP-velden'!$AO$212</f>
        <v>25.5</v>
      </c>
      <c r="AA197" s="331">
        <f>+'HULP-velden'!$AP$212</f>
        <v>35.5</v>
      </c>
    </row>
    <row r="198" spans="13:27" ht="15" customHeight="1" x14ac:dyDescent="0.25">
      <c r="M198" s="223"/>
      <c r="N198" s="223"/>
      <c r="O198" s="223"/>
      <c r="P198" s="223"/>
      <c r="Q198" s="223"/>
      <c r="R198" s="223"/>
      <c r="S198" s="226">
        <f>'HULP-velden'!$AE$213</f>
        <v>310000</v>
      </c>
      <c r="T198" s="223"/>
      <c r="U198" s="331">
        <f>+'HULP-velden'!$AJ$213</f>
        <v>-25</v>
      </c>
      <c r="V198" s="331">
        <f>+'HULP-velden'!$AK$213</f>
        <v>-15</v>
      </c>
      <c r="W198" s="331">
        <f>+'HULP-velden'!$AL$213</f>
        <v>-5</v>
      </c>
      <c r="X198" s="331">
        <f>+'HULP-velden'!$AM$213</f>
        <v>5</v>
      </c>
      <c r="Y198" s="331">
        <f>+'HULP-velden'!$AN$213</f>
        <v>15</v>
      </c>
      <c r="Z198" s="331">
        <f>+'HULP-velden'!$AO$213</f>
        <v>25</v>
      </c>
      <c r="AA198" s="331">
        <f>+'HULP-velden'!$AP$213</f>
        <v>35</v>
      </c>
    </row>
    <row r="199" spans="13:27" ht="15" customHeight="1" x14ac:dyDescent="0.25">
      <c r="M199" s="223"/>
      <c r="N199" s="223"/>
      <c r="O199" s="223"/>
      <c r="P199" s="223"/>
      <c r="Q199" s="223"/>
      <c r="R199" s="223"/>
      <c r="S199" s="226">
        <f>'HULP-velden'!$AE$214</f>
        <v>309000</v>
      </c>
      <c r="T199" s="223"/>
      <c r="U199" s="331">
        <f>+'HULP-velden'!$AJ$214</f>
        <v>-25.5</v>
      </c>
      <c r="V199" s="331">
        <f>+'HULP-velden'!$AK$214</f>
        <v>-15.5</v>
      </c>
      <c r="W199" s="331">
        <f>+'HULP-velden'!$AL$214</f>
        <v>-5.5</v>
      </c>
      <c r="X199" s="331">
        <f>+'HULP-velden'!$AM$214</f>
        <v>4.5</v>
      </c>
      <c r="Y199" s="331">
        <f>+'HULP-velden'!$AN$214</f>
        <v>14.499999999999998</v>
      </c>
      <c r="Z199" s="331">
        <f>+'HULP-velden'!$AO$214</f>
        <v>24.5</v>
      </c>
      <c r="AA199" s="331">
        <f>+'HULP-velden'!$AP$214</f>
        <v>34.5</v>
      </c>
    </row>
    <row r="200" spans="13:27" ht="15" customHeight="1" x14ac:dyDescent="0.25">
      <c r="M200" s="223"/>
      <c r="N200" s="223"/>
      <c r="O200" s="223"/>
      <c r="P200" s="223"/>
      <c r="Q200" s="223"/>
      <c r="R200" s="223"/>
      <c r="S200" s="226">
        <f>'HULP-velden'!$AE$215</f>
        <v>308000</v>
      </c>
      <c r="T200" s="223"/>
      <c r="U200" s="331">
        <f>+'HULP-velden'!$AJ$215</f>
        <v>-26</v>
      </c>
      <c r="V200" s="331">
        <f>+'HULP-velden'!$AK$215</f>
        <v>-16</v>
      </c>
      <c r="W200" s="331">
        <f>+'HULP-velden'!$AL$215</f>
        <v>-6</v>
      </c>
      <c r="X200" s="331">
        <f>+'HULP-velden'!$AM$215</f>
        <v>4</v>
      </c>
      <c r="Y200" s="331">
        <f>+'HULP-velden'!$AN$215</f>
        <v>14.000000000000002</v>
      </c>
      <c r="Z200" s="331">
        <f>+'HULP-velden'!$AO$215</f>
        <v>24</v>
      </c>
      <c r="AA200" s="331">
        <f>+'HULP-velden'!$AP$215</f>
        <v>34</v>
      </c>
    </row>
    <row r="201" spans="13:27" ht="15" customHeight="1" x14ac:dyDescent="0.25">
      <c r="M201" s="223"/>
      <c r="N201" s="223"/>
      <c r="O201" s="223"/>
      <c r="P201" s="223"/>
      <c r="Q201" s="223"/>
      <c r="R201" s="223"/>
      <c r="S201" s="226">
        <f>'HULP-velden'!$AE$216</f>
        <v>307000</v>
      </c>
      <c r="T201" s="223"/>
      <c r="U201" s="331">
        <f>+'HULP-velden'!$AJ$216</f>
        <v>-26.5</v>
      </c>
      <c r="V201" s="331">
        <f>+'HULP-velden'!$AK$216</f>
        <v>-16.5</v>
      </c>
      <c r="W201" s="331">
        <f>+'HULP-velden'!$AL$216</f>
        <v>-6.5</v>
      </c>
      <c r="X201" s="331">
        <f>+'HULP-velden'!$AM$216</f>
        <v>3.5000000000000004</v>
      </c>
      <c r="Y201" s="331">
        <f>+'HULP-velden'!$AN$216</f>
        <v>13.5</v>
      </c>
      <c r="Z201" s="331">
        <f>+'HULP-velden'!$AO$216</f>
        <v>23.5</v>
      </c>
      <c r="AA201" s="331">
        <f>+'HULP-velden'!$AP$216</f>
        <v>33.5</v>
      </c>
    </row>
    <row r="202" spans="13:27" ht="15" customHeight="1" x14ac:dyDescent="0.25">
      <c r="M202" s="223"/>
      <c r="N202" s="223"/>
      <c r="O202" s="223"/>
      <c r="P202" s="223"/>
      <c r="Q202" s="223"/>
      <c r="R202" s="223"/>
      <c r="S202" s="226">
        <f>'HULP-velden'!$AE$217</f>
        <v>306000</v>
      </c>
      <c r="T202" s="223"/>
      <c r="U202" s="331">
        <f>+'HULP-velden'!$AJ$217</f>
        <v>-27</v>
      </c>
      <c r="V202" s="331">
        <f>+'HULP-velden'!$AK$217</f>
        <v>-17</v>
      </c>
      <c r="W202" s="331">
        <f>+'HULP-velden'!$AL$217</f>
        <v>-7.0000000000000009</v>
      </c>
      <c r="X202" s="331">
        <f>+'HULP-velden'!$AM$217</f>
        <v>3</v>
      </c>
      <c r="Y202" s="331">
        <f>+'HULP-velden'!$AN$217</f>
        <v>13</v>
      </c>
      <c r="Z202" s="331">
        <f>+'HULP-velden'!$AO$217</f>
        <v>23</v>
      </c>
      <c r="AA202" s="331">
        <f>+'HULP-velden'!$AP$217</f>
        <v>33</v>
      </c>
    </row>
    <row r="203" spans="13:27" ht="15" customHeight="1" x14ac:dyDescent="0.25">
      <c r="M203" s="223"/>
      <c r="N203" s="223"/>
      <c r="O203" s="223"/>
      <c r="P203" s="223"/>
      <c r="Q203" s="223"/>
      <c r="R203" s="223"/>
      <c r="S203" s="226">
        <f>'HULP-velden'!$AE$218</f>
        <v>305000</v>
      </c>
      <c r="T203" s="223"/>
      <c r="U203" s="331">
        <f>+'HULP-velden'!$AJ$218</f>
        <v>-27.500000000000004</v>
      </c>
      <c r="V203" s="331">
        <f>+'HULP-velden'!$AK$218</f>
        <v>-17.5</v>
      </c>
      <c r="W203" s="331">
        <f>+'HULP-velden'!$AL$218</f>
        <v>-7.5</v>
      </c>
      <c r="X203" s="331">
        <f>+'HULP-velden'!$AM$218</f>
        <v>2.5</v>
      </c>
      <c r="Y203" s="331">
        <f>+'HULP-velden'!$AN$218</f>
        <v>12.5</v>
      </c>
      <c r="Z203" s="331">
        <f>+'HULP-velden'!$AO$218</f>
        <v>22.5</v>
      </c>
      <c r="AA203" s="331">
        <f>+'HULP-velden'!$AP$218</f>
        <v>32.5</v>
      </c>
    </row>
    <row r="204" spans="13:27" ht="15" customHeight="1" x14ac:dyDescent="0.25">
      <c r="M204" s="223"/>
      <c r="N204" s="223"/>
      <c r="O204" s="223"/>
      <c r="P204" s="223"/>
      <c r="Q204" s="223"/>
      <c r="R204" s="223"/>
      <c r="S204" s="226">
        <f>'HULP-velden'!$AE$219</f>
        <v>304000</v>
      </c>
      <c r="T204" s="223"/>
      <c r="U204" s="331">
        <f>+'HULP-velden'!$AJ$219</f>
        <v>-28.000000000000004</v>
      </c>
      <c r="V204" s="331">
        <f>+'HULP-velden'!$AK$219</f>
        <v>-18</v>
      </c>
      <c r="W204" s="331">
        <f>+'HULP-velden'!$AL$219</f>
        <v>-8</v>
      </c>
      <c r="X204" s="331">
        <f>+'HULP-velden'!$AM$219</f>
        <v>2</v>
      </c>
      <c r="Y204" s="331">
        <f>+'HULP-velden'!$AN$219</f>
        <v>12</v>
      </c>
      <c r="Z204" s="331">
        <f>+'HULP-velden'!$AO$219</f>
        <v>22</v>
      </c>
      <c r="AA204" s="331">
        <f>+'HULP-velden'!$AP$219</f>
        <v>32</v>
      </c>
    </row>
    <row r="205" spans="13:27" ht="15" customHeight="1" x14ac:dyDescent="0.25">
      <c r="M205" s="223"/>
      <c r="N205" s="223"/>
      <c r="O205" s="223"/>
      <c r="P205" s="223"/>
      <c r="Q205" s="223"/>
      <c r="R205" s="223"/>
      <c r="S205" s="226">
        <f>'HULP-velden'!$AE$220</f>
        <v>303000</v>
      </c>
      <c r="T205" s="223"/>
      <c r="U205" s="331">
        <f>+'HULP-velden'!$AJ$220</f>
        <v>-28.499999999999996</v>
      </c>
      <c r="V205" s="331">
        <f>+'HULP-velden'!$AK$220</f>
        <v>-18.5</v>
      </c>
      <c r="W205" s="331">
        <f>+'HULP-velden'!$AL$220</f>
        <v>-8.5</v>
      </c>
      <c r="X205" s="331">
        <f>+'HULP-velden'!$AM$220</f>
        <v>1.5</v>
      </c>
      <c r="Y205" s="331">
        <f>+'HULP-velden'!$AN$220</f>
        <v>11.5</v>
      </c>
      <c r="Z205" s="331">
        <f>+'HULP-velden'!$AO$220</f>
        <v>21.5</v>
      </c>
      <c r="AA205" s="331">
        <f>+'HULP-velden'!$AP$220</f>
        <v>31.5</v>
      </c>
    </row>
    <row r="206" spans="13:27" ht="15" customHeight="1" x14ac:dyDescent="0.25">
      <c r="M206" s="223"/>
      <c r="N206" s="223"/>
      <c r="O206" s="223"/>
      <c r="P206" s="223"/>
      <c r="Q206" s="223"/>
      <c r="R206" s="223"/>
      <c r="S206" s="226">
        <f>'HULP-velden'!$AE$221</f>
        <v>302000</v>
      </c>
      <c r="T206" s="223"/>
      <c r="U206" s="331">
        <f>+'HULP-velden'!$AJ$221</f>
        <v>-28.999999999999996</v>
      </c>
      <c r="V206" s="331">
        <f>+'HULP-velden'!$AK$221</f>
        <v>-19</v>
      </c>
      <c r="W206" s="331">
        <f>+'HULP-velden'!$AL$221</f>
        <v>-9</v>
      </c>
      <c r="X206" s="331">
        <f>+'HULP-velden'!$AM$221</f>
        <v>1</v>
      </c>
      <c r="Y206" s="331">
        <f>+'HULP-velden'!$AN$221</f>
        <v>11</v>
      </c>
      <c r="Z206" s="331">
        <f>+'HULP-velden'!$AO$221</f>
        <v>21</v>
      </c>
      <c r="AA206" s="331">
        <f>+'HULP-velden'!$AP$221</f>
        <v>31</v>
      </c>
    </row>
    <row r="207" spans="13:27" ht="15" customHeight="1" x14ac:dyDescent="0.25">
      <c r="M207" s="223"/>
      <c r="N207" s="223"/>
      <c r="O207" s="223"/>
      <c r="P207" s="223"/>
      <c r="Q207" s="223"/>
      <c r="R207" s="223"/>
      <c r="S207" s="226">
        <f>'HULP-velden'!$AE$222</f>
        <v>301000</v>
      </c>
      <c r="T207" s="223"/>
      <c r="U207" s="331">
        <f>+'HULP-velden'!$AJ$222</f>
        <v>-29.5</v>
      </c>
      <c r="V207" s="331">
        <f>+'HULP-velden'!$AK$222</f>
        <v>-19.5</v>
      </c>
      <c r="W207" s="331">
        <f>+'HULP-velden'!$AL$222</f>
        <v>-9.5</v>
      </c>
      <c r="X207" s="331">
        <f>+'HULP-velden'!$AM$222</f>
        <v>0.5</v>
      </c>
      <c r="Y207" s="331">
        <f>+'HULP-velden'!$AN$222</f>
        <v>10.5</v>
      </c>
      <c r="Z207" s="331">
        <f>+'HULP-velden'!$AO$222</f>
        <v>20.5</v>
      </c>
      <c r="AA207" s="331">
        <f>+'HULP-velden'!$AP$222</f>
        <v>30.5</v>
      </c>
    </row>
    <row r="208" spans="13:27" ht="15" customHeight="1" x14ac:dyDescent="0.25">
      <c r="M208" s="223"/>
      <c r="N208" s="223"/>
      <c r="O208" s="223"/>
      <c r="P208" s="223"/>
      <c r="Q208" s="223"/>
      <c r="R208" s="223"/>
      <c r="S208" s="226">
        <f>'HULP-velden'!$AE$223</f>
        <v>300000</v>
      </c>
      <c r="T208" s="223"/>
      <c r="U208" s="331">
        <f>+'HULP-velden'!$AJ$223</f>
        <v>-30</v>
      </c>
      <c r="V208" s="331">
        <f>+'HULP-velden'!$AK$223</f>
        <v>-20</v>
      </c>
      <c r="W208" s="331">
        <f>+'HULP-velden'!$AL$223</f>
        <v>-10</v>
      </c>
      <c r="X208" s="331">
        <f>+'HULP-velden'!$AM$223</f>
        <v>0</v>
      </c>
      <c r="Y208" s="331">
        <f>+'HULP-velden'!$AN$223</f>
        <v>10</v>
      </c>
      <c r="Z208" s="331">
        <f>+'HULP-velden'!$AO$223</f>
        <v>20</v>
      </c>
      <c r="AA208" s="331">
        <f>+'HULP-velden'!$AP$223</f>
        <v>30</v>
      </c>
    </row>
  </sheetData>
  <sheetProtection algorithmName="SHA-512" hashValue="wamijlS3PkJ0xLNP/5XbFbgYFyfbGBV51MNxoF2e5MXveGY4DvCvUXUUlnpLE0w2RDj8K7T96BADtIZ/DMAgeQ==" saltValue="Zv1nH5MMk/f06vD5jejjjA==" spinCount="100000" sheet="1" objects="1" scenarios="1"/>
  <pageMargins left="0.7" right="0.7" top="0.75" bottom="0.75" header="0.3" footer="0.3"/>
  <pageSetup paperSize="9" scale="6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1"/>
  <dimension ref="A1:CD512"/>
  <sheetViews>
    <sheetView showGridLines="0" topLeftCell="A13" zoomScale="85" zoomScaleNormal="85" workbookViewId="0">
      <selection activeCell="C25" sqref="C25"/>
    </sheetView>
  </sheetViews>
  <sheetFormatPr defaultColWidth="8.85546875" defaultRowHeight="14.25" x14ac:dyDescent="0.2"/>
  <cols>
    <col min="1" max="1" width="7" style="34" customWidth="1"/>
    <col min="2" max="2" width="31.140625" style="34" bestFit="1" customWidth="1"/>
    <col min="3" max="3" width="30" style="34" customWidth="1"/>
    <col min="4" max="4" width="24.140625" style="34" customWidth="1"/>
    <col min="5" max="5" width="33.42578125" style="34" customWidth="1"/>
    <col min="6" max="6" width="29.85546875" style="34" customWidth="1"/>
    <col min="7" max="7" width="29.5703125" style="34" customWidth="1"/>
    <col min="8" max="8" width="19.42578125" style="34" customWidth="1"/>
    <col min="9" max="9" width="18.85546875" style="34" customWidth="1"/>
    <col min="10" max="10" width="12" style="34" customWidth="1"/>
    <col min="11" max="11" width="13.85546875" style="34" customWidth="1"/>
    <col min="12" max="12" width="20.28515625" style="34" customWidth="1"/>
    <col min="13" max="13" width="25.85546875" style="34" customWidth="1"/>
    <col min="14" max="14" width="12.7109375" style="34" bestFit="1" customWidth="1"/>
    <col min="15" max="15" width="16.140625" style="34" customWidth="1"/>
    <col min="16" max="16" width="9" style="34" bestFit="1" customWidth="1"/>
    <col min="17" max="17" width="17.85546875" style="34" bestFit="1" customWidth="1"/>
    <col min="18" max="18" width="11.85546875" style="34" bestFit="1" customWidth="1"/>
    <col min="19" max="19" width="12.7109375" style="34" bestFit="1" customWidth="1"/>
    <col min="20" max="20" width="13.140625" style="34" customWidth="1"/>
    <col min="21" max="21" width="8.85546875" style="34"/>
    <col min="22" max="22" width="11.28515625" style="34" customWidth="1"/>
    <col min="23" max="23" width="14.140625" style="34" bestFit="1" customWidth="1"/>
    <col min="24" max="24" width="13.140625" style="34" customWidth="1"/>
    <col min="25" max="25" width="8.85546875" style="34"/>
    <col min="26" max="26" width="1.7109375" style="34" customWidth="1"/>
    <col min="27" max="27" width="20.42578125" style="34" bestFit="1" customWidth="1"/>
    <col min="28" max="28" width="17" style="34" customWidth="1"/>
    <col min="29" max="29" width="8.28515625" style="34" customWidth="1"/>
    <col min="30" max="30" width="15.5703125" style="34" customWidth="1"/>
    <col min="31" max="31" width="22.28515625" style="34" customWidth="1"/>
    <col min="32" max="33" width="17.85546875" style="34" bestFit="1" customWidth="1"/>
    <col min="34" max="35" width="12" style="34" customWidth="1"/>
    <col min="36" max="36" width="25.42578125" style="34" customWidth="1"/>
    <col min="37" max="37" width="22" style="34" customWidth="1"/>
    <col min="38" max="42" width="21.7109375" style="34" customWidth="1"/>
    <col min="43" max="44" width="8.85546875" style="34"/>
    <col min="45" max="45" width="17.85546875" style="34" bestFit="1" customWidth="1"/>
    <col min="46" max="46" width="23.85546875" style="34" customWidth="1"/>
    <col min="47" max="47" width="16.7109375" style="34" customWidth="1"/>
    <col min="48" max="48" width="8.85546875" style="34"/>
    <col min="49" max="49" width="23.85546875" style="34" customWidth="1"/>
    <col min="50" max="50" width="24.5703125" style="34" customWidth="1"/>
    <col min="51" max="51" width="9.140625" style="34" bestFit="1" customWidth="1"/>
    <col min="52" max="52" width="14.28515625" style="34" customWidth="1"/>
    <col min="53" max="54" width="8.85546875" style="34"/>
    <col min="55" max="55" width="17.85546875" style="34" bestFit="1" customWidth="1"/>
    <col min="56" max="56" width="21.42578125" style="34" customWidth="1"/>
    <col min="57" max="57" width="17.42578125" style="34" customWidth="1"/>
    <col min="58" max="58" width="8.85546875" style="34"/>
    <col min="59" max="59" width="20.85546875" style="34" customWidth="1"/>
    <col min="60" max="60" width="33.28515625" style="34" customWidth="1"/>
    <col min="61" max="61" width="35.85546875" style="34" customWidth="1"/>
    <col min="62" max="62" width="8.85546875" style="34"/>
    <col min="63" max="63" width="16.7109375" style="34" customWidth="1"/>
    <col min="64" max="65" width="28.5703125" style="34" customWidth="1"/>
    <col min="66" max="66" width="8.85546875" style="34"/>
    <col min="67" max="67" width="8.85546875" style="34" hidden="1" customWidth="1"/>
    <col min="68" max="68" width="23" style="34" hidden="1" customWidth="1"/>
    <col min="69" max="69" width="11.42578125" style="34" hidden="1" customWidth="1"/>
    <col min="70" max="70" width="8.85546875" style="34"/>
    <col min="71" max="82" width="20.7109375" style="34" customWidth="1"/>
    <col min="83" max="16384" width="8.85546875" style="34"/>
  </cols>
  <sheetData>
    <row r="1" spans="1:82" x14ac:dyDescent="0.2">
      <c r="A1" s="117"/>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29"/>
      <c r="AK1" s="29"/>
      <c r="AL1" s="261"/>
      <c r="AM1" s="261"/>
      <c r="AN1" s="117"/>
      <c r="AO1" s="29"/>
      <c r="AP1" s="29"/>
      <c r="AS1" s="204"/>
      <c r="AT1" s="187"/>
      <c r="BB1" s="34" t="s">
        <v>155</v>
      </c>
      <c r="BP1" s="34" t="s">
        <v>243</v>
      </c>
      <c r="BS1" s="280" t="s">
        <v>30</v>
      </c>
      <c r="BT1" s="280" t="s">
        <v>31</v>
      </c>
      <c r="BU1" s="280" t="s">
        <v>32</v>
      </c>
      <c r="BV1" s="280" t="s">
        <v>33</v>
      </c>
      <c r="BW1" s="280" t="s">
        <v>34</v>
      </c>
      <c r="BX1" s="280" t="s">
        <v>35</v>
      </c>
      <c r="BY1" s="280" t="s">
        <v>36</v>
      </c>
      <c r="BZ1" s="280" t="s">
        <v>37</v>
      </c>
      <c r="CA1" s="280" t="s">
        <v>38</v>
      </c>
      <c r="CB1" s="280" t="s">
        <v>39</v>
      </c>
      <c r="CC1" s="280" t="s">
        <v>40</v>
      </c>
      <c r="CD1" s="280" t="s">
        <v>41</v>
      </c>
    </row>
    <row r="2" spans="1:82" x14ac:dyDescent="0.2">
      <c r="A2" s="117"/>
      <c r="B2" s="117" t="s">
        <v>75</v>
      </c>
      <c r="C2" s="117"/>
      <c r="D2" s="117"/>
      <c r="E2" s="117"/>
      <c r="F2" s="117"/>
      <c r="G2" s="117"/>
      <c r="H2" s="117"/>
      <c r="I2" s="117"/>
      <c r="J2" s="117"/>
      <c r="K2" s="117"/>
      <c r="L2" s="29"/>
      <c r="M2" s="29"/>
      <c r="N2" s="29"/>
      <c r="O2" s="29"/>
      <c r="P2" s="29"/>
      <c r="Q2" s="29"/>
      <c r="R2" s="117"/>
      <c r="S2" s="117"/>
      <c r="T2" s="117"/>
      <c r="U2" s="117"/>
      <c r="V2" s="29"/>
      <c r="W2" s="29"/>
      <c r="X2" s="29"/>
      <c r="Y2" s="29"/>
      <c r="Z2" s="29"/>
      <c r="AA2" s="29"/>
      <c r="AB2" s="29"/>
      <c r="AC2" s="29"/>
      <c r="AD2" s="29"/>
      <c r="AE2" s="29"/>
      <c r="AF2" s="29"/>
      <c r="AG2" s="29"/>
      <c r="AH2" s="29"/>
      <c r="AI2" s="29"/>
      <c r="AJ2" s="29"/>
      <c r="AK2" s="29"/>
      <c r="AL2" s="29"/>
      <c r="AM2" s="29"/>
      <c r="AN2" s="29"/>
      <c r="AO2" s="29"/>
      <c r="AP2" s="29"/>
      <c r="AQ2" s="24"/>
      <c r="AR2" s="24"/>
      <c r="AS2" s="24"/>
      <c r="AT2" s="24" t="s">
        <v>225</v>
      </c>
      <c r="AU2" s="24"/>
      <c r="AW2" s="175">
        <f>+C8</f>
        <v>400000</v>
      </c>
      <c r="AX2" s="187" t="str">
        <f>TEXT(AW2,"€#.##0,00")</f>
        <v>€400.000,00</v>
      </c>
      <c r="BA2" s="34" t="s">
        <v>155</v>
      </c>
      <c r="BC2" s="194">
        <f>Dashboard!H20</f>
        <v>500</v>
      </c>
      <c r="BD2" s="187" t="str">
        <f>TEXT(BC2,"#.##0,0")</f>
        <v>500,0</v>
      </c>
      <c r="BF2" s="34" t="s">
        <v>78</v>
      </c>
      <c r="BH2" s="176" t="str">
        <f>'Info BD'!L7</f>
        <v>4</v>
      </c>
      <c r="BI2" s="187" t="str">
        <f>TEXT(BH2,"#.##0")</f>
        <v>4</v>
      </c>
      <c r="BK2" s="34" t="s">
        <v>74</v>
      </c>
      <c r="BL2" s="188">
        <f>Dashboard!H22</f>
        <v>0</v>
      </c>
      <c r="BM2" s="187" t="str">
        <f>TEXT(BL2,"#.##0")</f>
        <v>0</v>
      </c>
      <c r="BO2" s="280" t="s">
        <v>30</v>
      </c>
      <c r="BP2" s="175">
        <f>IF(Scenarioanalyse!E8="nee","",F124)</f>
        <v>500000</v>
      </c>
      <c r="BQ2" s="34">
        <f>IF(Scenarioanalyse!E8="nee","",L124)</f>
        <v>95</v>
      </c>
      <c r="BS2" s="175">
        <f>F124</f>
        <v>500000</v>
      </c>
      <c r="BT2" s="175">
        <f>F125</f>
        <v>481818.18181818182</v>
      </c>
      <c r="BU2" s="175">
        <f>F126</f>
        <v>463636.36363636365</v>
      </c>
      <c r="BV2" s="175">
        <f>F127</f>
        <v>445454.54545454547</v>
      </c>
      <c r="BW2" s="175">
        <f>F128</f>
        <v>427272.72727272729</v>
      </c>
      <c r="BX2" s="175">
        <f>F129</f>
        <v>409090.90909090912</v>
      </c>
      <c r="BY2" s="175">
        <f>F130</f>
        <v>390909.09090909094</v>
      </c>
      <c r="BZ2" s="175">
        <f>F131</f>
        <v>372727.27272727276</v>
      </c>
      <c r="CA2" s="175">
        <f>F132</f>
        <v>354545.45454545459</v>
      </c>
      <c r="CB2" s="175">
        <f>F133</f>
        <v>336363.63636363641</v>
      </c>
      <c r="CC2" s="175">
        <f>F134</f>
        <v>318181.81818181823</v>
      </c>
      <c r="CD2" s="175">
        <f>F135</f>
        <v>300000.00000000006</v>
      </c>
    </row>
    <row r="3" spans="1:82" x14ac:dyDescent="0.2">
      <c r="A3" s="117"/>
      <c r="B3" s="117"/>
      <c r="C3" s="117"/>
      <c r="D3" s="117"/>
      <c r="E3" s="117"/>
      <c r="F3" s="117"/>
      <c r="G3" s="117"/>
      <c r="H3" s="117"/>
      <c r="I3" s="117"/>
      <c r="J3" s="117"/>
      <c r="K3" s="117"/>
      <c r="L3" s="20"/>
      <c r="M3" s="20"/>
      <c r="N3" s="20"/>
      <c r="O3" s="20"/>
      <c r="P3" s="20"/>
      <c r="Q3" s="20"/>
      <c r="R3" s="117"/>
      <c r="S3" s="117"/>
      <c r="T3" s="117"/>
      <c r="U3" s="117"/>
      <c r="V3" s="20"/>
      <c r="W3" s="20"/>
      <c r="X3" s="20"/>
      <c r="Y3" s="20"/>
      <c r="Z3" s="20"/>
      <c r="AA3" s="20"/>
      <c r="AB3" s="20"/>
      <c r="AC3" s="20"/>
      <c r="AD3" s="20"/>
      <c r="AE3" s="20"/>
      <c r="AF3" s="20"/>
      <c r="AG3" s="20"/>
      <c r="AH3" s="20"/>
      <c r="AI3" s="20"/>
      <c r="AJ3" s="20"/>
      <c r="AK3" s="20"/>
      <c r="AL3" s="20"/>
      <c r="AM3" s="20"/>
      <c r="AN3" s="20"/>
      <c r="AO3" s="20"/>
      <c r="AP3" s="20"/>
      <c r="AQ3" s="2"/>
      <c r="AR3" s="2"/>
      <c r="AS3" s="2"/>
      <c r="AT3" s="2" t="s">
        <v>9</v>
      </c>
      <c r="AU3" s="2"/>
      <c r="AW3" s="188">
        <f>+C6</f>
        <v>500</v>
      </c>
      <c r="AX3" s="187" t="str">
        <f>TEXT(AW3,"#.##0")</f>
        <v>500</v>
      </c>
      <c r="BA3" s="34" t="s">
        <v>153</v>
      </c>
      <c r="BC3" s="194">
        <f>AN19</f>
        <v>550</v>
      </c>
      <c r="BD3" s="187" t="str">
        <f>TEXT(BC3,"#.##0,0")</f>
        <v>550,0</v>
      </c>
      <c r="BF3" s="34" t="s">
        <v>45</v>
      </c>
      <c r="BH3" s="142">
        <f>+'Info BD'!L8</f>
        <v>379000</v>
      </c>
      <c r="BI3" s="187" t="str">
        <f>TEXT(BH3,"€#.##0,00")</f>
        <v>€379.000,00</v>
      </c>
      <c r="BM3" s="187"/>
      <c r="BO3" s="280" t="s">
        <v>31</v>
      </c>
      <c r="BP3" s="175">
        <f>IF(Scenarioanalyse!E9="nee","",F125)</f>
        <v>481818.18181818182</v>
      </c>
      <c r="BQ3" s="34">
        <f>IF(Scenarioanalyse!E9="nee","",L125)</f>
        <v>87.272000000000006</v>
      </c>
      <c r="BS3" s="174">
        <f>L124</f>
        <v>95</v>
      </c>
      <c r="BT3" s="174">
        <f>L125</f>
        <v>87.272000000000006</v>
      </c>
      <c r="BU3" s="174">
        <f>L126</f>
        <v>79.546000000000006</v>
      </c>
      <c r="BV3" s="174">
        <f>L127</f>
        <v>71.817999999999998</v>
      </c>
      <c r="BW3" s="174">
        <f>L128</f>
        <v>64.09</v>
      </c>
      <c r="BX3" s="174">
        <f>L129</f>
        <v>56.364000000000004</v>
      </c>
      <c r="BY3" s="174">
        <f>L130</f>
        <v>48.636000000000003</v>
      </c>
      <c r="BZ3" s="174">
        <f>L131</f>
        <v>40.910000000000004</v>
      </c>
      <c r="CA3" s="174">
        <f>L132</f>
        <v>33.182000000000002</v>
      </c>
      <c r="CB3" s="174">
        <f>L133</f>
        <v>25.454000000000001</v>
      </c>
      <c r="CC3" s="174">
        <f>L134</f>
        <v>17.728000000000002</v>
      </c>
      <c r="CD3" s="174">
        <f>L135</f>
        <v>10</v>
      </c>
    </row>
    <row r="4" spans="1:82" x14ac:dyDescent="0.2">
      <c r="L4" s="2"/>
      <c r="M4" s="2"/>
      <c r="N4" s="2"/>
      <c r="O4" s="2"/>
      <c r="P4" s="2"/>
      <c r="Q4" s="2"/>
      <c r="V4" s="2"/>
      <c r="W4" s="2"/>
      <c r="X4" s="2"/>
      <c r="Y4" s="2"/>
      <c r="Z4" s="2"/>
      <c r="AA4" s="118"/>
      <c r="AB4" s="2"/>
      <c r="AC4" s="118" t="s">
        <v>6</v>
      </c>
      <c r="AD4" s="118"/>
      <c r="AE4" s="118"/>
      <c r="AF4" s="118"/>
      <c r="AG4" s="118"/>
      <c r="AH4" s="118"/>
      <c r="AI4" s="118"/>
      <c r="AJ4" s="118"/>
      <c r="AK4" s="2"/>
      <c r="AL4" s="262"/>
      <c r="AM4" s="2"/>
      <c r="AN4" s="2"/>
      <c r="AO4" s="2"/>
      <c r="AP4" s="2"/>
      <c r="AT4" s="34" t="s">
        <v>269</v>
      </c>
      <c r="AW4" s="34">
        <f>+C12</f>
        <v>250</v>
      </c>
      <c r="AX4" s="187" t="str">
        <f>TEXT(AW4,"#.##0,0")</f>
        <v>250,0</v>
      </c>
      <c r="BA4" s="34" t="s">
        <v>151</v>
      </c>
      <c r="BC4" s="194">
        <f>+AO19</f>
        <v>600</v>
      </c>
      <c r="BD4" s="187" t="str">
        <f>TEXT(BC4,"#.##0,0")</f>
        <v>600,0</v>
      </c>
      <c r="BF4" s="34" t="s">
        <v>156</v>
      </c>
      <c r="BH4" s="174">
        <f>+'Info BD'!L10</f>
        <v>425</v>
      </c>
      <c r="BI4" s="187" t="str">
        <f>TEXT(BH4,"#.##0,0")</f>
        <v>425,0</v>
      </c>
      <c r="BO4" s="280" t="s">
        <v>32</v>
      </c>
      <c r="BP4" s="175">
        <f>IF(Scenarioanalyse!E10="nee","",F126)</f>
        <v>463636.36363636365</v>
      </c>
      <c r="BQ4" s="34">
        <f>IF(Scenarioanalyse!E10="nee","",L126)</f>
        <v>79.546000000000006</v>
      </c>
    </row>
    <row r="5" spans="1:82" x14ac:dyDescent="0.2">
      <c r="B5" s="102" t="s">
        <v>138</v>
      </c>
      <c r="C5" s="203">
        <f>IF(Dashboard!G9="Nee",0,Dashboard!G14)</f>
        <v>0</v>
      </c>
      <c r="D5" s="101">
        <f>(1+C5)*Dashboard!H15</f>
        <v>300000</v>
      </c>
      <c r="E5" s="102" t="s">
        <v>276</v>
      </c>
      <c r="G5" s="324" t="s">
        <v>214</v>
      </c>
      <c r="H5" s="329">
        <f>C6</f>
        <v>500</v>
      </c>
      <c r="K5" s="34" t="s">
        <v>109</v>
      </c>
      <c r="L5" s="447" t="str">
        <f>Dashboard!E6</f>
        <v>Test</v>
      </c>
      <c r="M5" s="2"/>
      <c r="N5" s="2"/>
      <c r="O5" s="2"/>
      <c r="P5" s="2"/>
      <c r="Q5" s="2"/>
      <c r="V5" s="2"/>
      <c r="W5" s="2"/>
      <c r="X5" s="2"/>
      <c r="Y5" s="2"/>
      <c r="Z5" s="2"/>
      <c r="AA5" s="2"/>
      <c r="AB5" s="2"/>
      <c r="AC5" s="2"/>
      <c r="AD5" s="2"/>
      <c r="AE5" s="2"/>
      <c r="AF5" s="2"/>
      <c r="AG5" s="2"/>
      <c r="AH5" s="2"/>
      <c r="AI5" s="2"/>
      <c r="AJ5" s="2"/>
      <c r="AK5" s="2"/>
      <c r="AN5" s="2"/>
      <c r="AO5" s="2"/>
      <c r="AP5" s="2"/>
      <c r="AT5" s="34" t="s">
        <v>270</v>
      </c>
      <c r="AW5" s="34">
        <f>C164</f>
        <v>250</v>
      </c>
      <c r="AX5" s="187" t="str">
        <f>TEXT(AW5,"#.##0,0")</f>
        <v>250,0</v>
      </c>
      <c r="AY5" s="314">
        <f>+AX4+AX5</f>
        <v>500</v>
      </c>
      <c r="AZ5" s="187" t="str">
        <f>TEXT(AY5,"#.##0,0")</f>
        <v>500,0</v>
      </c>
      <c r="BA5" s="34" t="s">
        <v>152</v>
      </c>
      <c r="BC5" s="194">
        <f>+AP19</f>
        <v>650</v>
      </c>
      <c r="BD5" s="187" t="str">
        <f>TEXT(BC5,"#.##0,0")</f>
        <v>650,0</v>
      </c>
      <c r="BF5" s="34" t="s">
        <v>160</v>
      </c>
      <c r="BH5" s="174"/>
      <c r="BI5" s="187"/>
      <c r="BK5" s="34" t="s">
        <v>197</v>
      </c>
      <c r="BL5" s="34">
        <f>+BC2/10^AW8</f>
        <v>50</v>
      </c>
      <c r="BM5" s="187" t="str">
        <f>TEXT(BL5,"#.##0,000#########################")</f>
        <v>50,000</v>
      </c>
      <c r="BO5" s="280" t="s">
        <v>33</v>
      </c>
      <c r="BP5" s="175">
        <f>IF(Scenarioanalyse!E11="nee","",F127)</f>
        <v>445454.54545454547</v>
      </c>
      <c r="BQ5" s="34">
        <f>IF(Scenarioanalyse!E11="nee","",L127)</f>
        <v>71.817999999999998</v>
      </c>
    </row>
    <row r="6" spans="1:82" x14ac:dyDescent="0.2">
      <c r="B6" s="102" t="s">
        <v>9</v>
      </c>
      <c r="C6" s="119">
        <f>Dashboard!H10</f>
        <v>500</v>
      </c>
      <c r="D6" s="24" t="s">
        <v>9</v>
      </c>
      <c r="E6" s="152" t="str">
        <f>Dashboard!F7</f>
        <v>Machtsformule</v>
      </c>
      <c r="G6" s="325" t="s">
        <v>215</v>
      </c>
      <c r="H6" s="31">
        <f>C6/C10*C11</f>
        <v>500</v>
      </c>
      <c r="I6" s="153">
        <f>IF(H6&lt;&gt;ROUND(H6,0),1,0)</f>
        <v>0</v>
      </c>
      <c r="K6" s="34" t="s">
        <v>12</v>
      </c>
      <c r="L6" s="447" t="str">
        <f>Dashboard!E7</f>
        <v>IUC26-001</v>
      </c>
      <c r="M6" s="2"/>
      <c r="N6" s="2"/>
      <c r="O6" s="2"/>
      <c r="P6" s="2"/>
      <c r="Q6" s="2"/>
      <c r="V6" s="2"/>
      <c r="W6" s="2"/>
      <c r="X6" s="2"/>
      <c r="Y6" s="2"/>
      <c r="Z6" s="2"/>
      <c r="AA6" s="2"/>
      <c r="AB6" s="2"/>
      <c r="AC6" s="2"/>
      <c r="AD6" s="2"/>
      <c r="AE6" s="2"/>
      <c r="AF6" s="2"/>
      <c r="AG6" s="2"/>
      <c r="AH6" s="2"/>
      <c r="AI6" s="2"/>
      <c r="AJ6" s="2"/>
      <c r="AK6" s="2"/>
      <c r="AN6" s="2"/>
      <c r="AO6" s="2"/>
      <c r="AP6" s="2"/>
      <c r="AT6" s="34" t="s">
        <v>7</v>
      </c>
      <c r="AW6" s="190">
        <f>+C10</f>
        <v>0.5</v>
      </c>
      <c r="AX6" s="187" t="str">
        <f>TEXT(AW6,"#.##0%")</f>
        <v>50%</v>
      </c>
      <c r="BA6" s="34" t="s">
        <v>130</v>
      </c>
      <c r="BC6" s="34">
        <v>100</v>
      </c>
      <c r="BD6" s="187" t="str">
        <f>TEXT(BC6,"#.##0")</f>
        <v>100</v>
      </c>
      <c r="BF6" s="34" t="s">
        <v>46</v>
      </c>
      <c r="BH6" s="201">
        <f>'Info BD'!L11</f>
        <v>727.5</v>
      </c>
      <c r="BI6" s="187" t="str">
        <f>TEXT(BH6,"#.##0,0")</f>
        <v>727,5</v>
      </c>
      <c r="BK6" s="34" t="s">
        <v>226</v>
      </c>
      <c r="BL6" s="175">
        <f>C17</f>
        <v>500000</v>
      </c>
      <c r="BM6" s="187" t="str">
        <f>TEXT(BL6,"€#.##0,00")</f>
        <v>€500.000,00</v>
      </c>
      <c r="BO6" s="280" t="s">
        <v>34</v>
      </c>
      <c r="BP6" s="175">
        <f>IF(Scenarioanalyse!E12="nee","",F128)</f>
        <v>427272.72727272729</v>
      </c>
      <c r="BQ6" s="34">
        <f>IF(Scenarioanalyse!E12="nee","",L128)</f>
        <v>64.09</v>
      </c>
    </row>
    <row r="7" spans="1:82" x14ac:dyDescent="0.2">
      <c r="B7" s="102" t="s">
        <v>92</v>
      </c>
      <c r="C7" s="34">
        <f>+C6/20</f>
        <v>25</v>
      </c>
      <c r="G7" s="326" t="s">
        <v>207</v>
      </c>
      <c r="H7" s="330">
        <f>Dashboard!H16</f>
        <v>1</v>
      </c>
      <c r="L7" s="2"/>
      <c r="M7" s="2"/>
      <c r="N7" s="2"/>
      <c r="O7" s="2"/>
      <c r="P7" s="2"/>
      <c r="Q7" s="2"/>
      <c r="V7" s="2"/>
      <c r="W7" s="2"/>
      <c r="X7" s="2"/>
      <c r="Y7" s="2"/>
      <c r="Z7" s="2"/>
      <c r="AA7" s="2"/>
      <c r="AB7" s="2"/>
      <c r="AC7" s="2"/>
      <c r="AD7" s="2"/>
      <c r="AE7" s="2"/>
      <c r="AF7" s="2"/>
      <c r="AG7" s="2"/>
      <c r="AH7" s="2"/>
      <c r="AI7" s="2"/>
      <c r="AJ7" s="2"/>
      <c r="AK7" s="2"/>
      <c r="AN7" s="2"/>
      <c r="AO7" s="2"/>
      <c r="AP7" s="2"/>
      <c r="AT7" s="34" t="s">
        <v>8</v>
      </c>
      <c r="AW7" s="190">
        <f>+C11</f>
        <v>0.5</v>
      </c>
      <c r="AX7" s="187" t="str">
        <f>TEXT(AW7,"#.##0%")</f>
        <v>50%</v>
      </c>
      <c r="AY7" s="191"/>
      <c r="BA7" s="34" t="s">
        <v>21</v>
      </c>
      <c r="BC7" s="34">
        <f>BC6+(1+Dashboard!G14)*BC6</f>
        <v>200</v>
      </c>
      <c r="BD7" s="187" t="str">
        <f>TEXT(BC7,"#.##0")</f>
        <v>200</v>
      </c>
      <c r="BF7" s="34" t="s">
        <v>162</v>
      </c>
      <c r="BH7" s="34">
        <f>VLOOKUP(2,A$41:$F$46,6,FALSE)</f>
        <v>713</v>
      </c>
      <c r="BI7" s="187" t="str">
        <f>TEXT(BH7,"#.##0,0")</f>
        <v>713,0</v>
      </c>
      <c r="BK7" s="34" t="s">
        <v>227</v>
      </c>
      <c r="BL7" s="175">
        <f>C14</f>
        <v>300000</v>
      </c>
      <c r="BM7" s="187" t="str">
        <f>TEXT(BL7,"€#.##0,00")</f>
        <v>€300.000,00</v>
      </c>
      <c r="BO7" s="280" t="s">
        <v>35</v>
      </c>
      <c r="BP7" s="175">
        <f>IF(Scenarioanalyse!E13="nee","",F129)</f>
        <v>409090.90909090912</v>
      </c>
      <c r="BQ7" s="34">
        <f>IF(Scenarioanalyse!E13="nee","",L129)</f>
        <v>56.364000000000004</v>
      </c>
    </row>
    <row r="8" spans="1:82" x14ac:dyDescent="0.2">
      <c r="B8" s="102" t="s">
        <v>71</v>
      </c>
      <c r="C8" s="121">
        <f>IF(+Dashboard!H18=0,C14,+Dashboard!H18)</f>
        <v>400000</v>
      </c>
      <c r="D8" s="24" t="s">
        <v>19</v>
      </c>
      <c r="E8" s="34" t="s">
        <v>328</v>
      </c>
      <c r="F8" s="384">
        <v>0</v>
      </c>
      <c r="G8" s="326" t="s">
        <v>216</v>
      </c>
      <c r="H8" s="327">
        <f>+C12</f>
        <v>250</v>
      </c>
      <c r="L8" s="2"/>
      <c r="M8" s="2"/>
      <c r="N8" s="2"/>
      <c r="O8" s="2"/>
      <c r="P8" s="2"/>
      <c r="Q8" s="2"/>
      <c r="V8" s="2"/>
      <c r="W8" s="2"/>
      <c r="X8" s="2"/>
      <c r="Y8" s="2"/>
      <c r="Z8" s="2"/>
      <c r="AA8" s="2"/>
      <c r="AB8" s="2"/>
      <c r="AC8" s="2"/>
      <c r="AD8" s="2"/>
      <c r="AE8" s="2"/>
      <c r="AF8" s="2"/>
      <c r="AG8" s="2"/>
      <c r="AH8" s="2"/>
      <c r="AI8" s="2"/>
      <c r="AJ8" s="2"/>
      <c r="AK8" s="2"/>
      <c r="AL8" s="2"/>
      <c r="AM8" s="2"/>
      <c r="AN8" s="2"/>
      <c r="AO8" s="2"/>
      <c r="AP8" s="2"/>
      <c r="AT8" s="34" t="s">
        <v>150</v>
      </c>
      <c r="AW8" s="398">
        <f>C16</f>
        <v>1</v>
      </c>
      <c r="AX8" s="187" t="str">
        <f>TEXT(AW8,"#.##0,0")</f>
        <v>1,0</v>
      </c>
      <c r="AY8" s="187"/>
      <c r="BA8" s="34" t="s">
        <v>169</v>
      </c>
      <c r="BC8" s="34">
        <f>+BC7-BC6</f>
        <v>100</v>
      </c>
      <c r="BD8" s="187" t="str">
        <f>TEXT(BC8,"#.##0")</f>
        <v>100</v>
      </c>
      <c r="BF8" s="34" t="s">
        <v>163</v>
      </c>
      <c r="BH8" s="34">
        <f>VLOOKUP(5,A$41:$F$46,6,FALSE)</f>
        <v>625.5</v>
      </c>
      <c r="BI8" s="187" t="str">
        <f>TEXT(BH8,"#.##0,0")</f>
        <v>625,5</v>
      </c>
      <c r="BK8" s="34" t="s">
        <v>215</v>
      </c>
      <c r="BL8" s="34">
        <f>H6</f>
        <v>500</v>
      </c>
      <c r="BM8" s="187" t="str">
        <f>TEXT($BL$8,"#.##0")</f>
        <v>500</v>
      </c>
      <c r="BO8" s="280" t="s">
        <v>36</v>
      </c>
      <c r="BP8" s="175">
        <f>IF(Scenarioanalyse!E14="nee","",F130)</f>
        <v>390909.09090909094</v>
      </c>
      <c r="BQ8" s="34">
        <f>IF(Scenarioanalyse!E14="nee","",L130)</f>
        <v>48.636000000000003</v>
      </c>
    </row>
    <row r="9" spans="1:82" x14ac:dyDescent="0.2">
      <c r="B9" s="102" t="s">
        <v>212</v>
      </c>
      <c r="C9" s="135" t="b">
        <v>1</v>
      </c>
      <c r="D9" s="122"/>
      <c r="E9" s="34" t="s">
        <v>329</v>
      </c>
      <c r="F9" s="384">
        <v>0.4</v>
      </c>
      <c r="G9" s="326" t="s">
        <v>217</v>
      </c>
      <c r="H9" s="328">
        <f>C164</f>
        <v>250</v>
      </c>
      <c r="L9" s="20"/>
      <c r="M9" s="20"/>
      <c r="N9" s="20"/>
      <c r="O9" s="20"/>
      <c r="P9" s="20"/>
      <c r="Q9" s="20"/>
      <c r="R9" s="117"/>
      <c r="S9" s="117"/>
      <c r="T9" s="117"/>
      <c r="U9" s="117"/>
      <c r="V9" s="20"/>
      <c r="W9" s="20"/>
      <c r="X9" s="20"/>
      <c r="Y9" s="20"/>
      <c r="Z9" s="20"/>
      <c r="AA9" s="20"/>
      <c r="AB9" s="20"/>
      <c r="AC9" s="20"/>
      <c r="AD9" s="20"/>
      <c r="AE9" s="20"/>
      <c r="AF9" s="20"/>
      <c r="AG9" s="20"/>
      <c r="AH9" s="20"/>
      <c r="AI9" s="20"/>
      <c r="AJ9" s="20"/>
      <c r="AK9" s="20"/>
      <c r="AL9" s="20"/>
      <c r="AM9" s="20"/>
      <c r="AN9" s="20"/>
      <c r="AO9" s="20"/>
      <c r="AP9" s="20"/>
      <c r="AT9" s="20"/>
      <c r="AU9" s="20"/>
      <c r="AV9" s="20"/>
      <c r="AW9" s="20"/>
      <c r="AX9" s="20"/>
      <c r="AY9" s="20"/>
      <c r="AZ9" s="20"/>
      <c r="BA9" s="20"/>
      <c r="BB9" s="20"/>
      <c r="BC9" s="20"/>
      <c r="BD9" s="20"/>
      <c r="BE9" s="20"/>
      <c r="BF9" s="20"/>
      <c r="BG9" s="20"/>
      <c r="BH9" s="20"/>
      <c r="BI9" s="20"/>
      <c r="BJ9" s="20"/>
      <c r="BK9" s="34" t="s">
        <v>284</v>
      </c>
      <c r="BL9" s="188">
        <f>H5</f>
        <v>500</v>
      </c>
      <c r="BM9" s="187" t="str">
        <f>TEXT(BL9,"#.##0")</f>
        <v>500</v>
      </c>
      <c r="BO9" s="280" t="s">
        <v>37</v>
      </c>
      <c r="BP9" s="175">
        <f>IF(Scenarioanalyse!E15="nee","",F131)</f>
        <v>372727.27272727276</v>
      </c>
      <c r="BQ9" s="34">
        <f>IF(Scenarioanalyse!E15="nee","",L131)</f>
        <v>40.910000000000004</v>
      </c>
    </row>
    <row r="10" spans="1:82" x14ac:dyDescent="0.2">
      <c r="B10" s="102" t="s">
        <v>7</v>
      </c>
      <c r="C10" s="166">
        <f>Dashboard!H12</f>
        <v>0.5</v>
      </c>
      <c r="D10" s="122"/>
      <c r="E10" s="2"/>
      <c r="F10" s="2"/>
      <c r="G10" s="326"/>
      <c r="H10" s="328">
        <f>SUM(H8:H9)</f>
        <v>500</v>
      </c>
      <c r="L10" s="86" t="s">
        <v>91</v>
      </c>
      <c r="M10" s="137"/>
      <c r="N10" s="137"/>
      <c r="O10" s="137"/>
      <c r="P10" s="137"/>
      <c r="Q10" s="137"/>
      <c r="R10" s="117"/>
      <c r="S10" s="117"/>
      <c r="T10" s="117"/>
      <c r="U10" s="117"/>
      <c r="V10" s="137"/>
      <c r="W10" s="137"/>
      <c r="X10" s="137"/>
      <c r="Y10" s="137"/>
      <c r="Z10" s="137"/>
      <c r="AA10" s="137"/>
      <c r="AB10" s="137"/>
      <c r="AC10" s="137"/>
      <c r="AD10" s="137"/>
      <c r="AE10" s="137"/>
      <c r="AF10" s="137"/>
      <c r="AG10" s="137"/>
      <c r="AH10" s="137"/>
      <c r="AI10" s="137"/>
      <c r="AJ10" s="137"/>
      <c r="AK10" s="137"/>
      <c r="AL10" s="137"/>
      <c r="AM10" s="137"/>
      <c r="AN10" s="137"/>
      <c r="AO10" s="137"/>
      <c r="AP10" s="137"/>
      <c r="AT10" s="137"/>
      <c r="AU10" s="137" t="s">
        <v>148</v>
      </c>
      <c r="AV10" s="137"/>
      <c r="AW10" s="137"/>
      <c r="AX10" s="137"/>
      <c r="AY10" s="137"/>
      <c r="AZ10" s="137"/>
      <c r="BA10" s="137"/>
      <c r="BB10" s="137"/>
      <c r="BC10" s="137"/>
      <c r="BD10" s="137"/>
      <c r="BE10" s="137"/>
      <c r="BF10" s="137"/>
      <c r="BG10" s="137"/>
      <c r="BH10" s="137"/>
      <c r="BI10" s="137"/>
      <c r="BJ10" s="137"/>
      <c r="BK10" s="34" t="s">
        <v>285</v>
      </c>
      <c r="BL10" s="34">
        <f>SUM(BL8:BL9)</f>
        <v>1000</v>
      </c>
      <c r="BM10" s="187" t="str">
        <f>TEXT(BL10,"#.##0")</f>
        <v>1.000</v>
      </c>
      <c r="BO10" s="280" t="s">
        <v>38</v>
      </c>
      <c r="BP10" s="175">
        <f>IF(Scenarioanalyse!E16="nee","",F132)</f>
        <v>354545.45454545459</v>
      </c>
      <c r="BQ10" s="34">
        <f>IF(Scenarioanalyse!E16="nee","",L132)</f>
        <v>33.182000000000002</v>
      </c>
    </row>
    <row r="11" spans="1:82" x14ac:dyDescent="0.2">
      <c r="B11" s="103" t="s">
        <v>8</v>
      </c>
      <c r="C11" s="166">
        <f>1-C10</f>
        <v>0.5</v>
      </c>
      <c r="D11" s="122"/>
      <c r="E11" s="210" t="s">
        <v>138</v>
      </c>
      <c r="F11" s="207" t="str">
        <f>IF(Dashboard!G14&lt;&gt;0,Dashboard!G14*100,"n.v.t.")</f>
        <v>n.v.t.</v>
      </c>
      <c r="G11" s="24"/>
      <c r="L11" s="137"/>
      <c r="M11" s="137"/>
      <c r="N11" s="137"/>
      <c r="O11" s="137"/>
      <c r="P11" s="137"/>
      <c r="Q11" s="137"/>
      <c r="R11" s="117"/>
      <c r="S11" s="117"/>
      <c r="T11" s="117"/>
      <c r="U11" s="117"/>
      <c r="V11" s="137"/>
      <c r="W11" s="137"/>
      <c r="X11" s="137"/>
      <c r="Y11" s="137"/>
      <c r="Z11" s="137"/>
      <c r="AA11" s="137"/>
      <c r="AB11" s="137"/>
      <c r="AC11" s="137"/>
      <c r="AD11" s="137"/>
      <c r="AE11" s="137"/>
      <c r="AF11" s="137"/>
      <c r="AG11" s="137"/>
      <c r="AH11" s="137"/>
      <c r="AI11" s="137"/>
      <c r="AJ11" s="137"/>
      <c r="AK11" s="137"/>
      <c r="AL11" s="137"/>
      <c r="AM11" s="137"/>
      <c r="AN11" s="137"/>
      <c r="AO11" s="137"/>
      <c r="AP11" s="137"/>
      <c r="AT11" s="137"/>
      <c r="AU11" s="137"/>
      <c r="AV11" s="137"/>
      <c r="AW11" s="137"/>
      <c r="AX11" s="137"/>
      <c r="AY11" s="137"/>
      <c r="AZ11" s="137"/>
      <c r="BA11" s="137"/>
      <c r="BB11" s="137"/>
      <c r="BC11" s="137"/>
      <c r="BD11" s="137"/>
      <c r="BE11" s="137"/>
      <c r="BF11" s="137"/>
      <c r="BG11" s="137"/>
      <c r="BH11" s="137"/>
      <c r="BI11" s="137"/>
      <c r="BJ11" s="137"/>
      <c r="BM11" s="187" t="str">
        <f>TEXT($BL$8,"#.##0,00")</f>
        <v>500,00</v>
      </c>
      <c r="BO11" s="280" t="s">
        <v>39</v>
      </c>
      <c r="BP11" s="175">
        <f>IF(Scenarioanalyse!E17="nee","",F133)</f>
        <v>336363.63636363641</v>
      </c>
      <c r="BQ11" s="34">
        <f>IF(Scenarioanalyse!E17="nee","",L133)</f>
        <v>25.454000000000001</v>
      </c>
    </row>
    <row r="12" spans="1:82" x14ac:dyDescent="0.2">
      <c r="B12" s="102" t="s">
        <v>20</v>
      </c>
      <c r="C12" s="120">
        <f>C6*Dashboard!G19</f>
        <v>250</v>
      </c>
      <c r="D12" s="123" t="s">
        <v>6</v>
      </c>
      <c r="E12" s="211" t="s">
        <v>139</v>
      </c>
      <c r="F12" s="208">
        <f>IF(F11&lt;&gt;"n.v.t.",F14+(C12/C6*F11),C12/C6*C20)</f>
        <v>50</v>
      </c>
      <c r="G12" s="24"/>
      <c r="BO12" s="280" t="s">
        <v>40</v>
      </c>
      <c r="BP12" s="175">
        <f>IF(Scenarioanalyse!E18="nee","",F134)</f>
        <v>318181.81818181823</v>
      </c>
      <c r="BQ12" s="34">
        <f>IF(Scenarioanalyse!E18="nee","",L134)</f>
        <v>17.728000000000002</v>
      </c>
    </row>
    <row r="13" spans="1:82" x14ac:dyDescent="0.2">
      <c r="B13" s="102" t="s">
        <v>72</v>
      </c>
      <c r="C13" s="285">
        <v>-100000</v>
      </c>
      <c r="D13" s="286" t="str">
        <f>TEXT(C13/1000, "€ #.###")</f>
        <v>-€ 100</v>
      </c>
      <c r="E13" s="210" t="s">
        <v>21</v>
      </c>
      <c r="F13" s="216">
        <f>IF(F11&lt;&gt;"n.v.t.",F14+F11,C20)</f>
        <v>100</v>
      </c>
      <c r="G13" s="24"/>
      <c r="L13" s="85" t="s">
        <v>92</v>
      </c>
      <c r="M13" s="180">
        <f>+C8/10*1.5</f>
        <v>60000</v>
      </c>
      <c r="N13" s="118"/>
      <c r="O13" s="118"/>
      <c r="P13" s="118"/>
      <c r="Q13" s="118"/>
      <c r="V13" s="118"/>
      <c r="W13" s="118"/>
      <c r="X13" s="118"/>
      <c r="Y13" s="118"/>
      <c r="Z13" s="124"/>
      <c r="AA13" s="118"/>
      <c r="AB13" s="118"/>
      <c r="AC13" s="118"/>
      <c r="AD13" s="118"/>
      <c r="AE13" s="118"/>
      <c r="AF13" s="118"/>
      <c r="AG13" s="118"/>
      <c r="AH13" s="118"/>
      <c r="AI13" s="118"/>
      <c r="AJ13" s="311">
        <f t="shared" ref="AJ13:AP13" si="0">ROUND(IF($E$6="Wortelformule",$H$6*((($C$17-AJ15)/($C$17-$C$14))^(1/$H$7)),$H$6-$H$6*((AJ15-$C$14)/($C$17-$C$14))^$H$7),2)</f>
        <v>175</v>
      </c>
      <c r="AK13" s="311">
        <f t="shared" si="0"/>
        <v>200</v>
      </c>
      <c r="AL13" s="311">
        <f t="shared" si="0"/>
        <v>225</v>
      </c>
      <c r="AM13" s="311">
        <f t="shared" si="0"/>
        <v>250</v>
      </c>
      <c r="AN13" s="311">
        <f t="shared" si="0"/>
        <v>275</v>
      </c>
      <c r="AO13" s="311">
        <f t="shared" si="0"/>
        <v>300</v>
      </c>
      <c r="AP13" s="311">
        <f t="shared" si="0"/>
        <v>325</v>
      </c>
      <c r="BO13" s="280" t="s">
        <v>41</v>
      </c>
      <c r="BP13" s="175">
        <f>IF(Scenarioanalyse!E19="nee","",F135)</f>
        <v>300000.00000000006</v>
      </c>
      <c r="BQ13" s="34">
        <f>IF(Scenarioanalyse!E19="nee","",L135)</f>
        <v>10</v>
      </c>
    </row>
    <row r="14" spans="1:82" x14ac:dyDescent="0.2">
      <c r="B14" s="102" t="s">
        <v>73</v>
      </c>
      <c r="C14" s="121">
        <f>Dashboard!H15</f>
        <v>300000</v>
      </c>
      <c r="D14" s="123"/>
      <c r="E14" s="210" t="s">
        <v>130</v>
      </c>
      <c r="F14" s="209">
        <f>IF(F11&lt;&gt;"n.v.t.",100,0)</f>
        <v>0</v>
      </c>
      <c r="G14" s="24"/>
      <c r="L14" s="85" t="s">
        <v>174</v>
      </c>
      <c r="M14" s="181">
        <f>+C8</f>
        <v>400000</v>
      </c>
      <c r="N14" s="118"/>
      <c r="O14" s="118"/>
      <c r="P14" s="118" t="s">
        <v>6</v>
      </c>
      <c r="Q14" s="118"/>
      <c r="V14" s="118"/>
      <c r="W14" s="118"/>
      <c r="X14" s="118"/>
      <c r="Y14" s="118"/>
      <c r="Z14" s="124"/>
      <c r="AA14" s="118"/>
      <c r="AB14" s="125"/>
      <c r="AC14" s="118"/>
      <c r="AD14" s="118"/>
      <c r="AE14" s="118"/>
      <c r="AF14" s="118"/>
      <c r="AG14" s="118"/>
      <c r="AH14" s="118"/>
      <c r="AI14" s="118"/>
      <c r="AJ14" s="174">
        <f>AK14-$C$7</f>
        <v>175</v>
      </c>
      <c r="AK14" s="174">
        <f>AL14-$C$7</f>
        <v>200</v>
      </c>
      <c r="AL14" s="174">
        <f>AM14-$C$7</f>
        <v>225</v>
      </c>
      <c r="AM14" s="323">
        <f>H8</f>
        <v>250</v>
      </c>
      <c r="AN14" s="118">
        <f>AM14+$C$7</f>
        <v>275</v>
      </c>
      <c r="AO14" s="118">
        <f>AN14+$C$7</f>
        <v>300</v>
      </c>
      <c r="AP14" s="118">
        <f>AO14+$C$7</f>
        <v>325</v>
      </c>
    </row>
    <row r="15" spans="1:82" x14ac:dyDescent="0.2">
      <c r="B15" s="102" t="s">
        <v>74</v>
      </c>
      <c r="C15" s="119">
        <f>IF(Dashboard!H22=0,-1000,+F15)</f>
        <v>-1000</v>
      </c>
      <c r="D15" s="33">
        <f>+C15</f>
        <v>-1000</v>
      </c>
      <c r="E15" s="211" t="s">
        <v>74</v>
      </c>
      <c r="F15" s="209">
        <f>IF(F11&lt;&gt;"n.v.t.",+F14+(Dashboard!$H$22/C6)*F11,+(Dashboard!$H$22/C6)*F13)</f>
        <v>0</v>
      </c>
      <c r="G15" s="187" t="str">
        <f>E15&amp; " = " &amp; Dashboard!$H$22</f>
        <v xml:space="preserve">LAQ = </v>
      </c>
      <c r="L15" s="85" t="s">
        <v>175</v>
      </c>
      <c r="M15" s="182">
        <f>IF(F11&lt;&gt;"n.v.t.",+F12,C12)</f>
        <v>250</v>
      </c>
      <c r="N15" s="118"/>
      <c r="O15" s="118"/>
      <c r="P15" s="125"/>
      <c r="Q15" s="118"/>
      <c r="V15" s="118"/>
      <c r="W15" s="118"/>
      <c r="X15" s="118"/>
      <c r="Y15" s="118"/>
      <c r="Z15" s="124"/>
      <c r="AA15" s="86" t="s">
        <v>51</v>
      </c>
      <c r="AB15" s="86"/>
      <c r="AC15" s="118"/>
      <c r="AD15" s="86"/>
      <c r="AE15" s="86"/>
      <c r="AF15" s="86"/>
      <c r="AG15" s="86"/>
      <c r="AH15" s="118"/>
      <c r="AI15" s="118"/>
      <c r="AJ15" s="142">
        <f>AK15+$D$18</f>
        <v>430000</v>
      </c>
      <c r="AK15" s="142">
        <f>AL15+$D$18</f>
        <v>420000</v>
      </c>
      <c r="AL15" s="142">
        <f>AM15+$D$18</f>
        <v>410000</v>
      </c>
      <c r="AM15" s="143">
        <f>+C8</f>
        <v>400000</v>
      </c>
      <c r="AN15" s="142">
        <f>AM15-$D$18</f>
        <v>390000</v>
      </c>
      <c r="AO15" s="142">
        <f>AN15-$D$18</f>
        <v>380000</v>
      </c>
      <c r="AP15" s="142">
        <f>AO15-$D$18</f>
        <v>370000</v>
      </c>
      <c r="AT15" s="34" t="s">
        <v>339</v>
      </c>
    </row>
    <row r="16" spans="1:82" x14ac:dyDescent="0.2">
      <c r="B16" s="102" t="s">
        <v>223</v>
      </c>
      <c r="C16" s="119">
        <f>+Dashboard!H16</f>
        <v>1</v>
      </c>
      <c r="D16" s="218">
        <f>Dashboard!H22</f>
        <v>0</v>
      </c>
      <c r="E16" s="24"/>
      <c r="F16" s="24"/>
      <c r="G16" s="287" t="str">
        <f>B13 &amp; "; " &amp; D13</f>
        <v>Plafondprijs; -€ 100</v>
      </c>
      <c r="L16" s="85" t="s">
        <v>24</v>
      </c>
      <c r="M16" s="270">
        <f>C163</f>
        <v>500</v>
      </c>
      <c r="N16" s="140"/>
      <c r="O16" s="144" t="str">
        <f>+M17</f>
        <v>n.v.t.</v>
      </c>
      <c r="P16" s="118"/>
      <c r="Q16" s="118"/>
      <c r="V16" s="118"/>
      <c r="W16" s="118"/>
      <c r="X16" s="118"/>
      <c r="Y16" s="118"/>
      <c r="Z16" s="124"/>
      <c r="AA16" s="86" t="s">
        <v>52</v>
      </c>
      <c r="AB16" s="86"/>
      <c r="AC16" s="118"/>
      <c r="AD16" s="86"/>
      <c r="AE16" s="86"/>
      <c r="AF16" s="86"/>
      <c r="AG16" s="86"/>
      <c r="AH16" s="118"/>
      <c r="AI16" s="118"/>
      <c r="AJ16" s="125" t="s">
        <v>224</v>
      </c>
      <c r="AK16" s="125" t="s">
        <v>86</v>
      </c>
      <c r="AL16" s="125" t="s">
        <v>87</v>
      </c>
      <c r="AM16" s="125" t="s">
        <v>85</v>
      </c>
      <c r="AN16" s="125" t="s">
        <v>88</v>
      </c>
      <c r="AO16" s="125" t="s">
        <v>89</v>
      </c>
      <c r="AP16" s="125" t="s">
        <v>90</v>
      </c>
    </row>
    <row r="17" spans="2:46" x14ac:dyDescent="0.2">
      <c r="B17" s="102" t="s">
        <v>80</v>
      </c>
      <c r="C17" s="121">
        <f>Dashboard!H14</f>
        <v>500000</v>
      </c>
      <c r="D17" s="172">
        <f>+C17</f>
        <v>500000</v>
      </c>
      <c r="E17" s="30" t="s">
        <v>333</v>
      </c>
      <c r="F17" s="30" t="s">
        <v>334</v>
      </c>
      <c r="G17" s="24"/>
      <c r="L17" s="118"/>
      <c r="M17" s="183" t="str">
        <f>IF(ISERROR(+M15/M16^($C$10/$C$11)*10^#REF!),"n.v.t.",+M15/M16^($C$10/$C$11)*10^#REF!)</f>
        <v>n.v.t.</v>
      </c>
      <c r="N17" s="118"/>
      <c r="O17" s="118"/>
      <c r="P17" s="118"/>
      <c r="Q17" s="118"/>
      <c r="V17" s="513" t="s">
        <v>53</v>
      </c>
      <c r="W17" s="513"/>
      <c r="X17" s="87"/>
      <c r="Y17" s="118"/>
      <c r="Z17" s="124"/>
      <c r="AA17" s="118"/>
      <c r="AB17" s="118"/>
      <c r="AC17" s="118"/>
      <c r="AD17" s="118"/>
      <c r="AE17" s="118"/>
      <c r="AF17" s="118"/>
      <c r="AG17" s="118"/>
      <c r="AH17" s="118"/>
      <c r="AI17" s="118"/>
      <c r="AJ17" s="88"/>
      <c r="AK17" s="88"/>
      <c r="AL17" s="88"/>
      <c r="AN17" s="88"/>
      <c r="AO17" s="88"/>
      <c r="AP17" s="88"/>
      <c r="AT17" s="186" t="s">
        <v>360</v>
      </c>
    </row>
    <row r="18" spans="2:46" x14ac:dyDescent="0.2">
      <c r="C18" s="121">
        <f>+C17-C14</f>
        <v>200000</v>
      </c>
      <c r="D18" s="172">
        <f>+C18/20</f>
        <v>10000</v>
      </c>
      <c r="E18" s="312" t="s">
        <v>6</v>
      </c>
      <c r="F18" s="105"/>
      <c r="G18" s="105"/>
      <c r="L18" s="126" t="s">
        <v>54</v>
      </c>
      <c r="M18" s="126" t="s">
        <v>55</v>
      </c>
      <c r="N18" s="125"/>
      <c r="O18" s="126" t="s">
        <v>54</v>
      </c>
      <c r="P18" s="127" t="s">
        <v>6</v>
      </c>
      <c r="Q18" s="118"/>
      <c r="V18" s="513"/>
      <c r="W18" s="513"/>
      <c r="X18" s="87"/>
      <c r="Y18" s="118"/>
      <c r="Z18" s="124"/>
      <c r="AA18" s="89" t="s">
        <v>56</v>
      </c>
      <c r="AB18" s="89" t="s">
        <v>57</v>
      </c>
      <c r="AC18" s="118"/>
      <c r="AD18" s="89"/>
      <c r="AE18" s="89"/>
      <c r="AF18" s="89" t="s">
        <v>281</v>
      </c>
      <c r="AG18" s="89" t="s">
        <v>283</v>
      </c>
      <c r="AH18" s="118"/>
      <c r="AI18" s="118"/>
      <c r="AJ18" s="141" t="s">
        <v>95</v>
      </c>
      <c r="AK18" s="141" t="s">
        <v>95</v>
      </c>
      <c r="AL18" s="141" t="s">
        <v>95</v>
      </c>
      <c r="AM18" s="141" t="s">
        <v>95</v>
      </c>
      <c r="AN18" s="141" t="s">
        <v>95</v>
      </c>
      <c r="AO18" s="141" t="s">
        <v>95</v>
      </c>
      <c r="AP18" s="141" t="s">
        <v>95</v>
      </c>
    </row>
    <row r="19" spans="2:46" x14ac:dyDescent="0.2">
      <c r="B19" s="104" t="s">
        <v>75</v>
      </c>
      <c r="C19" s="105"/>
      <c r="D19" s="105"/>
      <c r="E19" s="24"/>
      <c r="F19" s="105"/>
      <c r="G19" s="105"/>
      <c r="L19" s="126" t="s">
        <v>58</v>
      </c>
      <c r="M19" s="126" t="s">
        <v>58</v>
      </c>
      <c r="N19" s="125"/>
      <c r="O19" s="126" t="s">
        <v>58</v>
      </c>
      <c r="P19" s="127" t="s">
        <v>6</v>
      </c>
      <c r="Q19" s="118"/>
      <c r="V19" s="513"/>
      <c r="W19" s="513"/>
      <c r="X19" s="87"/>
      <c r="Y19" s="118"/>
      <c r="Z19" s="124"/>
      <c r="AA19" s="89" t="s">
        <v>59</v>
      </c>
      <c r="AB19" s="89" t="s">
        <v>58</v>
      </c>
      <c r="AC19" s="118"/>
      <c r="AD19" s="89"/>
      <c r="AE19" s="89" t="s">
        <v>277</v>
      </c>
      <c r="AF19" s="89" t="s">
        <v>282</v>
      </c>
      <c r="AG19" s="89" t="s">
        <v>282</v>
      </c>
      <c r="AH19" s="118"/>
      <c r="AI19" s="118"/>
      <c r="AJ19" s="193">
        <f t="shared" ref="AJ19:AP19" si="1">+AJ14+AJ13</f>
        <v>350</v>
      </c>
      <c r="AK19" s="193">
        <f t="shared" si="1"/>
        <v>400</v>
      </c>
      <c r="AL19" s="193">
        <f t="shared" si="1"/>
        <v>450</v>
      </c>
      <c r="AM19" s="193">
        <f t="shared" si="1"/>
        <v>500</v>
      </c>
      <c r="AN19" s="193">
        <f t="shared" si="1"/>
        <v>550</v>
      </c>
      <c r="AO19" s="193">
        <f t="shared" si="1"/>
        <v>600</v>
      </c>
      <c r="AP19" s="193">
        <f t="shared" si="1"/>
        <v>650</v>
      </c>
    </row>
    <row r="20" spans="2:46" x14ac:dyDescent="0.2">
      <c r="B20" s="154" t="s">
        <v>21</v>
      </c>
      <c r="C20" s="150">
        <f>+C69</f>
        <v>100</v>
      </c>
      <c r="D20" s="150">
        <f>+C69</f>
        <v>100</v>
      </c>
      <c r="E20" s="24"/>
      <c r="F20" s="105"/>
      <c r="G20" s="105"/>
      <c r="L20" s="126" t="s">
        <v>60</v>
      </c>
      <c r="M20" s="126" t="s">
        <v>61</v>
      </c>
      <c r="N20" s="125"/>
      <c r="O20" s="126" t="s">
        <v>60</v>
      </c>
      <c r="P20" s="127"/>
      <c r="Q20" s="118"/>
      <c r="V20" s="90" t="s">
        <v>6</v>
      </c>
      <c r="W20" s="91" t="s">
        <v>62</v>
      </c>
      <c r="X20" s="91" t="s">
        <v>126</v>
      </c>
      <c r="Y20" s="118"/>
      <c r="Z20" s="124"/>
      <c r="AA20" s="89" t="s">
        <v>63</v>
      </c>
      <c r="AB20" s="89" t="s">
        <v>59</v>
      </c>
      <c r="AC20" s="118"/>
      <c r="AD20" s="89" t="s">
        <v>279</v>
      </c>
      <c r="AE20" s="89" t="s">
        <v>61</v>
      </c>
      <c r="AF20" s="89"/>
      <c r="AG20" s="89"/>
      <c r="AH20" s="118"/>
      <c r="AI20" s="118"/>
      <c r="AJ20" s="89" t="s">
        <v>59</v>
      </c>
      <c r="AK20" s="89" t="s">
        <v>59</v>
      </c>
      <c r="AL20" s="89" t="s">
        <v>59</v>
      </c>
      <c r="AM20" s="89" t="s">
        <v>59</v>
      </c>
      <c r="AN20" s="89" t="s">
        <v>59</v>
      </c>
      <c r="AO20" s="89" t="s">
        <v>59</v>
      </c>
      <c r="AP20" s="89" t="s">
        <v>59</v>
      </c>
    </row>
    <row r="21" spans="2:46" x14ac:dyDescent="0.2">
      <c r="B21" s="154" t="s">
        <v>101</v>
      </c>
      <c r="C21" s="151">
        <v>0</v>
      </c>
      <c r="D21" s="151">
        <f>D105</f>
        <v>520000</v>
      </c>
      <c r="E21" s="24"/>
      <c r="F21" s="288" t="s">
        <v>72</v>
      </c>
      <c r="G21" s="289">
        <f>C24</f>
        <v>-100000</v>
      </c>
      <c r="H21" s="289">
        <f>D24</f>
        <v>-100000</v>
      </c>
      <c r="L21" s="126" t="s">
        <v>64</v>
      </c>
      <c r="M21" s="128"/>
      <c r="N21" s="118"/>
      <c r="O21" s="126" t="s">
        <v>65</v>
      </c>
      <c r="P21" s="127"/>
      <c r="Q21" s="118"/>
      <c r="V21" s="89" t="s">
        <v>9</v>
      </c>
      <c r="W21" s="91" t="s">
        <v>66</v>
      </c>
      <c r="X21" s="91" t="s">
        <v>59</v>
      </c>
      <c r="Y21" s="118"/>
      <c r="Z21" s="124"/>
      <c r="AA21" s="128"/>
      <c r="AB21" s="92" t="s">
        <v>67</v>
      </c>
      <c r="AC21" s="118"/>
      <c r="AD21" s="89" t="s">
        <v>6</v>
      </c>
      <c r="AE21" s="89"/>
      <c r="AF21" s="89" t="s">
        <v>6</v>
      </c>
      <c r="AG21" s="89" t="s">
        <v>6</v>
      </c>
      <c r="AH21" s="118"/>
      <c r="AI21" s="118"/>
      <c r="AJ21" s="89" t="s">
        <v>262</v>
      </c>
      <c r="AK21" s="89" t="s">
        <v>262</v>
      </c>
      <c r="AL21" s="89" t="s">
        <v>262</v>
      </c>
      <c r="AM21" s="89" t="s">
        <v>262</v>
      </c>
      <c r="AN21" s="89" t="s">
        <v>262</v>
      </c>
      <c r="AO21" s="89" t="s">
        <v>262</v>
      </c>
      <c r="AP21" s="89" t="s">
        <v>262</v>
      </c>
      <c r="AT21" s="34" t="str">
        <f>"Een voorbeeldinschrijving (oranje stip) illustreert de werking van de beoordelingsmethode met een prijs van "&amp;AX2&amp;" en een prijsscore van "&amp; AX5 &amp; " punten en een kwaliteitsscore van "&amp;AX4&amp;" punten. Dit resulteert in een totaal van " &amp;AZ5&amp; " punten. "</f>
        <v xml:space="preserve">Een voorbeeldinschrijving (oranje stip) illustreert de werking van de beoordelingsmethode met een prijs van €400.000,00 en een prijsscore van 250,0 punten en een kwaliteitsscore van 250,0 punten. Dit resulteert in een totaal van 500,0 punten. </v>
      </c>
    </row>
    <row r="22" spans="2:46" x14ac:dyDescent="0.2">
      <c r="B22" s="154" t="s">
        <v>19</v>
      </c>
      <c r="C22" s="151">
        <f>+C8</f>
        <v>400000</v>
      </c>
      <c r="D22" s="151">
        <f>+C8</f>
        <v>400000</v>
      </c>
      <c r="E22" s="24"/>
      <c r="F22" s="106" t="s">
        <v>20</v>
      </c>
      <c r="G22" s="106">
        <v>0</v>
      </c>
      <c r="H22" s="108">
        <f>+C12</f>
        <v>250</v>
      </c>
      <c r="L22" s="94">
        <v>0</v>
      </c>
      <c r="M22" s="95">
        <f>+$M$14*L22</f>
        <v>0</v>
      </c>
      <c r="N22" s="96">
        <v>0</v>
      </c>
      <c r="O22" s="94">
        <v>0</v>
      </c>
      <c r="P22" s="129"/>
      <c r="Q22" s="118"/>
      <c r="V22" s="268">
        <f t="shared" ref="V22:V53" si="2">$V$223*W22</f>
        <v>0</v>
      </c>
      <c r="W22" s="269">
        <v>0</v>
      </c>
      <c r="X22" s="97">
        <f>F14</f>
        <v>0</v>
      </c>
      <c r="Y22" s="118"/>
      <c r="Z22" s="124"/>
      <c r="AA22" s="205">
        <f>+X22</f>
        <v>0</v>
      </c>
      <c r="AB22" s="128"/>
      <c r="AC22" s="118"/>
      <c r="AD22" s="205">
        <f>0</f>
        <v>0</v>
      </c>
      <c r="AE22" s="138">
        <f>IF($E$6="Wortelformule",AF22,AG22)</f>
        <v>500000</v>
      </c>
      <c r="AF22" s="138">
        <f>$C$17-(AD22^$H$7)*($C$17-$C$14)/($H$6^$H$7)</f>
        <v>500000</v>
      </c>
      <c r="AG22" s="138">
        <f>$C$14+($C$17-$C$14)*(($H$6-AD22)/$H$6)^(1/$H$7)</f>
        <v>500000</v>
      </c>
      <c r="AH22" s="118"/>
      <c r="AI22" s="118"/>
      <c r="AJ22" s="205">
        <f>(($AJ$19-AD22)/$H$5)*100</f>
        <v>70</v>
      </c>
      <c r="AK22" s="205">
        <f>(($AK$19-AD22)/$H$5)*100</f>
        <v>80</v>
      </c>
      <c r="AL22" s="205">
        <f>(($AL$19-AD22)/$H$5)*100</f>
        <v>90</v>
      </c>
      <c r="AM22" s="205">
        <f>(($AM$19-AD22)/$H$5)*100</f>
        <v>100</v>
      </c>
      <c r="AN22" s="205">
        <f>(($AN$19-AD22)/$H$5)*100</f>
        <v>110.00000000000001</v>
      </c>
      <c r="AO22" s="205">
        <f>(($AO$19-AD22)/$H$5)*100</f>
        <v>120</v>
      </c>
      <c r="AP22" s="205">
        <f>(($AP$19-AD22)/$H$5)*100</f>
        <v>130</v>
      </c>
      <c r="AT22" s="34" t="str">
        <f>"Voor Prijs en Kwaliteit kunnen respectievelijk maximaal "&amp;BM8&amp;" en "&amp;BM9&amp; " punten worden behaald, wat overeenkomt met een verhouding van " &amp; AX7&amp; " voor Prijs en " &amp; AX6 &amp; " voor Kwaliteit. "</f>
        <v xml:space="preserve">Voor Prijs en Kwaliteit kunnen respectievelijk maximaal 500 en 500 punten worden behaald, wat overeenkomt met een verhouding van 50% voor Prijs en 50% voor Kwaliteit. </v>
      </c>
    </row>
    <row r="23" spans="2:46" x14ac:dyDescent="0.2">
      <c r="B23" s="155" t="s">
        <v>102</v>
      </c>
      <c r="C23" s="282">
        <v>0</v>
      </c>
      <c r="D23" s="283">
        <v>100</v>
      </c>
      <c r="E23" s="24"/>
      <c r="F23" s="106" t="s">
        <v>76</v>
      </c>
      <c r="G23" s="106">
        <v>0</v>
      </c>
      <c r="H23" s="106">
        <v>0</v>
      </c>
      <c r="L23" s="130">
        <f>+L22+0.1</f>
        <v>0.1</v>
      </c>
      <c r="M23" s="95">
        <f t="shared" ref="M23:M31" si="3">+$M$14*L23</f>
        <v>40000</v>
      </c>
      <c r="N23" s="96">
        <f>+N22+5</f>
        <v>5</v>
      </c>
      <c r="O23" s="130">
        <v>0.1</v>
      </c>
      <c r="P23" s="129"/>
      <c r="Q23" s="118"/>
      <c r="V23" s="268">
        <f t="shared" si="2"/>
        <v>0.5</v>
      </c>
      <c r="W23" s="269">
        <f>+W22+0.005</f>
        <v>5.0000000000000001E-3</v>
      </c>
      <c r="X23" s="97">
        <f t="shared" ref="X23:X54" si="4">+W23*($X$223-$F$14)+$X$22</f>
        <v>2.5</v>
      </c>
      <c r="Y23" s="118"/>
      <c r="Z23" s="124"/>
      <c r="AA23" s="205">
        <f>+X23</f>
        <v>2.5</v>
      </c>
      <c r="AB23" s="128"/>
      <c r="AC23" s="118"/>
      <c r="AD23" s="205">
        <f>+AD22+($H$6/200)</f>
        <v>2.5</v>
      </c>
      <c r="AE23" s="138">
        <f t="shared" ref="AE23:AE86" si="5">IF($E$6="Wortelformule",AF23,AG23)</f>
        <v>499000</v>
      </c>
      <c r="AF23" s="138">
        <f t="shared" ref="AF23:AF86" si="6">$C$17-(AD23^$H$7)*($C$17-$C$14)/($H$6^$H$7)</f>
        <v>499000</v>
      </c>
      <c r="AG23" s="138">
        <f t="shared" ref="AG23:AG86" si="7">$C$14+($C$17-$C$14)*(($H$6-AD23)/$H$6)^(1/$H$7)</f>
        <v>499000</v>
      </c>
      <c r="AH23" s="118"/>
      <c r="AI23" s="118"/>
      <c r="AJ23" s="205">
        <f t="shared" ref="AJ23:AJ86" si="8">(($AJ$19-AD23)/$H$5)*100</f>
        <v>69.5</v>
      </c>
      <c r="AK23" s="205">
        <f t="shared" ref="AK23:AK86" si="9">(($AK$19-AD23)/$H$5)*100</f>
        <v>79.5</v>
      </c>
      <c r="AL23" s="205">
        <f t="shared" ref="AL23:AL86" si="10">(($AL$19-AD23)/$H$5)*100</f>
        <v>89.5</v>
      </c>
      <c r="AM23" s="205">
        <f t="shared" ref="AM23:AM86" si="11">(($AM$19-AD23)/$H$5)*100</f>
        <v>99.5</v>
      </c>
      <c r="AN23" s="205">
        <f t="shared" ref="AN23:AN86" si="12">(($AN$19-AD23)/$H$5)*100</f>
        <v>109.5</v>
      </c>
      <c r="AO23" s="205">
        <f t="shared" ref="AO23:AO86" si="13">(($AO$19-AD23)/$H$5)*100</f>
        <v>119.5</v>
      </c>
      <c r="AP23" s="205">
        <f t="shared" ref="AP23:AP86" si="14">(($AP$19-AD23)/$H$5)*100</f>
        <v>129.5</v>
      </c>
      <c r="AT23" s="34" t="s">
        <v>6</v>
      </c>
    </row>
    <row r="24" spans="2:46" x14ac:dyDescent="0.2">
      <c r="B24" s="155" t="s">
        <v>103</v>
      </c>
      <c r="C24" s="284">
        <v>-100000</v>
      </c>
      <c r="D24" s="284">
        <v>-100000</v>
      </c>
      <c r="E24" s="24"/>
      <c r="F24" s="106" t="s">
        <v>76</v>
      </c>
      <c r="G24" s="109">
        <f>+C8</f>
        <v>400000</v>
      </c>
      <c r="H24" s="108">
        <f>+C12</f>
        <v>250</v>
      </c>
      <c r="L24" s="130">
        <f t="shared" ref="L24:L42" si="15">+L23+0.1</f>
        <v>0.2</v>
      </c>
      <c r="M24" s="95">
        <f t="shared" si="3"/>
        <v>80000</v>
      </c>
      <c r="N24" s="96">
        <f t="shared" ref="N24:N42" si="16">+N23+5</f>
        <v>10</v>
      </c>
      <c r="O24" s="130">
        <v>0.2</v>
      </c>
      <c r="P24" s="129"/>
      <c r="Q24" s="118"/>
      <c r="V24" s="268">
        <f t="shared" si="2"/>
        <v>1</v>
      </c>
      <c r="W24" s="269">
        <f t="shared" ref="W24:W87" si="17">+W23+0.005</f>
        <v>0.01</v>
      </c>
      <c r="X24" s="97">
        <f t="shared" si="4"/>
        <v>5</v>
      </c>
      <c r="Y24" s="118"/>
      <c r="Z24" s="124"/>
      <c r="AA24" s="205">
        <f t="shared" ref="AA24:AA87" si="18">+X24</f>
        <v>5</v>
      </c>
      <c r="AB24" s="128"/>
      <c r="AC24" s="118"/>
      <c r="AD24" s="205">
        <f t="shared" ref="AD24:AD87" si="19">+AD23+($H$6/200)</f>
        <v>5</v>
      </c>
      <c r="AE24" s="138">
        <f t="shared" si="5"/>
        <v>498000</v>
      </c>
      <c r="AF24" s="138">
        <f t="shared" si="6"/>
        <v>498000</v>
      </c>
      <c r="AG24" s="138">
        <f t="shared" si="7"/>
        <v>498000</v>
      </c>
      <c r="AH24" s="118"/>
      <c r="AI24" s="118"/>
      <c r="AJ24" s="205">
        <f t="shared" si="8"/>
        <v>69</v>
      </c>
      <c r="AK24" s="205">
        <f t="shared" si="9"/>
        <v>79</v>
      </c>
      <c r="AL24" s="205">
        <f t="shared" si="10"/>
        <v>89</v>
      </c>
      <c r="AM24" s="205">
        <f t="shared" si="11"/>
        <v>99</v>
      </c>
      <c r="AN24" s="205">
        <f t="shared" si="12"/>
        <v>109.00000000000001</v>
      </c>
      <c r="AO24" s="205">
        <f t="shared" si="13"/>
        <v>119</v>
      </c>
      <c r="AP24" s="205">
        <f t="shared" si="14"/>
        <v>129</v>
      </c>
      <c r="AT24" s="34" t="str">
        <f>"Verdeeld over de Wensen kunnen in totaal "&amp; BM9 &amp; " punten voor Kwaliteit worden gescoord (Qwensen). Etc. ….."</f>
        <v>Verdeeld over de Wensen kunnen in totaal 500 punten voor Kwaliteit worden gescoord (Qwensen). Etc. …..</v>
      </c>
    </row>
    <row r="25" spans="2:46" x14ac:dyDescent="0.2">
      <c r="B25" s="155" t="s">
        <v>73</v>
      </c>
      <c r="C25" s="156">
        <f>+C14</f>
        <v>300000</v>
      </c>
      <c r="D25" s="156">
        <f>+C14</f>
        <v>300000</v>
      </c>
      <c r="E25" s="24"/>
      <c r="F25" s="288" t="s">
        <v>72</v>
      </c>
      <c r="G25" s="289">
        <f>C24</f>
        <v>-100000</v>
      </c>
      <c r="H25" s="108"/>
      <c r="L25" s="130">
        <f t="shared" si="15"/>
        <v>0.30000000000000004</v>
      </c>
      <c r="M25" s="95">
        <f t="shared" si="3"/>
        <v>120000.00000000001</v>
      </c>
      <c r="N25" s="96">
        <f t="shared" si="16"/>
        <v>15</v>
      </c>
      <c r="O25" s="130">
        <v>0.30000000000000004</v>
      </c>
      <c r="P25" s="129"/>
      <c r="Q25" s="118"/>
      <c r="V25" s="268">
        <f t="shared" si="2"/>
        <v>1.5</v>
      </c>
      <c r="W25" s="269">
        <f t="shared" si="17"/>
        <v>1.4999999999999999E-2</v>
      </c>
      <c r="X25" s="97">
        <f t="shared" si="4"/>
        <v>7.5</v>
      </c>
      <c r="Y25" s="118"/>
      <c r="Z25" s="124"/>
      <c r="AA25" s="205">
        <f t="shared" si="18"/>
        <v>7.5</v>
      </c>
      <c r="AB25" s="128"/>
      <c r="AC25" s="118"/>
      <c r="AD25" s="205">
        <f t="shared" si="19"/>
        <v>7.5</v>
      </c>
      <c r="AE25" s="138">
        <f t="shared" si="5"/>
        <v>497000</v>
      </c>
      <c r="AF25" s="138">
        <f t="shared" si="6"/>
        <v>497000</v>
      </c>
      <c r="AG25" s="138">
        <f t="shared" si="7"/>
        <v>497000</v>
      </c>
      <c r="AH25" s="118"/>
      <c r="AI25" s="118"/>
      <c r="AJ25" s="205">
        <f t="shared" si="8"/>
        <v>68.5</v>
      </c>
      <c r="AK25" s="205">
        <f t="shared" si="9"/>
        <v>78.5</v>
      </c>
      <c r="AL25" s="205">
        <f t="shared" si="10"/>
        <v>88.5</v>
      </c>
      <c r="AM25" s="205">
        <f t="shared" si="11"/>
        <v>98.5</v>
      </c>
      <c r="AN25" s="205">
        <f t="shared" si="12"/>
        <v>108.5</v>
      </c>
      <c r="AO25" s="205">
        <f t="shared" si="13"/>
        <v>118.5</v>
      </c>
      <c r="AP25" s="205">
        <f t="shared" si="14"/>
        <v>128.5</v>
      </c>
      <c r="AT25" s="34" t="s">
        <v>6</v>
      </c>
    </row>
    <row r="26" spans="2:46" x14ac:dyDescent="0.2">
      <c r="B26" s="30" t="s">
        <v>94</v>
      </c>
      <c r="C26" s="179">
        <f>C15</f>
        <v>-1000</v>
      </c>
      <c r="D26" s="179">
        <f>C15</f>
        <v>-1000</v>
      </c>
      <c r="E26" s="24"/>
      <c r="F26" s="30" t="s">
        <v>10</v>
      </c>
      <c r="G26" s="109">
        <f>+C8</f>
        <v>400000</v>
      </c>
      <c r="H26" s="108"/>
      <c r="L26" s="130">
        <f t="shared" si="15"/>
        <v>0.4</v>
      </c>
      <c r="M26" s="95">
        <f t="shared" si="3"/>
        <v>160000</v>
      </c>
      <c r="N26" s="96">
        <f t="shared" si="16"/>
        <v>20</v>
      </c>
      <c r="O26" s="130">
        <v>0.4</v>
      </c>
      <c r="P26" s="129"/>
      <c r="Q26" s="118"/>
      <c r="V26" s="268">
        <f t="shared" si="2"/>
        <v>2</v>
      </c>
      <c r="W26" s="269">
        <f t="shared" si="17"/>
        <v>0.02</v>
      </c>
      <c r="X26" s="97">
        <f t="shared" si="4"/>
        <v>10</v>
      </c>
      <c r="Y26" s="118"/>
      <c r="Z26" s="124"/>
      <c r="AA26" s="205">
        <f t="shared" si="18"/>
        <v>10</v>
      </c>
      <c r="AB26" s="128"/>
      <c r="AC26" s="118"/>
      <c r="AD26" s="205">
        <f t="shared" si="19"/>
        <v>10</v>
      </c>
      <c r="AE26" s="138">
        <f t="shared" si="5"/>
        <v>496000</v>
      </c>
      <c r="AF26" s="138">
        <f t="shared" si="6"/>
        <v>496000</v>
      </c>
      <c r="AG26" s="138">
        <f t="shared" si="7"/>
        <v>496000</v>
      </c>
      <c r="AH26" s="118"/>
      <c r="AI26" s="118"/>
      <c r="AJ26" s="205">
        <f t="shared" si="8"/>
        <v>68</v>
      </c>
      <c r="AK26" s="205">
        <f t="shared" si="9"/>
        <v>78</v>
      </c>
      <c r="AL26" s="205">
        <f t="shared" si="10"/>
        <v>88</v>
      </c>
      <c r="AM26" s="205">
        <f t="shared" si="11"/>
        <v>98</v>
      </c>
      <c r="AN26" s="205">
        <f t="shared" si="12"/>
        <v>108</v>
      </c>
      <c r="AO26" s="205">
        <f t="shared" si="13"/>
        <v>118</v>
      </c>
      <c r="AP26" s="205">
        <f t="shared" si="14"/>
        <v>128</v>
      </c>
    </row>
    <row r="27" spans="2:46" x14ac:dyDescent="0.2">
      <c r="B27" s="30" t="s">
        <v>93</v>
      </c>
      <c r="C27" s="106">
        <v>0</v>
      </c>
      <c r="D27" s="139">
        <f>D17</f>
        <v>500000</v>
      </c>
      <c r="E27" s="24"/>
      <c r="F27" s="30" t="s">
        <v>42</v>
      </c>
      <c r="G27" s="109">
        <f>+I23</f>
        <v>0</v>
      </c>
      <c r="H27" s="107">
        <f>+C17*1.1</f>
        <v>550000</v>
      </c>
      <c r="L27" s="130">
        <f t="shared" si="15"/>
        <v>0.5</v>
      </c>
      <c r="M27" s="95">
        <f t="shared" si="3"/>
        <v>200000</v>
      </c>
      <c r="N27" s="96">
        <f t="shared" si="16"/>
        <v>25</v>
      </c>
      <c r="O27" s="130">
        <v>0.5</v>
      </c>
      <c r="P27" s="129"/>
      <c r="Q27" s="118"/>
      <c r="V27" s="268">
        <f t="shared" si="2"/>
        <v>2.5</v>
      </c>
      <c r="W27" s="269">
        <f t="shared" si="17"/>
        <v>2.5000000000000001E-2</v>
      </c>
      <c r="X27" s="97">
        <f t="shared" si="4"/>
        <v>12.5</v>
      </c>
      <c r="Y27" s="118"/>
      <c r="Z27" s="124"/>
      <c r="AA27" s="205">
        <f t="shared" si="18"/>
        <v>12.5</v>
      </c>
      <c r="AB27" s="128"/>
      <c r="AC27" s="118"/>
      <c r="AD27" s="205">
        <f t="shared" si="19"/>
        <v>12.5</v>
      </c>
      <c r="AE27" s="138">
        <f t="shared" si="5"/>
        <v>495000</v>
      </c>
      <c r="AF27" s="138">
        <f t="shared" si="6"/>
        <v>495000</v>
      </c>
      <c r="AG27" s="138">
        <f t="shared" si="7"/>
        <v>495000</v>
      </c>
      <c r="AH27" s="118"/>
      <c r="AI27" s="118"/>
      <c r="AJ27" s="205">
        <f t="shared" si="8"/>
        <v>67.5</v>
      </c>
      <c r="AK27" s="205">
        <f t="shared" si="9"/>
        <v>77.5</v>
      </c>
      <c r="AL27" s="205">
        <f t="shared" si="10"/>
        <v>87.5</v>
      </c>
      <c r="AM27" s="205">
        <f t="shared" si="11"/>
        <v>97.5</v>
      </c>
      <c r="AN27" s="205">
        <f t="shared" si="12"/>
        <v>107.5</v>
      </c>
      <c r="AO27" s="205">
        <f t="shared" si="13"/>
        <v>117.5</v>
      </c>
      <c r="AP27" s="205">
        <f t="shared" si="14"/>
        <v>127.49999999999999</v>
      </c>
    </row>
    <row r="28" spans="2:46" x14ac:dyDescent="0.2">
      <c r="B28" s="155" t="s">
        <v>130</v>
      </c>
      <c r="C28" s="153">
        <f>IF(F7="",0,100)</f>
        <v>0</v>
      </c>
      <c r="D28" s="153">
        <f>+C28</f>
        <v>0</v>
      </c>
      <c r="E28" s="24"/>
      <c r="F28" s="30" t="s">
        <v>77</v>
      </c>
      <c r="G28" s="109"/>
      <c r="H28" s="108"/>
      <c r="L28" s="130">
        <f t="shared" si="15"/>
        <v>0.6</v>
      </c>
      <c r="M28" s="95">
        <f t="shared" si="3"/>
        <v>240000</v>
      </c>
      <c r="N28" s="96">
        <f t="shared" si="16"/>
        <v>30</v>
      </c>
      <c r="O28" s="130">
        <v>0.6</v>
      </c>
      <c r="P28" s="129"/>
      <c r="Q28" s="118"/>
      <c r="V28" s="268">
        <f t="shared" si="2"/>
        <v>3.0000000000000004</v>
      </c>
      <c r="W28" s="269">
        <f t="shared" si="17"/>
        <v>3.0000000000000002E-2</v>
      </c>
      <c r="X28" s="97">
        <f t="shared" si="4"/>
        <v>15.000000000000002</v>
      </c>
      <c r="Y28" s="118"/>
      <c r="Z28" s="124"/>
      <c r="AA28" s="205">
        <f t="shared" si="18"/>
        <v>15.000000000000002</v>
      </c>
      <c r="AB28" s="128"/>
      <c r="AC28" s="118"/>
      <c r="AD28" s="205">
        <f t="shared" si="19"/>
        <v>15</v>
      </c>
      <c r="AE28" s="138">
        <f t="shared" si="5"/>
        <v>494000</v>
      </c>
      <c r="AF28" s="138">
        <f t="shared" si="6"/>
        <v>494000</v>
      </c>
      <c r="AG28" s="138">
        <f t="shared" si="7"/>
        <v>494000</v>
      </c>
      <c r="AH28" s="118"/>
      <c r="AI28" s="118"/>
      <c r="AJ28" s="205">
        <f t="shared" si="8"/>
        <v>67</v>
      </c>
      <c r="AK28" s="205">
        <f t="shared" si="9"/>
        <v>77</v>
      </c>
      <c r="AL28" s="205">
        <f t="shared" si="10"/>
        <v>87</v>
      </c>
      <c r="AM28" s="205">
        <f t="shared" si="11"/>
        <v>97</v>
      </c>
      <c r="AN28" s="205">
        <f t="shared" si="12"/>
        <v>107</v>
      </c>
      <c r="AO28" s="205">
        <f t="shared" si="13"/>
        <v>117</v>
      </c>
      <c r="AP28" s="205">
        <f t="shared" si="14"/>
        <v>127</v>
      </c>
      <c r="AT28" s="34" t="s">
        <v>149</v>
      </c>
    </row>
    <row r="29" spans="2:46" x14ac:dyDescent="0.2">
      <c r="B29" s="155" t="s">
        <v>134</v>
      </c>
      <c r="C29" s="153">
        <v>0</v>
      </c>
      <c r="D29" s="153"/>
      <c r="E29" s="24"/>
      <c r="L29" s="130">
        <f t="shared" si="15"/>
        <v>0.7</v>
      </c>
      <c r="M29" s="95">
        <f t="shared" si="3"/>
        <v>280000</v>
      </c>
      <c r="N29" s="96">
        <f t="shared" si="16"/>
        <v>35</v>
      </c>
      <c r="O29" s="130">
        <v>0.7</v>
      </c>
      <c r="P29" s="129"/>
      <c r="Q29" s="118"/>
      <c r="V29" s="268">
        <f t="shared" si="2"/>
        <v>3.5000000000000004</v>
      </c>
      <c r="W29" s="269">
        <f t="shared" si="17"/>
        <v>3.5000000000000003E-2</v>
      </c>
      <c r="X29" s="97">
        <f t="shared" si="4"/>
        <v>17.5</v>
      </c>
      <c r="Y29" s="118"/>
      <c r="Z29" s="124"/>
      <c r="AA29" s="205">
        <f t="shared" si="18"/>
        <v>17.5</v>
      </c>
      <c r="AB29" s="128"/>
      <c r="AC29" s="118"/>
      <c r="AD29" s="205">
        <f t="shared" si="19"/>
        <v>17.5</v>
      </c>
      <c r="AE29" s="138">
        <f t="shared" si="5"/>
        <v>493000</v>
      </c>
      <c r="AF29" s="138">
        <f t="shared" si="6"/>
        <v>493000</v>
      </c>
      <c r="AG29" s="138">
        <f t="shared" si="7"/>
        <v>493000</v>
      </c>
      <c r="AH29" s="118"/>
      <c r="AI29" s="118"/>
      <c r="AJ29" s="205">
        <f t="shared" si="8"/>
        <v>66.5</v>
      </c>
      <c r="AK29" s="205">
        <f t="shared" si="9"/>
        <v>76.5</v>
      </c>
      <c r="AL29" s="205">
        <f t="shared" si="10"/>
        <v>86.5</v>
      </c>
      <c r="AM29" s="205">
        <f t="shared" si="11"/>
        <v>96.5</v>
      </c>
      <c r="AN29" s="205">
        <f t="shared" si="12"/>
        <v>106.5</v>
      </c>
      <c r="AO29" s="205">
        <f t="shared" si="13"/>
        <v>116.5</v>
      </c>
      <c r="AP29" s="205">
        <f t="shared" si="14"/>
        <v>126.49999999999999</v>
      </c>
      <c r="AT29" s="189" t="s">
        <v>341</v>
      </c>
    </row>
    <row r="30" spans="2:46" ht="14.45" customHeight="1" x14ac:dyDescent="0.2">
      <c r="B30" s="155" t="s">
        <v>135</v>
      </c>
      <c r="C30" s="170">
        <f>+Dashboard!H10</f>
        <v>500</v>
      </c>
      <c r="D30" s="153"/>
      <c r="E30" s="24"/>
      <c r="F30" s="153" t="s">
        <v>136</v>
      </c>
      <c r="G30" s="172">
        <f>IF(Dashboard!$G$9="Ja",+C25,-10000)</f>
        <v>-10000</v>
      </c>
      <c r="H30" s="172">
        <f>IF(Dashboard!$G$9="Ja",+C17,-10000)</f>
        <v>-10000</v>
      </c>
      <c r="L30" s="130">
        <f t="shared" si="15"/>
        <v>0.79999999999999993</v>
      </c>
      <c r="M30" s="95">
        <f t="shared" si="3"/>
        <v>320000</v>
      </c>
      <c r="N30" s="96">
        <f t="shared" si="16"/>
        <v>40</v>
      </c>
      <c r="O30" s="130">
        <v>0.79999999999999993</v>
      </c>
      <c r="P30" s="129"/>
      <c r="Q30" s="118"/>
      <c r="V30" s="268">
        <f t="shared" si="2"/>
        <v>4</v>
      </c>
      <c r="W30" s="269">
        <f t="shared" si="17"/>
        <v>0.04</v>
      </c>
      <c r="X30" s="97">
        <f t="shared" si="4"/>
        <v>20</v>
      </c>
      <c r="Y30" s="118"/>
      <c r="Z30" s="124"/>
      <c r="AA30" s="205">
        <f t="shared" si="18"/>
        <v>20</v>
      </c>
      <c r="AB30" s="128"/>
      <c r="AC30" s="118"/>
      <c r="AD30" s="205">
        <f t="shared" si="19"/>
        <v>20</v>
      </c>
      <c r="AE30" s="138">
        <f t="shared" si="5"/>
        <v>492000</v>
      </c>
      <c r="AF30" s="138">
        <f t="shared" si="6"/>
        <v>492000</v>
      </c>
      <c r="AG30" s="138">
        <f t="shared" si="7"/>
        <v>492000</v>
      </c>
      <c r="AH30" s="118"/>
      <c r="AI30" s="118"/>
      <c r="AJ30" s="205">
        <f t="shared" si="8"/>
        <v>66</v>
      </c>
      <c r="AK30" s="205">
        <f t="shared" si="9"/>
        <v>76</v>
      </c>
      <c r="AL30" s="205">
        <f t="shared" si="10"/>
        <v>86</v>
      </c>
      <c r="AM30" s="205">
        <f t="shared" si="11"/>
        <v>96</v>
      </c>
      <c r="AN30" s="205">
        <f t="shared" si="12"/>
        <v>106</v>
      </c>
      <c r="AO30" s="205">
        <f t="shared" si="13"/>
        <v>115.99999999999999</v>
      </c>
      <c r="AP30" s="205">
        <f t="shared" si="14"/>
        <v>126</v>
      </c>
    </row>
    <row r="31" spans="2:46" ht="14.45" customHeight="1" x14ac:dyDescent="0.2">
      <c r="B31" s="123" t="s">
        <v>6</v>
      </c>
      <c r="C31" s="123"/>
      <c r="D31" s="123"/>
      <c r="E31" s="24"/>
      <c r="F31" s="153" t="s">
        <v>137</v>
      </c>
      <c r="G31" s="173">
        <f>+C28</f>
        <v>0</v>
      </c>
      <c r="H31" s="170">
        <f>+C20</f>
        <v>100</v>
      </c>
      <c r="L31" s="130">
        <f t="shared" si="15"/>
        <v>0.89999999999999991</v>
      </c>
      <c r="M31" s="95">
        <f t="shared" si="3"/>
        <v>359999.99999999994</v>
      </c>
      <c r="N31" s="96">
        <f t="shared" si="16"/>
        <v>45</v>
      </c>
      <c r="O31" s="130">
        <v>0.89999999999999991</v>
      </c>
      <c r="P31" s="129"/>
      <c r="Q31" s="118"/>
      <c r="V31" s="268">
        <f t="shared" si="2"/>
        <v>4.5</v>
      </c>
      <c r="W31" s="269">
        <f t="shared" si="17"/>
        <v>4.4999999999999998E-2</v>
      </c>
      <c r="X31" s="97">
        <f t="shared" si="4"/>
        <v>22.5</v>
      </c>
      <c r="Y31" s="118"/>
      <c r="Z31" s="124"/>
      <c r="AA31" s="205">
        <f t="shared" si="18"/>
        <v>22.5</v>
      </c>
      <c r="AB31" s="128"/>
      <c r="AC31" s="118"/>
      <c r="AD31" s="205">
        <f t="shared" si="19"/>
        <v>22.5</v>
      </c>
      <c r="AE31" s="138">
        <f t="shared" si="5"/>
        <v>491000</v>
      </c>
      <c r="AF31" s="138">
        <f t="shared" si="6"/>
        <v>491000</v>
      </c>
      <c r="AG31" s="138">
        <f t="shared" si="7"/>
        <v>491000</v>
      </c>
      <c r="AH31" s="118"/>
      <c r="AI31" s="118"/>
      <c r="AJ31" s="205">
        <f t="shared" si="8"/>
        <v>65.5</v>
      </c>
      <c r="AK31" s="205">
        <f t="shared" si="9"/>
        <v>75.5</v>
      </c>
      <c r="AL31" s="205">
        <f t="shared" si="10"/>
        <v>85.5</v>
      </c>
      <c r="AM31" s="205">
        <f t="shared" si="11"/>
        <v>95.5</v>
      </c>
      <c r="AN31" s="205">
        <f t="shared" si="12"/>
        <v>105.5</v>
      </c>
      <c r="AO31" s="205">
        <f t="shared" si="13"/>
        <v>115.5</v>
      </c>
      <c r="AP31" s="205">
        <f t="shared" si="14"/>
        <v>125.49999999999999</v>
      </c>
    </row>
    <row r="32" spans="2:46" ht="14.45" customHeight="1" x14ac:dyDescent="0.2">
      <c r="B32" s="104" t="s">
        <v>78</v>
      </c>
      <c r="C32" s="131" t="s">
        <v>83</v>
      </c>
      <c r="D32" s="104" t="s">
        <v>161</v>
      </c>
      <c r="E32" s="131" t="s">
        <v>24</v>
      </c>
      <c r="F32" s="105"/>
      <c r="G32" s="105"/>
      <c r="L32" s="132">
        <f t="shared" si="15"/>
        <v>0.99999999999999989</v>
      </c>
      <c r="M32" s="99">
        <f>+M14</f>
        <v>400000</v>
      </c>
      <c r="N32" s="96">
        <f t="shared" si="16"/>
        <v>50</v>
      </c>
      <c r="O32" s="132">
        <v>0.99999999999999989</v>
      </c>
      <c r="P32" s="133">
        <v>50</v>
      </c>
      <c r="Q32" s="118"/>
      <c r="V32" s="268">
        <f t="shared" si="2"/>
        <v>5</v>
      </c>
      <c r="W32" s="269">
        <f t="shared" si="17"/>
        <v>4.9999999999999996E-2</v>
      </c>
      <c r="X32" s="97">
        <f t="shared" si="4"/>
        <v>24.999999999999996</v>
      </c>
      <c r="Y32" s="118"/>
      <c r="Z32" s="124"/>
      <c r="AA32" s="205">
        <f t="shared" si="18"/>
        <v>24.999999999999996</v>
      </c>
      <c r="AB32" s="128"/>
      <c r="AC32" s="118"/>
      <c r="AD32" s="205">
        <f t="shared" si="19"/>
        <v>25</v>
      </c>
      <c r="AE32" s="138">
        <f t="shared" si="5"/>
        <v>490000</v>
      </c>
      <c r="AF32" s="138">
        <f t="shared" si="6"/>
        <v>490000</v>
      </c>
      <c r="AG32" s="138">
        <f t="shared" si="7"/>
        <v>490000</v>
      </c>
      <c r="AH32" s="118"/>
      <c r="AI32" s="118"/>
      <c r="AJ32" s="205">
        <f t="shared" si="8"/>
        <v>65</v>
      </c>
      <c r="AK32" s="205">
        <f t="shared" si="9"/>
        <v>75</v>
      </c>
      <c r="AL32" s="205">
        <f t="shared" si="10"/>
        <v>85</v>
      </c>
      <c r="AM32" s="205">
        <f t="shared" si="11"/>
        <v>95</v>
      </c>
      <c r="AN32" s="205">
        <f t="shared" si="12"/>
        <v>105</v>
      </c>
      <c r="AO32" s="205">
        <f t="shared" si="13"/>
        <v>114.99999999999999</v>
      </c>
      <c r="AP32" s="205">
        <f t="shared" si="14"/>
        <v>125</v>
      </c>
    </row>
    <row r="33" spans="1:56" ht="14.45" customHeight="1" x14ac:dyDescent="0.2">
      <c r="B33" s="30" t="str">
        <f>IF(ISERROR(VLOOKUP(1,B51:E62,2,FALSE)),"geen",VLOOKUP(1,B51:E62,2,FALSE))</f>
        <v>geen</v>
      </c>
      <c r="C33" s="165"/>
      <c r="D33" s="135" t="str">
        <f>'Info BD'!L7</f>
        <v>4</v>
      </c>
      <c r="E33" s="200">
        <f>VLOOKUP(1,$A$41:$F$45,6,FALSE)</f>
        <v>727.5</v>
      </c>
      <c r="F33" s="105" t="s">
        <v>164</v>
      </c>
      <c r="G33" s="239">
        <f>Dashboard!G9</f>
        <v>0</v>
      </c>
      <c r="L33" s="130">
        <f t="shared" si="15"/>
        <v>1.0999999999999999</v>
      </c>
      <c r="M33" s="95">
        <f t="shared" ref="M33:M42" si="20">+$M$14*L33</f>
        <v>439999.99999999994</v>
      </c>
      <c r="N33" s="96">
        <f t="shared" si="16"/>
        <v>55</v>
      </c>
      <c r="O33" s="130">
        <v>1.0999999999999999</v>
      </c>
      <c r="P33" s="129"/>
      <c r="Q33" s="118"/>
      <c r="V33" s="268">
        <f t="shared" si="2"/>
        <v>5.4999999999999991</v>
      </c>
      <c r="W33" s="269">
        <f t="shared" si="17"/>
        <v>5.4999999999999993E-2</v>
      </c>
      <c r="X33" s="97">
        <f t="shared" si="4"/>
        <v>27.499999999999996</v>
      </c>
      <c r="Y33" s="118"/>
      <c r="Z33" s="124"/>
      <c r="AA33" s="205">
        <f t="shared" si="18"/>
        <v>27.499999999999996</v>
      </c>
      <c r="AB33" s="128"/>
      <c r="AC33" s="118"/>
      <c r="AD33" s="205">
        <f t="shared" si="19"/>
        <v>27.5</v>
      </c>
      <c r="AE33" s="138">
        <f t="shared" si="5"/>
        <v>489000</v>
      </c>
      <c r="AF33" s="138">
        <f t="shared" si="6"/>
        <v>489000</v>
      </c>
      <c r="AG33" s="138">
        <f t="shared" si="7"/>
        <v>489000</v>
      </c>
      <c r="AH33" s="118"/>
      <c r="AI33" s="118"/>
      <c r="AJ33" s="205">
        <f t="shared" si="8"/>
        <v>64.5</v>
      </c>
      <c r="AK33" s="205">
        <f t="shared" si="9"/>
        <v>74.5</v>
      </c>
      <c r="AL33" s="205">
        <f t="shared" si="10"/>
        <v>84.5</v>
      </c>
      <c r="AM33" s="205">
        <f t="shared" si="11"/>
        <v>94.5</v>
      </c>
      <c r="AN33" s="205">
        <f t="shared" si="12"/>
        <v>104.5</v>
      </c>
      <c r="AO33" s="205">
        <f t="shared" si="13"/>
        <v>114.5</v>
      </c>
      <c r="AP33" s="205">
        <f t="shared" si="14"/>
        <v>124.50000000000001</v>
      </c>
    </row>
    <row r="34" spans="1:56" ht="14.45" customHeight="1" x14ac:dyDescent="0.2">
      <c r="B34" s="110" t="s">
        <v>6</v>
      </c>
      <c r="C34" s="110" t="s">
        <v>6</v>
      </c>
      <c r="D34" s="110" t="s">
        <v>6</v>
      </c>
      <c r="E34" s="110" t="s">
        <v>6</v>
      </c>
      <c r="F34" s="153" t="s">
        <v>199</v>
      </c>
      <c r="G34" s="172">
        <f>Dashboard!H15</f>
        <v>300000</v>
      </c>
      <c r="L34" s="130">
        <f t="shared" si="15"/>
        <v>1.2</v>
      </c>
      <c r="M34" s="95">
        <f t="shared" si="20"/>
        <v>480000</v>
      </c>
      <c r="N34" s="96">
        <f t="shared" si="16"/>
        <v>60</v>
      </c>
      <c r="O34" s="130">
        <v>1.2</v>
      </c>
      <c r="P34" s="129"/>
      <c r="Q34" s="118"/>
      <c r="V34" s="268">
        <f t="shared" si="2"/>
        <v>5.9999999999999991</v>
      </c>
      <c r="W34" s="269">
        <f t="shared" si="17"/>
        <v>5.9999999999999991E-2</v>
      </c>
      <c r="X34" s="97">
        <f t="shared" si="4"/>
        <v>29.999999999999996</v>
      </c>
      <c r="Y34" s="118"/>
      <c r="Z34" s="124"/>
      <c r="AA34" s="205">
        <f t="shared" si="18"/>
        <v>29.999999999999996</v>
      </c>
      <c r="AB34" s="128"/>
      <c r="AC34" s="118"/>
      <c r="AD34" s="205">
        <f t="shared" si="19"/>
        <v>30</v>
      </c>
      <c r="AE34" s="138">
        <f t="shared" si="5"/>
        <v>488000</v>
      </c>
      <c r="AF34" s="138">
        <f t="shared" si="6"/>
        <v>488000</v>
      </c>
      <c r="AG34" s="138">
        <f t="shared" si="7"/>
        <v>488000</v>
      </c>
      <c r="AH34" s="118"/>
      <c r="AI34" s="118"/>
      <c r="AJ34" s="205">
        <f t="shared" si="8"/>
        <v>64</v>
      </c>
      <c r="AK34" s="205">
        <f t="shared" si="9"/>
        <v>74</v>
      </c>
      <c r="AL34" s="205">
        <f t="shared" si="10"/>
        <v>84</v>
      </c>
      <c r="AM34" s="205">
        <f t="shared" si="11"/>
        <v>94</v>
      </c>
      <c r="AN34" s="205">
        <f t="shared" si="12"/>
        <v>104</v>
      </c>
      <c r="AO34" s="205">
        <f t="shared" si="13"/>
        <v>113.99999999999999</v>
      </c>
      <c r="AP34" s="205">
        <f t="shared" si="14"/>
        <v>124</v>
      </c>
      <c r="AT34" s="385" t="s">
        <v>335</v>
      </c>
      <c r="AU34" s="385"/>
      <c r="AV34" s="385"/>
      <c r="AW34" s="385"/>
      <c r="AX34" s="385"/>
      <c r="AY34" s="385"/>
      <c r="AZ34" s="385"/>
      <c r="BA34" s="385"/>
      <c r="BB34" s="385"/>
      <c r="BC34" s="385"/>
      <c r="BD34" s="385"/>
    </row>
    <row r="35" spans="1:56" ht="14.45" customHeight="1" x14ac:dyDescent="0.2">
      <c r="B35" s="111" t="s">
        <v>79</v>
      </c>
      <c r="C35" s="106">
        <v>0</v>
      </c>
      <c r="D35" s="106">
        <v>100</v>
      </c>
      <c r="E35" s="110" t="s">
        <v>6</v>
      </c>
      <c r="F35" s="153" t="s">
        <v>200</v>
      </c>
      <c r="G35" s="172">
        <f>Dashboard!H14</f>
        <v>500000</v>
      </c>
      <c r="L35" s="130">
        <f t="shared" si="15"/>
        <v>1.3</v>
      </c>
      <c r="M35" s="95">
        <f t="shared" si="20"/>
        <v>520000</v>
      </c>
      <c r="N35" s="96">
        <f t="shared" si="16"/>
        <v>65</v>
      </c>
      <c r="O35" s="130">
        <v>1.3</v>
      </c>
      <c r="P35" s="129"/>
      <c r="Q35" s="118"/>
      <c r="V35" s="268">
        <f t="shared" si="2"/>
        <v>6.4999999999999991</v>
      </c>
      <c r="W35" s="269">
        <f t="shared" si="17"/>
        <v>6.4999999999999988E-2</v>
      </c>
      <c r="X35" s="97">
        <f t="shared" si="4"/>
        <v>32.499999999999993</v>
      </c>
      <c r="Y35" s="118"/>
      <c r="Z35" s="124"/>
      <c r="AA35" s="205">
        <f t="shared" si="18"/>
        <v>32.499999999999993</v>
      </c>
      <c r="AB35" s="128"/>
      <c r="AC35" s="118"/>
      <c r="AD35" s="205">
        <f t="shared" si="19"/>
        <v>32.5</v>
      </c>
      <c r="AE35" s="138">
        <f t="shared" si="5"/>
        <v>487000</v>
      </c>
      <c r="AF35" s="138">
        <f t="shared" si="6"/>
        <v>487000</v>
      </c>
      <c r="AG35" s="138">
        <f t="shared" si="7"/>
        <v>487000</v>
      </c>
      <c r="AH35" s="118"/>
      <c r="AI35" s="118"/>
      <c r="AJ35" s="205">
        <f t="shared" si="8"/>
        <v>63.5</v>
      </c>
      <c r="AK35" s="205">
        <f t="shared" si="9"/>
        <v>73.5</v>
      </c>
      <c r="AL35" s="205">
        <f t="shared" si="10"/>
        <v>83.5</v>
      </c>
      <c r="AM35" s="205">
        <f t="shared" si="11"/>
        <v>93.5</v>
      </c>
      <c r="AN35" s="205">
        <f t="shared" si="12"/>
        <v>103.49999999999999</v>
      </c>
      <c r="AO35" s="205">
        <f t="shared" si="13"/>
        <v>113.5</v>
      </c>
      <c r="AP35" s="205">
        <f t="shared" si="14"/>
        <v>123.50000000000001</v>
      </c>
      <c r="AT35" s="385" t="s">
        <v>361</v>
      </c>
      <c r="AU35" s="396"/>
      <c r="AV35" s="385"/>
      <c r="AW35" s="385"/>
      <c r="AX35" s="385" t="s">
        <v>363</v>
      </c>
      <c r="AY35" s="385"/>
      <c r="AZ35" s="385"/>
      <c r="BA35" s="385"/>
      <c r="BB35" s="385"/>
      <c r="BC35" s="385" t="str">
        <f>"Pmax = bovengrens Prijs (" &amp;  BM6 &amp; ") "</f>
        <v xml:space="preserve">Pmax = bovengrens Prijs (€500.000,00) </v>
      </c>
      <c r="BD35" s="385"/>
    </row>
    <row r="36" spans="1:56" ht="14.45" customHeight="1" x14ac:dyDescent="0.2">
      <c r="B36" s="111" t="s">
        <v>72</v>
      </c>
      <c r="C36" s="107">
        <f>+$C$8</f>
        <v>400000</v>
      </c>
      <c r="D36" s="107">
        <f>+$C$8</f>
        <v>400000</v>
      </c>
      <c r="E36" s="110" t="s">
        <v>6</v>
      </c>
      <c r="F36" s="153" t="s">
        <v>201</v>
      </c>
      <c r="G36" s="172">
        <f>(+G34+G35)/2</f>
        <v>400000</v>
      </c>
      <c r="L36" s="130">
        <f t="shared" si="15"/>
        <v>1.4000000000000001</v>
      </c>
      <c r="M36" s="95">
        <f t="shared" si="20"/>
        <v>560000</v>
      </c>
      <c r="N36" s="96">
        <f t="shared" si="16"/>
        <v>70</v>
      </c>
      <c r="O36" s="130">
        <v>1.4000000000000001</v>
      </c>
      <c r="P36" s="129"/>
      <c r="Q36" s="118"/>
      <c r="V36" s="268">
        <f t="shared" si="2"/>
        <v>6.9999999999999991</v>
      </c>
      <c r="W36" s="269">
        <f t="shared" si="17"/>
        <v>6.9999999999999993E-2</v>
      </c>
      <c r="X36" s="97">
        <f t="shared" si="4"/>
        <v>34.999999999999993</v>
      </c>
      <c r="Y36" s="118"/>
      <c r="Z36" s="124"/>
      <c r="AA36" s="205">
        <f t="shared" si="18"/>
        <v>34.999999999999993</v>
      </c>
      <c r="AB36" s="128"/>
      <c r="AC36" s="118"/>
      <c r="AD36" s="205">
        <f t="shared" si="19"/>
        <v>35</v>
      </c>
      <c r="AE36" s="138">
        <f t="shared" si="5"/>
        <v>486000</v>
      </c>
      <c r="AF36" s="138">
        <f t="shared" si="6"/>
        <v>486000</v>
      </c>
      <c r="AG36" s="138">
        <f t="shared" si="7"/>
        <v>486000</v>
      </c>
      <c r="AH36" s="118"/>
      <c r="AI36" s="118"/>
      <c r="AJ36" s="205">
        <f t="shared" si="8"/>
        <v>63</v>
      </c>
      <c r="AK36" s="205">
        <f t="shared" si="9"/>
        <v>73</v>
      </c>
      <c r="AL36" s="205">
        <f t="shared" si="10"/>
        <v>83</v>
      </c>
      <c r="AM36" s="205">
        <f t="shared" si="11"/>
        <v>93</v>
      </c>
      <c r="AN36" s="205">
        <f t="shared" si="12"/>
        <v>103</v>
      </c>
      <c r="AO36" s="205">
        <f t="shared" si="13"/>
        <v>112.99999999999999</v>
      </c>
      <c r="AP36" s="205">
        <f t="shared" si="14"/>
        <v>123</v>
      </c>
      <c r="AT36" s="385" t="s">
        <v>362</v>
      </c>
      <c r="AU36" s="385"/>
      <c r="AV36" s="385"/>
      <c r="AW36" s="385"/>
      <c r="AX36" s="385" t="str">
        <f>"Qmax = maximaal aantal punten (" &amp; BD7 &amp; ") "</f>
        <v xml:space="preserve">Qmax = maximaal aantal punten (200) </v>
      </c>
      <c r="AY36" s="385"/>
      <c r="AZ36" s="385"/>
      <c r="BA36" s="385"/>
      <c r="BB36" s="385"/>
      <c r="BC36" s="385" t="str">
        <f>"Pmin = ondergrens Prijs (" &amp;  BM7 &amp; ") "</f>
        <v xml:space="preserve">Pmin = ondergrens Prijs (€300.000,00) </v>
      </c>
      <c r="BD36" s="385"/>
    </row>
    <row r="37" spans="1:56" ht="14.45" customHeight="1" x14ac:dyDescent="0.2">
      <c r="B37" s="111" t="s">
        <v>80</v>
      </c>
      <c r="C37" s="107">
        <v>0</v>
      </c>
      <c r="D37" s="107">
        <f>+C37</f>
        <v>0</v>
      </c>
      <c r="E37" s="110" t="s">
        <v>6</v>
      </c>
      <c r="F37" s="30" t="s">
        <v>202</v>
      </c>
      <c r="G37" s="238">
        <v>1</v>
      </c>
      <c r="H37" s="238">
        <v>0</v>
      </c>
      <c r="L37" s="130">
        <f t="shared" si="15"/>
        <v>1.5000000000000002</v>
      </c>
      <c r="M37" s="95">
        <f t="shared" si="20"/>
        <v>600000.00000000012</v>
      </c>
      <c r="N37" s="96">
        <f t="shared" si="16"/>
        <v>75</v>
      </c>
      <c r="O37" s="130">
        <v>1.5000000000000002</v>
      </c>
      <c r="P37" s="129"/>
      <c r="Q37" s="118"/>
      <c r="V37" s="268">
        <f t="shared" si="2"/>
        <v>7.5</v>
      </c>
      <c r="W37" s="269">
        <f t="shared" si="17"/>
        <v>7.4999999999999997E-2</v>
      </c>
      <c r="X37" s="97">
        <f t="shared" si="4"/>
        <v>37.5</v>
      </c>
      <c r="Y37" s="118"/>
      <c r="Z37" s="124"/>
      <c r="AA37" s="205">
        <f t="shared" si="18"/>
        <v>37.5</v>
      </c>
      <c r="AB37" s="128"/>
      <c r="AC37" s="118"/>
      <c r="AD37" s="205">
        <f t="shared" si="19"/>
        <v>37.5</v>
      </c>
      <c r="AE37" s="138">
        <f t="shared" si="5"/>
        <v>485000</v>
      </c>
      <c r="AF37" s="138">
        <f t="shared" si="6"/>
        <v>485000</v>
      </c>
      <c r="AG37" s="138">
        <f t="shared" si="7"/>
        <v>485000</v>
      </c>
      <c r="AH37" s="118"/>
      <c r="AI37" s="118"/>
      <c r="AJ37" s="205">
        <f t="shared" si="8"/>
        <v>62.5</v>
      </c>
      <c r="AK37" s="205">
        <f t="shared" si="9"/>
        <v>72.5</v>
      </c>
      <c r="AL37" s="205">
        <f t="shared" si="10"/>
        <v>82.5</v>
      </c>
      <c r="AM37" s="205">
        <f t="shared" si="11"/>
        <v>92.5</v>
      </c>
      <c r="AN37" s="205">
        <f t="shared" si="12"/>
        <v>102.49999999999999</v>
      </c>
      <c r="AO37" s="205">
        <f t="shared" si="13"/>
        <v>112.5</v>
      </c>
      <c r="AP37" s="205">
        <f t="shared" si="14"/>
        <v>122.50000000000001</v>
      </c>
      <c r="AT37" s="385" t="str">
        <f>"Wq = gewicht voor Kwaliteit (" &amp; AX6 &amp;") "</f>
        <v xml:space="preserve">Wq = gewicht voor Kwaliteit (50%) </v>
      </c>
      <c r="AU37" s="385"/>
      <c r="AV37" s="385"/>
      <c r="AW37" s="385"/>
      <c r="AX37" s="385" t="str">
        <f>"Qwensen = aantal punten voor de Wensen (" &amp; AX3 &amp; ") "</f>
        <v xml:space="preserve">Qwensen = aantal punten voor de Wensen (500) </v>
      </c>
      <c r="AY37" s="385"/>
      <c r="AZ37" s="385"/>
      <c r="BA37" s="385"/>
      <c r="BB37" s="385"/>
      <c r="BC37" s="385" t="str">
        <f>"SPmax = maximaal aantal punten voor Prijs ("&amp; BM8 &amp; ") "</f>
        <v xml:space="preserve">SPmax = maximaal aantal punten voor Prijs (500) </v>
      </c>
      <c r="BD37" s="385"/>
    </row>
    <row r="38" spans="1:56" ht="14.45" customHeight="1" x14ac:dyDescent="0.2">
      <c r="B38" s="111" t="s">
        <v>73</v>
      </c>
      <c r="C38" s="107">
        <v>0</v>
      </c>
      <c r="D38" s="107">
        <f>+C38</f>
        <v>0</v>
      </c>
      <c r="E38" s="24"/>
      <c r="F38" s="30" t="s">
        <v>20</v>
      </c>
      <c r="G38" s="238">
        <v>0.5</v>
      </c>
      <c r="L38" s="130">
        <f t="shared" si="15"/>
        <v>1.6000000000000003</v>
      </c>
      <c r="M38" s="95">
        <f t="shared" si="20"/>
        <v>640000.00000000012</v>
      </c>
      <c r="N38" s="96">
        <f t="shared" si="16"/>
        <v>80</v>
      </c>
      <c r="O38" s="130">
        <v>1.6000000000000003</v>
      </c>
      <c r="P38" s="129"/>
      <c r="Q38" s="118"/>
      <c r="V38" s="268">
        <f t="shared" si="2"/>
        <v>8</v>
      </c>
      <c r="W38" s="269">
        <f t="shared" si="17"/>
        <v>0.08</v>
      </c>
      <c r="X38" s="97">
        <f t="shared" si="4"/>
        <v>40</v>
      </c>
      <c r="Y38" s="118"/>
      <c r="Z38" s="124"/>
      <c r="AA38" s="205">
        <f t="shared" si="18"/>
        <v>40</v>
      </c>
      <c r="AB38" s="128"/>
      <c r="AC38" s="118"/>
      <c r="AD38" s="205">
        <f t="shared" si="19"/>
        <v>40</v>
      </c>
      <c r="AE38" s="138">
        <f t="shared" si="5"/>
        <v>484000</v>
      </c>
      <c r="AF38" s="138">
        <f t="shared" si="6"/>
        <v>484000</v>
      </c>
      <c r="AG38" s="138">
        <f t="shared" si="7"/>
        <v>484000</v>
      </c>
      <c r="AH38" s="118"/>
      <c r="AI38" s="118"/>
      <c r="AJ38" s="205">
        <f t="shared" si="8"/>
        <v>62</v>
      </c>
      <c r="AK38" s="205">
        <f t="shared" si="9"/>
        <v>72</v>
      </c>
      <c r="AL38" s="205">
        <f t="shared" si="10"/>
        <v>82</v>
      </c>
      <c r="AM38" s="205">
        <f t="shared" si="11"/>
        <v>92</v>
      </c>
      <c r="AN38" s="205">
        <f t="shared" si="12"/>
        <v>102</v>
      </c>
      <c r="AO38" s="205">
        <f t="shared" si="13"/>
        <v>112.00000000000001</v>
      </c>
      <c r="AP38" s="205">
        <f t="shared" si="14"/>
        <v>122</v>
      </c>
      <c r="AT38" s="385" t="str">
        <f>"Wp = gewicht voor Prijs (" &amp; AX7 &amp; ") "</f>
        <v xml:space="preserve">Wp = gewicht voor Prijs (50%) </v>
      </c>
      <c r="AU38" s="385"/>
      <c r="AV38" s="385"/>
      <c r="AW38" s="385"/>
      <c r="AX38" s="385" t="s">
        <v>364</v>
      </c>
      <c r="AY38" s="385"/>
      <c r="AZ38" s="385"/>
      <c r="BA38" s="385"/>
      <c r="BB38" s="385"/>
      <c r="BC38" s="385" t="str">
        <f>"SPmin = minimaal aantal punten voor Prijs (="</f>
        <v>SPmin = minimaal aantal punten voor Prijs (=</v>
      </c>
      <c r="BD38" s="385"/>
    </row>
    <row r="39" spans="1:56" ht="14.45" customHeight="1" x14ac:dyDescent="0.2">
      <c r="B39" s="123"/>
      <c r="C39" s="123"/>
      <c r="D39" s="123"/>
      <c r="E39" s="24"/>
      <c r="F39" s="24"/>
      <c r="G39" s="24"/>
      <c r="L39" s="130">
        <f t="shared" si="15"/>
        <v>1.7000000000000004</v>
      </c>
      <c r="M39" s="95">
        <f t="shared" si="20"/>
        <v>680000.00000000012</v>
      </c>
      <c r="N39" s="96">
        <f t="shared" si="16"/>
        <v>85</v>
      </c>
      <c r="O39" s="130">
        <v>1.7000000000000004</v>
      </c>
      <c r="P39" s="129"/>
      <c r="Q39" s="118"/>
      <c r="V39" s="268">
        <f t="shared" si="2"/>
        <v>8.5</v>
      </c>
      <c r="W39" s="269">
        <f t="shared" si="17"/>
        <v>8.5000000000000006E-2</v>
      </c>
      <c r="X39" s="97">
        <f t="shared" si="4"/>
        <v>42.5</v>
      </c>
      <c r="Y39" s="118"/>
      <c r="Z39" s="124"/>
      <c r="AA39" s="205">
        <f t="shared" si="18"/>
        <v>42.5</v>
      </c>
      <c r="AB39" s="128"/>
      <c r="AC39" s="118"/>
      <c r="AD39" s="205">
        <f t="shared" si="19"/>
        <v>42.5</v>
      </c>
      <c r="AE39" s="138">
        <f t="shared" si="5"/>
        <v>483000</v>
      </c>
      <c r="AF39" s="138">
        <f t="shared" si="6"/>
        <v>483000</v>
      </c>
      <c r="AG39" s="138">
        <f t="shared" si="7"/>
        <v>483000</v>
      </c>
      <c r="AH39" s="118"/>
      <c r="AI39" s="118"/>
      <c r="AJ39" s="205">
        <f t="shared" si="8"/>
        <v>61.5</v>
      </c>
      <c r="AK39" s="205">
        <f t="shared" si="9"/>
        <v>71.5</v>
      </c>
      <c r="AL39" s="205">
        <f t="shared" si="10"/>
        <v>81.5</v>
      </c>
      <c r="AM39" s="205">
        <f t="shared" si="11"/>
        <v>91.5</v>
      </c>
      <c r="AN39" s="205">
        <f t="shared" si="12"/>
        <v>101.49999999999999</v>
      </c>
      <c r="AO39" s="205">
        <f t="shared" si="13"/>
        <v>111.5</v>
      </c>
      <c r="AP39" s="205">
        <f t="shared" si="14"/>
        <v>121.50000000000001</v>
      </c>
      <c r="AT39" s="385" t="str">
        <f>"n = " &amp; AX8 &amp;" "</f>
        <v xml:space="preserve">n = 1,0 </v>
      </c>
      <c r="AU39" s="385"/>
      <c r="AV39" s="385"/>
      <c r="AW39" s="385"/>
      <c r="AX39" s="385" t="s">
        <v>365</v>
      </c>
      <c r="AY39" s="385"/>
      <c r="AZ39" s="385"/>
      <c r="BA39" s="385"/>
      <c r="BB39" s="385"/>
      <c r="BC39" s="385" t="s">
        <v>366</v>
      </c>
      <c r="BD39" s="385"/>
    </row>
    <row r="40" spans="1:56" ht="14.45" customHeight="1" x14ac:dyDescent="0.2">
      <c r="B40" s="112" t="s">
        <v>141</v>
      </c>
      <c r="C40" s="195" t="s">
        <v>64</v>
      </c>
      <c r="D40" s="195" t="s">
        <v>159</v>
      </c>
      <c r="E40" s="195" t="s">
        <v>158</v>
      </c>
      <c r="F40" s="196" t="s">
        <v>157</v>
      </c>
      <c r="G40" s="196" t="s">
        <v>170</v>
      </c>
      <c r="H40" s="196" t="s">
        <v>179</v>
      </c>
      <c r="I40" s="196" t="s">
        <v>182</v>
      </c>
      <c r="L40" s="130">
        <f t="shared" si="15"/>
        <v>1.8000000000000005</v>
      </c>
      <c r="M40" s="95">
        <f t="shared" si="20"/>
        <v>720000.00000000023</v>
      </c>
      <c r="N40" s="96">
        <f t="shared" si="16"/>
        <v>90</v>
      </c>
      <c r="O40" s="130">
        <v>1.8000000000000005</v>
      </c>
      <c r="P40" s="129"/>
      <c r="Q40" s="118"/>
      <c r="V40" s="268">
        <f t="shared" si="2"/>
        <v>9.0000000000000018</v>
      </c>
      <c r="W40" s="269">
        <f t="shared" si="17"/>
        <v>9.0000000000000011E-2</v>
      </c>
      <c r="X40" s="97">
        <f t="shared" si="4"/>
        <v>45.000000000000007</v>
      </c>
      <c r="Y40" s="118"/>
      <c r="Z40" s="124"/>
      <c r="AA40" s="205">
        <f t="shared" si="18"/>
        <v>45.000000000000007</v>
      </c>
      <c r="AB40" s="128"/>
      <c r="AC40" s="118"/>
      <c r="AD40" s="205">
        <f t="shared" si="19"/>
        <v>45</v>
      </c>
      <c r="AE40" s="138">
        <f t="shared" si="5"/>
        <v>482000</v>
      </c>
      <c r="AF40" s="138">
        <f t="shared" si="6"/>
        <v>482000</v>
      </c>
      <c r="AG40" s="138">
        <f t="shared" si="7"/>
        <v>482000</v>
      </c>
      <c r="AH40" s="118"/>
      <c r="AI40" s="118"/>
      <c r="AJ40" s="205">
        <f t="shared" si="8"/>
        <v>61</v>
      </c>
      <c r="AK40" s="205">
        <f t="shared" si="9"/>
        <v>71</v>
      </c>
      <c r="AL40" s="205">
        <f t="shared" si="10"/>
        <v>81</v>
      </c>
      <c r="AM40" s="205">
        <f t="shared" si="11"/>
        <v>91</v>
      </c>
      <c r="AN40" s="205">
        <f t="shared" si="12"/>
        <v>101</v>
      </c>
      <c r="AO40" s="205">
        <f t="shared" si="13"/>
        <v>111.00000000000001</v>
      </c>
      <c r="AP40" s="205">
        <f t="shared" si="14"/>
        <v>121</v>
      </c>
    </row>
    <row r="41" spans="1:56" ht="14.45" customHeight="1" x14ac:dyDescent="0.2">
      <c r="A41" s="199">
        <f>+I41</f>
        <v>5</v>
      </c>
      <c r="B41" s="198">
        <v>1</v>
      </c>
      <c r="C41" s="114">
        <f>+'Info BD'!I19</f>
        <v>385000</v>
      </c>
      <c r="D41" s="192">
        <f>+'Info BD'!J19</f>
        <v>338</v>
      </c>
      <c r="E41" s="206" t="str">
        <f>IF($F$11&lt;&gt;"n.v.t.",$F$14+(D41/$C$6)*$F$11,"n.v.t.")</f>
        <v>n.v.t.</v>
      </c>
      <c r="F41" s="263">
        <f>IF(H41="KO","KO",IF(E41&lt;&gt;"n.v.t.",C168,C168))</f>
        <v>625.5</v>
      </c>
      <c r="G41" s="30">
        <f>IF(E41="n.v.t.",D41/$C$6*$F$13,E41)</f>
        <v>67.600000000000009</v>
      </c>
      <c r="H41" s="152" t="str">
        <f>IF(AND(C41&lt;=$C$17,C41&gt;=$C$14,D41&gt;=$F$49),"","KO")</f>
        <v/>
      </c>
      <c r="I41" s="220">
        <f>IF(ISERROR(RANK(F41,$F$41:$F$45)),"KO",RANK(F41,$F$41:$F$45))</f>
        <v>5</v>
      </c>
      <c r="L41" s="130">
        <f t="shared" si="15"/>
        <v>1.9000000000000006</v>
      </c>
      <c r="M41" s="95">
        <f t="shared" si="20"/>
        <v>760000.00000000023</v>
      </c>
      <c r="N41" s="96">
        <f t="shared" si="16"/>
        <v>95</v>
      </c>
      <c r="O41" s="130">
        <v>1.9000000000000006</v>
      </c>
      <c r="P41" s="129"/>
      <c r="Q41" s="118"/>
      <c r="V41" s="268">
        <f t="shared" si="2"/>
        <v>9.5000000000000018</v>
      </c>
      <c r="W41" s="269">
        <f t="shared" si="17"/>
        <v>9.5000000000000015E-2</v>
      </c>
      <c r="X41" s="97">
        <f t="shared" si="4"/>
        <v>47.500000000000007</v>
      </c>
      <c r="Y41" s="118"/>
      <c r="Z41" s="124"/>
      <c r="AA41" s="205">
        <f t="shared" si="18"/>
        <v>47.500000000000007</v>
      </c>
      <c r="AB41" s="128"/>
      <c r="AC41" s="118"/>
      <c r="AD41" s="205">
        <f t="shared" si="19"/>
        <v>47.5</v>
      </c>
      <c r="AE41" s="138">
        <f t="shared" si="5"/>
        <v>481000</v>
      </c>
      <c r="AF41" s="138">
        <f t="shared" si="6"/>
        <v>481000</v>
      </c>
      <c r="AG41" s="138">
        <f t="shared" si="7"/>
        <v>481000</v>
      </c>
      <c r="AH41" s="118"/>
      <c r="AI41" s="118"/>
      <c r="AJ41" s="205">
        <f t="shared" si="8"/>
        <v>60.5</v>
      </c>
      <c r="AK41" s="205">
        <f t="shared" si="9"/>
        <v>70.5</v>
      </c>
      <c r="AL41" s="205">
        <f t="shared" si="10"/>
        <v>80.5</v>
      </c>
      <c r="AM41" s="205">
        <f t="shared" si="11"/>
        <v>90.5</v>
      </c>
      <c r="AN41" s="205">
        <f t="shared" si="12"/>
        <v>100.49999999999999</v>
      </c>
      <c r="AO41" s="205">
        <f t="shared" si="13"/>
        <v>110.5</v>
      </c>
      <c r="AP41" s="205">
        <f t="shared" si="14"/>
        <v>120.5</v>
      </c>
      <c r="AT41" s="34" t="s">
        <v>336</v>
      </c>
    </row>
    <row r="42" spans="1:56" ht="14.45" customHeight="1" x14ac:dyDescent="0.2">
      <c r="A42" s="199">
        <f>+I42</f>
        <v>2</v>
      </c>
      <c r="B42" s="198">
        <v>2</v>
      </c>
      <c r="C42" s="114">
        <f>+'Info BD'!I20</f>
        <v>360000</v>
      </c>
      <c r="D42" s="192">
        <f>+'Info BD'!J20</f>
        <v>363</v>
      </c>
      <c r="E42" s="206" t="str">
        <f>IF($F$11&lt;&gt;"n.v.t.",$F$14+(D42/$C$6)*$F$11,"n.v.t.")</f>
        <v>n.v.t.</v>
      </c>
      <c r="F42" s="263">
        <f>IF(H42="KO","KO",IF(E42&lt;&gt;"n.v.t.",C169,C169))</f>
        <v>713</v>
      </c>
      <c r="G42" s="30">
        <f>IF(E42="n.v.t.",D42/$C$6*$F$13,E42)</f>
        <v>72.599999999999994</v>
      </c>
      <c r="H42" s="152" t="str">
        <f>IF(AND(C42&lt;=$C$17,C42&gt;=$C$14,D42&gt;=$F$49),"","KO")</f>
        <v/>
      </c>
      <c r="I42" s="220">
        <f>IF(ISERROR(RANK(F42,$F$41:$F$45)),"KO",RANK(F42,$F$41:$F$45))</f>
        <v>2</v>
      </c>
      <c r="L42" s="94">
        <f t="shared" si="15"/>
        <v>2.0000000000000004</v>
      </c>
      <c r="M42" s="95">
        <f t="shared" si="20"/>
        <v>800000.00000000023</v>
      </c>
      <c r="N42" s="96">
        <f t="shared" si="16"/>
        <v>100</v>
      </c>
      <c r="O42" s="94">
        <v>2.0000000000000004</v>
      </c>
      <c r="P42" s="129"/>
      <c r="Q42" s="118"/>
      <c r="V42" s="268">
        <f t="shared" si="2"/>
        <v>10.000000000000002</v>
      </c>
      <c r="W42" s="269">
        <f t="shared" si="17"/>
        <v>0.10000000000000002</v>
      </c>
      <c r="X42" s="97">
        <f t="shared" si="4"/>
        <v>50.000000000000007</v>
      </c>
      <c r="Y42" s="118"/>
      <c r="Z42" s="124"/>
      <c r="AA42" s="205">
        <f t="shared" si="18"/>
        <v>50.000000000000007</v>
      </c>
      <c r="AB42" s="128"/>
      <c r="AC42" s="118"/>
      <c r="AD42" s="205">
        <f t="shared" si="19"/>
        <v>50</v>
      </c>
      <c r="AE42" s="138">
        <f t="shared" si="5"/>
        <v>480000</v>
      </c>
      <c r="AF42" s="138">
        <f t="shared" si="6"/>
        <v>480000</v>
      </c>
      <c r="AG42" s="138">
        <f t="shared" si="7"/>
        <v>480000</v>
      </c>
      <c r="AH42" s="118"/>
      <c r="AI42" s="118"/>
      <c r="AJ42" s="205">
        <f t="shared" si="8"/>
        <v>60</v>
      </c>
      <c r="AK42" s="205">
        <f t="shared" si="9"/>
        <v>70</v>
      </c>
      <c r="AL42" s="205">
        <f t="shared" si="10"/>
        <v>80</v>
      </c>
      <c r="AM42" s="205">
        <f t="shared" si="11"/>
        <v>90</v>
      </c>
      <c r="AN42" s="205">
        <f t="shared" si="12"/>
        <v>100</v>
      </c>
      <c r="AO42" s="205">
        <f t="shared" si="13"/>
        <v>110.00000000000001</v>
      </c>
      <c r="AP42" s="205">
        <f t="shared" si="14"/>
        <v>120</v>
      </c>
    </row>
    <row r="43" spans="1:56" ht="14.45" customHeight="1" x14ac:dyDescent="0.2">
      <c r="A43" s="199">
        <f>+I43</f>
        <v>3</v>
      </c>
      <c r="B43" s="198">
        <v>3</v>
      </c>
      <c r="C43" s="114">
        <f>+'Info BD'!I21</f>
        <v>405000</v>
      </c>
      <c r="D43" s="192">
        <f>+'Info BD'!J21</f>
        <v>450</v>
      </c>
      <c r="E43" s="206" t="str">
        <f>IF($F$11&lt;&gt;"n.v.t.",$F$14+(D43/$C$6)*$F$11,"n.v.t.")</f>
        <v>n.v.t.</v>
      </c>
      <c r="F43" s="263">
        <f>IF(H43="KO","KO",IF(E43&lt;&gt;"n.v.t.",C170,C170))</f>
        <v>687.5</v>
      </c>
      <c r="G43" s="30">
        <f>IF(E43="n.v.t.",D43/$C$6*$F$13,E43)</f>
        <v>90</v>
      </c>
      <c r="H43" s="152" t="str">
        <f>IF(AND(C43&lt;=$C$17,C43&gt;=$C$14,D43&gt;=$F$49),"","KO")</f>
        <v/>
      </c>
      <c r="I43" s="220">
        <f>IF(ISERROR(RANK(F43,$F$41:$F$45)),"KO",RANK(F43,$F$41:$F$45))</f>
        <v>3</v>
      </c>
      <c r="L43" s="118"/>
      <c r="M43" s="118"/>
      <c r="N43" s="118"/>
      <c r="O43" s="118"/>
      <c r="P43" s="118"/>
      <c r="Q43" s="118"/>
      <c r="V43" s="268">
        <f t="shared" si="2"/>
        <v>10.500000000000002</v>
      </c>
      <c r="W43" s="269">
        <f t="shared" si="17"/>
        <v>0.10500000000000002</v>
      </c>
      <c r="X43" s="97">
        <f t="shared" si="4"/>
        <v>52.500000000000014</v>
      </c>
      <c r="Y43" s="118"/>
      <c r="Z43" s="124"/>
      <c r="AA43" s="205">
        <f t="shared" si="18"/>
        <v>52.500000000000014</v>
      </c>
      <c r="AB43" s="128"/>
      <c r="AC43" s="118"/>
      <c r="AD43" s="205">
        <f t="shared" si="19"/>
        <v>52.5</v>
      </c>
      <c r="AE43" s="138">
        <f t="shared" si="5"/>
        <v>479000</v>
      </c>
      <c r="AF43" s="138">
        <f t="shared" si="6"/>
        <v>479000</v>
      </c>
      <c r="AG43" s="138">
        <f t="shared" si="7"/>
        <v>479000</v>
      </c>
      <c r="AH43" s="118"/>
      <c r="AI43" s="118"/>
      <c r="AJ43" s="205">
        <f t="shared" si="8"/>
        <v>59.5</v>
      </c>
      <c r="AK43" s="205">
        <f t="shared" si="9"/>
        <v>69.5</v>
      </c>
      <c r="AL43" s="205">
        <f t="shared" si="10"/>
        <v>79.5</v>
      </c>
      <c r="AM43" s="205">
        <f t="shared" si="11"/>
        <v>89.5</v>
      </c>
      <c r="AN43" s="205">
        <f t="shared" si="12"/>
        <v>99.5</v>
      </c>
      <c r="AO43" s="205">
        <f t="shared" si="13"/>
        <v>109.5</v>
      </c>
      <c r="AP43" s="205">
        <f t="shared" si="14"/>
        <v>119.5</v>
      </c>
    </row>
    <row r="44" spans="1:56" ht="14.45" customHeight="1" x14ac:dyDescent="0.2">
      <c r="A44" s="199">
        <f>+I44</f>
        <v>1</v>
      </c>
      <c r="B44" s="198">
        <v>4</v>
      </c>
      <c r="C44" s="114">
        <f>+'Info BD'!I22</f>
        <v>379000</v>
      </c>
      <c r="D44" s="192">
        <f>+'Info BD'!J22</f>
        <v>425</v>
      </c>
      <c r="E44" s="206" t="str">
        <f>IF($F$11&lt;&gt;"n.v.t.",$F$14+(D44/$C$6)*$F$11,"n.v.t.")</f>
        <v>n.v.t.</v>
      </c>
      <c r="F44" s="263">
        <f>IF(H44="KO","KO",IF(E44&lt;&gt;"n.v.t.",C171,C171))</f>
        <v>727.5</v>
      </c>
      <c r="G44" s="30">
        <f>IF(E44="n.v.t.",D44/$C$6*$F$13,E44)</f>
        <v>85</v>
      </c>
      <c r="H44" s="152" t="str">
        <f>IF(AND(C44&lt;=$C$17,C44&gt;=$C$14,D44&gt;=$F$49),"","KO")</f>
        <v/>
      </c>
      <c r="I44" s="220">
        <f>IF(ISERROR(RANK(F44,$F$41:$F$45)),"KO",RANK(F44,$F$41:$F$45))</f>
        <v>1</v>
      </c>
      <c r="L44" s="514" t="s">
        <v>69</v>
      </c>
      <c r="M44" s="514"/>
      <c r="N44" s="118"/>
      <c r="O44" s="136" t="s">
        <v>70</v>
      </c>
      <c r="P44" s="136"/>
      <c r="Q44" s="136"/>
      <c r="V44" s="268">
        <f t="shared" si="2"/>
        <v>11.000000000000004</v>
      </c>
      <c r="W44" s="269">
        <f t="shared" si="17"/>
        <v>0.11000000000000003</v>
      </c>
      <c r="X44" s="97">
        <f t="shared" si="4"/>
        <v>55.000000000000014</v>
      </c>
      <c r="Y44" s="118"/>
      <c r="Z44" s="124"/>
      <c r="AA44" s="205">
        <f t="shared" si="18"/>
        <v>55.000000000000014</v>
      </c>
      <c r="AB44" s="128"/>
      <c r="AC44" s="118"/>
      <c r="AD44" s="205">
        <f t="shared" si="19"/>
        <v>55</v>
      </c>
      <c r="AE44" s="138">
        <f t="shared" si="5"/>
        <v>478000</v>
      </c>
      <c r="AF44" s="138">
        <f t="shared" si="6"/>
        <v>478000</v>
      </c>
      <c r="AG44" s="138">
        <f t="shared" si="7"/>
        <v>478000</v>
      </c>
      <c r="AH44" s="118"/>
      <c r="AI44" s="118"/>
      <c r="AJ44" s="205">
        <f t="shared" si="8"/>
        <v>59</v>
      </c>
      <c r="AK44" s="205">
        <f t="shared" si="9"/>
        <v>69</v>
      </c>
      <c r="AL44" s="205">
        <f t="shared" si="10"/>
        <v>79</v>
      </c>
      <c r="AM44" s="205">
        <f t="shared" si="11"/>
        <v>89</v>
      </c>
      <c r="AN44" s="205">
        <f t="shared" si="12"/>
        <v>99</v>
      </c>
      <c r="AO44" s="205">
        <f t="shared" si="13"/>
        <v>109.00000000000001</v>
      </c>
      <c r="AP44" s="205">
        <f t="shared" si="14"/>
        <v>119</v>
      </c>
    </row>
    <row r="45" spans="1:56" ht="14.45" customHeight="1" x14ac:dyDescent="0.2">
      <c r="A45" s="199">
        <f>+I45</f>
        <v>4</v>
      </c>
      <c r="B45" s="198">
        <v>5</v>
      </c>
      <c r="C45" s="114">
        <f>+'Info BD'!I23</f>
        <v>400000</v>
      </c>
      <c r="D45" s="192">
        <f>+'Info BD'!J23</f>
        <v>388</v>
      </c>
      <c r="E45" s="206" t="str">
        <f>IF($F$11&lt;&gt;"n.v.t.",$F$14+(D45/$C$6)*$F$11,"n.v.t.")</f>
        <v>n.v.t.</v>
      </c>
      <c r="F45" s="263">
        <f>IF(H45="KO","KO",IF(E45&lt;&gt;"n.v.t.",C172,C172))</f>
        <v>638</v>
      </c>
      <c r="G45" s="30">
        <f>IF(E45="n.v.t.",D45/$C$6*$F$13,E45)</f>
        <v>77.600000000000009</v>
      </c>
      <c r="H45" s="152" t="str">
        <f>IF(AND(C45&lt;=$C$17,C45&gt;=$C$14,D45&gt;=$F$49),"","KO")</f>
        <v/>
      </c>
      <c r="I45" s="220">
        <f>IF(ISERROR(RANK(F45,$F$41:$F$45)),"KO",RANK(F45,$F$41:$F$45))</f>
        <v>4</v>
      </c>
      <c r="L45" s="514"/>
      <c r="M45" s="514"/>
      <c r="N45" s="118"/>
      <c r="O45" s="136"/>
      <c r="P45" s="136"/>
      <c r="Q45" s="136"/>
      <c r="V45" s="268">
        <f t="shared" si="2"/>
        <v>11.500000000000004</v>
      </c>
      <c r="W45" s="269">
        <f t="shared" si="17"/>
        <v>0.11500000000000003</v>
      </c>
      <c r="X45" s="97">
        <f t="shared" si="4"/>
        <v>57.500000000000014</v>
      </c>
      <c r="Y45" s="118"/>
      <c r="Z45" s="124"/>
      <c r="AA45" s="205">
        <f t="shared" si="18"/>
        <v>57.500000000000014</v>
      </c>
      <c r="AB45" s="128"/>
      <c r="AC45" s="118"/>
      <c r="AD45" s="205">
        <f t="shared" si="19"/>
        <v>57.5</v>
      </c>
      <c r="AE45" s="138">
        <f t="shared" si="5"/>
        <v>477000</v>
      </c>
      <c r="AF45" s="138">
        <f t="shared" si="6"/>
        <v>477000</v>
      </c>
      <c r="AG45" s="138">
        <f t="shared" si="7"/>
        <v>477000</v>
      </c>
      <c r="AH45" s="118"/>
      <c r="AI45" s="118"/>
      <c r="AJ45" s="205">
        <f t="shared" si="8"/>
        <v>58.5</v>
      </c>
      <c r="AK45" s="205">
        <f t="shared" si="9"/>
        <v>68.5</v>
      </c>
      <c r="AL45" s="205">
        <f t="shared" si="10"/>
        <v>78.5</v>
      </c>
      <c r="AM45" s="205">
        <f t="shared" si="11"/>
        <v>88.5</v>
      </c>
      <c r="AN45" s="205">
        <f t="shared" si="12"/>
        <v>98.5</v>
      </c>
      <c r="AO45" s="205">
        <f t="shared" si="13"/>
        <v>108.5</v>
      </c>
      <c r="AP45" s="205">
        <f t="shared" si="14"/>
        <v>118.5</v>
      </c>
      <c r="AT45" s="34" t="s">
        <v>198</v>
      </c>
    </row>
    <row r="46" spans="1:56" ht="14.45" customHeight="1" x14ac:dyDescent="0.2">
      <c r="A46" s="197" t="s">
        <v>6</v>
      </c>
      <c r="B46" s="24"/>
      <c r="C46" s="24"/>
      <c r="D46" s="24"/>
      <c r="E46" s="24"/>
      <c r="F46" s="24">
        <f>COUNT(F41:F45)</f>
        <v>5</v>
      </c>
      <c r="G46" s="24"/>
      <c r="V46" s="268">
        <f t="shared" si="2"/>
        <v>12.000000000000004</v>
      </c>
      <c r="W46" s="269">
        <f t="shared" si="17"/>
        <v>0.12000000000000004</v>
      </c>
      <c r="X46" s="97">
        <f t="shared" si="4"/>
        <v>60.000000000000021</v>
      </c>
      <c r="Y46" s="118"/>
      <c r="Z46" s="124"/>
      <c r="AA46" s="205">
        <f t="shared" si="18"/>
        <v>60.000000000000021</v>
      </c>
      <c r="AB46" s="128"/>
      <c r="AC46" s="118"/>
      <c r="AD46" s="205">
        <f t="shared" si="19"/>
        <v>60</v>
      </c>
      <c r="AE46" s="138">
        <f t="shared" si="5"/>
        <v>476000</v>
      </c>
      <c r="AF46" s="138">
        <f t="shared" si="6"/>
        <v>476000</v>
      </c>
      <c r="AG46" s="138">
        <f t="shared" si="7"/>
        <v>476000</v>
      </c>
      <c r="AH46" s="118"/>
      <c r="AI46" s="118"/>
      <c r="AJ46" s="205">
        <f t="shared" si="8"/>
        <v>57.999999999999993</v>
      </c>
      <c r="AK46" s="205">
        <f t="shared" si="9"/>
        <v>68</v>
      </c>
      <c r="AL46" s="205">
        <f t="shared" si="10"/>
        <v>78</v>
      </c>
      <c r="AM46" s="205">
        <f t="shared" si="11"/>
        <v>88</v>
      </c>
      <c r="AN46" s="205">
        <f t="shared" si="12"/>
        <v>98</v>
      </c>
      <c r="AO46" s="205">
        <f t="shared" si="13"/>
        <v>108</v>
      </c>
      <c r="AP46" s="205">
        <f t="shared" si="14"/>
        <v>118</v>
      </c>
      <c r="AT46" s="34" t="str">
        <f>"Als voorbeeld wordt in de grafiek een inschrijving getoond (oranje punt) met een BPK-score van " &amp;BD2 &amp; ". "</f>
        <v xml:space="preserve">Als voorbeeld wordt in de grafiek een inschrijving getoond (oranje punt) met een BPK-score van 500,0. </v>
      </c>
    </row>
    <row r="47" spans="1:56" ht="14.45" customHeight="1" x14ac:dyDescent="0.2">
      <c r="A47" s="24"/>
      <c r="B47" s="104" t="s">
        <v>81</v>
      </c>
      <c r="C47" s="30" t="s">
        <v>82</v>
      </c>
      <c r="D47" s="24"/>
      <c r="E47" s="24"/>
      <c r="F47" s="24"/>
      <c r="G47" s="24"/>
      <c r="V47" s="268">
        <f t="shared" si="2"/>
        <v>12.500000000000004</v>
      </c>
      <c r="W47" s="269">
        <f t="shared" si="17"/>
        <v>0.12500000000000003</v>
      </c>
      <c r="X47" s="97">
        <f t="shared" si="4"/>
        <v>62.500000000000014</v>
      </c>
      <c r="Y47" s="118"/>
      <c r="Z47" s="124"/>
      <c r="AA47" s="205">
        <f t="shared" si="18"/>
        <v>62.500000000000014</v>
      </c>
      <c r="AB47" s="128"/>
      <c r="AC47" s="118"/>
      <c r="AD47" s="205">
        <f t="shared" si="19"/>
        <v>62.5</v>
      </c>
      <c r="AE47" s="138">
        <f t="shared" si="5"/>
        <v>475000</v>
      </c>
      <c r="AF47" s="138">
        <f t="shared" si="6"/>
        <v>475000</v>
      </c>
      <c r="AG47" s="138">
        <f t="shared" si="7"/>
        <v>475000</v>
      </c>
      <c r="AH47" s="118"/>
      <c r="AI47" s="118"/>
      <c r="AJ47" s="205">
        <f t="shared" si="8"/>
        <v>57.499999999999993</v>
      </c>
      <c r="AK47" s="205">
        <f t="shared" si="9"/>
        <v>67.5</v>
      </c>
      <c r="AL47" s="205">
        <f t="shared" si="10"/>
        <v>77.5</v>
      </c>
      <c r="AM47" s="205">
        <f t="shared" si="11"/>
        <v>87.5</v>
      </c>
      <c r="AN47" s="205">
        <f t="shared" si="12"/>
        <v>97.5</v>
      </c>
      <c r="AO47" s="205">
        <f t="shared" si="13"/>
        <v>107.5</v>
      </c>
      <c r="AP47" s="205">
        <f t="shared" si="14"/>
        <v>117.5</v>
      </c>
      <c r="AT47" s="34" t="str">
        <f>"Deze score geldt voor de volledige doorlopende donkeroranje lijn. "</f>
        <v xml:space="preserve">Deze score geldt voor de volledige doorlopende donkeroranje lijn. </v>
      </c>
    </row>
    <row r="48" spans="1:56" ht="14.45" customHeight="1" x14ac:dyDescent="0.2">
      <c r="A48" s="24"/>
      <c r="B48" s="24"/>
      <c r="C48" s="24"/>
      <c r="D48" s="24"/>
      <c r="E48" s="24"/>
      <c r="F48" s="24"/>
      <c r="G48" s="24"/>
      <c r="V48" s="268">
        <f t="shared" si="2"/>
        <v>13.000000000000004</v>
      </c>
      <c r="W48" s="269">
        <f t="shared" si="17"/>
        <v>0.13000000000000003</v>
      </c>
      <c r="X48" s="97">
        <f t="shared" si="4"/>
        <v>65.000000000000014</v>
      </c>
      <c r="Y48" s="118"/>
      <c r="Z48" s="124"/>
      <c r="AA48" s="205">
        <f t="shared" si="18"/>
        <v>65.000000000000014</v>
      </c>
      <c r="AB48" s="128"/>
      <c r="AC48" s="118"/>
      <c r="AD48" s="205">
        <f t="shared" si="19"/>
        <v>65</v>
      </c>
      <c r="AE48" s="138">
        <f t="shared" si="5"/>
        <v>474000</v>
      </c>
      <c r="AF48" s="138">
        <f t="shared" si="6"/>
        <v>474000</v>
      </c>
      <c r="AG48" s="138">
        <f t="shared" si="7"/>
        <v>474000</v>
      </c>
      <c r="AH48" s="118"/>
      <c r="AI48" s="118"/>
      <c r="AJ48" s="205">
        <f t="shared" si="8"/>
        <v>56.999999999999993</v>
      </c>
      <c r="AK48" s="205">
        <f t="shared" si="9"/>
        <v>67</v>
      </c>
      <c r="AL48" s="205">
        <f t="shared" si="10"/>
        <v>77</v>
      </c>
      <c r="AM48" s="205">
        <f t="shared" si="11"/>
        <v>87</v>
      </c>
      <c r="AN48" s="205">
        <f t="shared" si="12"/>
        <v>97</v>
      </c>
      <c r="AO48" s="205">
        <f t="shared" si="13"/>
        <v>107</v>
      </c>
      <c r="AP48" s="205">
        <f t="shared" si="14"/>
        <v>117</v>
      </c>
      <c r="AT48" s="34" t="s">
        <v>338</v>
      </c>
    </row>
    <row r="49" spans="1:46" ht="14.45" customHeight="1" x14ac:dyDescent="0.2">
      <c r="A49" s="24"/>
      <c r="B49" s="115" t="s">
        <v>83</v>
      </c>
      <c r="C49" s="24"/>
      <c r="D49" s="30" t="s">
        <v>180</v>
      </c>
      <c r="E49" s="222" t="str">
        <f>IF(+C13&lt;0,"n.v.t.",+C13)</f>
        <v>n.v.t.</v>
      </c>
      <c r="F49" s="33">
        <f>+Dashboard!H22</f>
        <v>0</v>
      </c>
      <c r="G49" s="217" t="s">
        <v>181</v>
      </c>
      <c r="V49" s="268">
        <f t="shared" si="2"/>
        <v>13.500000000000004</v>
      </c>
      <c r="W49" s="269">
        <f t="shared" si="17"/>
        <v>0.13500000000000004</v>
      </c>
      <c r="X49" s="97">
        <f t="shared" si="4"/>
        <v>67.500000000000014</v>
      </c>
      <c r="Y49" s="118"/>
      <c r="Z49" s="124"/>
      <c r="AA49" s="205">
        <f t="shared" si="18"/>
        <v>67.500000000000014</v>
      </c>
      <c r="AB49" s="128"/>
      <c r="AC49" s="118"/>
      <c r="AD49" s="205">
        <f t="shared" si="19"/>
        <v>67.5</v>
      </c>
      <c r="AE49" s="138">
        <f t="shared" si="5"/>
        <v>473000</v>
      </c>
      <c r="AF49" s="138">
        <f t="shared" si="6"/>
        <v>473000</v>
      </c>
      <c r="AG49" s="138">
        <f t="shared" si="7"/>
        <v>473000</v>
      </c>
      <c r="AH49" s="118"/>
      <c r="AI49" s="118"/>
      <c r="AJ49" s="205">
        <f t="shared" si="8"/>
        <v>56.499999999999993</v>
      </c>
      <c r="AK49" s="205">
        <f t="shared" si="9"/>
        <v>66.5</v>
      </c>
      <c r="AL49" s="205">
        <f t="shared" si="10"/>
        <v>76.5</v>
      </c>
      <c r="AM49" s="205">
        <f t="shared" si="11"/>
        <v>86.5</v>
      </c>
      <c r="AN49" s="205">
        <f t="shared" si="12"/>
        <v>96.5</v>
      </c>
      <c r="AO49" s="205">
        <f t="shared" si="13"/>
        <v>106.5</v>
      </c>
      <c r="AP49" s="205">
        <f t="shared" si="14"/>
        <v>116.5</v>
      </c>
    </row>
    <row r="50" spans="1:46" ht="14.45" customHeight="1" x14ac:dyDescent="0.2">
      <c r="B50" s="152" t="s">
        <v>144</v>
      </c>
      <c r="C50" s="196" t="s">
        <v>147</v>
      </c>
      <c r="D50" s="196" t="s">
        <v>143</v>
      </c>
      <c r="E50" s="196" t="s">
        <v>64</v>
      </c>
      <c r="F50" s="196" t="s">
        <v>65</v>
      </c>
      <c r="G50" s="196" t="s">
        <v>142</v>
      </c>
      <c r="H50" s="196" t="s">
        <v>157</v>
      </c>
      <c r="I50" s="196" t="s">
        <v>170</v>
      </c>
      <c r="J50" s="196" t="s">
        <v>179</v>
      </c>
      <c r="K50" s="196" t="s">
        <v>182</v>
      </c>
      <c r="L50" s="118"/>
      <c r="M50" s="118"/>
      <c r="N50" s="118"/>
      <c r="O50" s="118"/>
      <c r="P50" s="118"/>
      <c r="Q50" s="118"/>
      <c r="V50" s="268">
        <f t="shared" si="2"/>
        <v>14.000000000000004</v>
      </c>
      <c r="W50" s="269">
        <f t="shared" si="17"/>
        <v>0.14000000000000004</v>
      </c>
      <c r="X50" s="97">
        <f t="shared" si="4"/>
        <v>70.000000000000014</v>
      </c>
      <c r="Y50" s="118"/>
      <c r="Z50" s="124"/>
      <c r="AA50" s="205">
        <f t="shared" si="18"/>
        <v>70.000000000000014</v>
      </c>
      <c r="AB50" s="128"/>
      <c r="AC50" s="118"/>
      <c r="AD50" s="205">
        <f t="shared" si="19"/>
        <v>70</v>
      </c>
      <c r="AE50" s="138">
        <f t="shared" si="5"/>
        <v>472000</v>
      </c>
      <c r="AF50" s="138">
        <f t="shared" si="6"/>
        <v>472000</v>
      </c>
      <c r="AG50" s="138">
        <f t="shared" si="7"/>
        <v>472000</v>
      </c>
      <c r="AH50" s="118"/>
      <c r="AI50" s="118"/>
      <c r="AJ50" s="205">
        <f t="shared" si="8"/>
        <v>56.000000000000007</v>
      </c>
      <c r="AK50" s="205">
        <f t="shared" si="9"/>
        <v>66</v>
      </c>
      <c r="AL50" s="205">
        <f t="shared" si="10"/>
        <v>76</v>
      </c>
      <c r="AM50" s="205">
        <f t="shared" si="11"/>
        <v>86</v>
      </c>
      <c r="AN50" s="205">
        <f t="shared" si="12"/>
        <v>96</v>
      </c>
      <c r="AO50" s="205">
        <f t="shared" si="13"/>
        <v>106</v>
      </c>
      <c r="AP50" s="205">
        <f t="shared" si="14"/>
        <v>115.99999999999999</v>
      </c>
      <c r="AT50" s="34" t="s">
        <v>154</v>
      </c>
    </row>
    <row r="51" spans="1:46" ht="14.45" customHeight="1" x14ac:dyDescent="0.2">
      <c r="B51" s="221" t="str">
        <f t="shared" ref="B51:B62" si="21">K51</f>
        <v>KO</v>
      </c>
      <c r="C51" s="185" t="s">
        <v>30</v>
      </c>
      <c r="D51" s="30" t="str">
        <f>IF(ISBLANK(+Offertes!D8),"",+Offertes!D8)</f>
        <v/>
      </c>
      <c r="E51" s="32" t="str">
        <f>IF(ISBLANK(+Offertes!F8),"",+Offertes!F8)</f>
        <v/>
      </c>
      <c r="F51" s="30" t="str">
        <f>IF(ISBLANK(+Offertes!G8),"",+Offertes!G8)</f>
        <v/>
      </c>
      <c r="G51" s="206" t="str">
        <f t="shared" ref="G51:G63" si="22">IF($F$11&lt;&gt;"n.v.t.",$F$14+(F51/$C$6)*$F$11,"n.v.t.")</f>
        <v>n.v.t.</v>
      </c>
      <c r="H51" s="263" t="str">
        <f t="shared" ref="H51:H62" si="23">IF(OR(E51="",F51=""),"",IF(J51="KO","KO",IF(G51&lt;&gt;"n.v.t.",C175,C175)))</f>
        <v/>
      </c>
      <c r="I51" s="30" t="str">
        <f t="shared" ref="I51:I62" si="24">IF(OR(E51="",F51=""),"",IF(G51="n.v.t.",F51/$C$6*$F$13,G51))</f>
        <v/>
      </c>
      <c r="J51" s="152" t="str">
        <f t="shared" ref="J51:J60" si="25">IF(AND(E51&lt;=$C$17,E51&gt;=$C$14,F51&gt;=$F$49),"","KO")</f>
        <v>KO</v>
      </c>
      <c r="K51" s="220" t="str">
        <f t="shared" ref="K51:K62" si="26">IF(ISERROR(RANK(H51,$H$51:$H$62)),"KO",RANK(H51,$H$51:$H$62))</f>
        <v>KO</v>
      </c>
      <c r="L51" s="118"/>
      <c r="M51" s="118"/>
      <c r="N51" s="118"/>
      <c r="O51" s="118"/>
      <c r="P51" s="118"/>
      <c r="Q51" s="118"/>
      <c r="V51" s="268">
        <f t="shared" si="2"/>
        <v>14.500000000000005</v>
      </c>
      <c r="W51" s="269">
        <f t="shared" si="17"/>
        <v>0.14500000000000005</v>
      </c>
      <c r="X51" s="97">
        <f t="shared" si="4"/>
        <v>72.500000000000028</v>
      </c>
      <c r="Y51" s="118"/>
      <c r="Z51" s="124"/>
      <c r="AA51" s="205">
        <f t="shared" si="18"/>
        <v>72.500000000000028</v>
      </c>
      <c r="AB51" s="128"/>
      <c r="AC51" s="118"/>
      <c r="AD51" s="205">
        <f t="shared" si="19"/>
        <v>72.5</v>
      </c>
      <c r="AE51" s="138">
        <f t="shared" si="5"/>
        <v>471000</v>
      </c>
      <c r="AF51" s="138">
        <f t="shared" si="6"/>
        <v>471000</v>
      </c>
      <c r="AG51" s="138">
        <f t="shared" si="7"/>
        <v>471000</v>
      </c>
      <c r="AH51" s="118"/>
      <c r="AI51" s="118"/>
      <c r="AJ51" s="205">
        <f t="shared" si="8"/>
        <v>55.500000000000007</v>
      </c>
      <c r="AK51" s="205">
        <f t="shared" si="9"/>
        <v>65.5</v>
      </c>
      <c r="AL51" s="205">
        <f t="shared" si="10"/>
        <v>75.5</v>
      </c>
      <c r="AM51" s="205">
        <f t="shared" si="11"/>
        <v>85.5</v>
      </c>
      <c r="AN51" s="205">
        <f t="shared" si="12"/>
        <v>95.5</v>
      </c>
      <c r="AO51" s="205">
        <f t="shared" si="13"/>
        <v>105.5</v>
      </c>
      <c r="AP51" s="205">
        <f t="shared" si="14"/>
        <v>115.5</v>
      </c>
      <c r="AT51" s="34" t="str">
        <f>"De winnende Inschrijver in dit voorbeeld is Inschrijver " &amp; BI2 &amp; ", met een Vergelijkingswaarde (Pi) van " &amp; BI3 &amp; " en een kwaliteitsscore (Qi) van "&amp; BI4 &amp;  ". "</f>
        <v xml:space="preserve">De winnende Inschrijver in dit voorbeeld is Inschrijver 4, met een Vergelijkingswaarde (Pi) van €379.000,00 en een kwaliteitsscore (Qi) van 425,0. </v>
      </c>
    </row>
    <row r="52" spans="1:46" ht="14.45" customHeight="1" x14ac:dyDescent="0.2">
      <c r="B52" s="221" t="str">
        <f t="shared" si="21"/>
        <v>KO</v>
      </c>
      <c r="C52" s="185" t="s">
        <v>31</v>
      </c>
      <c r="D52" s="30" t="str">
        <f>IF(ISBLANK(+Offertes!E9),"",+Offertes!E9)</f>
        <v/>
      </c>
      <c r="E52" s="32" t="str">
        <f>IF(ISBLANK(+Offertes!F9),"",+Offertes!F9)</f>
        <v/>
      </c>
      <c r="F52" s="30" t="str">
        <f>IF(ISBLANK(+Offertes!G9),"",+Offertes!G9)</f>
        <v/>
      </c>
      <c r="G52" s="206" t="str">
        <f t="shared" si="22"/>
        <v>n.v.t.</v>
      </c>
      <c r="H52" s="263" t="str">
        <f t="shared" si="23"/>
        <v/>
      </c>
      <c r="I52" s="297" t="str">
        <f t="shared" si="24"/>
        <v/>
      </c>
      <c r="J52" s="152" t="str">
        <f t="shared" si="25"/>
        <v>KO</v>
      </c>
      <c r="K52" s="220" t="str">
        <f t="shared" si="26"/>
        <v>KO</v>
      </c>
      <c r="L52" s="118"/>
      <c r="M52" s="118"/>
      <c r="N52" s="118"/>
      <c r="O52" s="118"/>
      <c r="P52" s="118"/>
      <c r="Q52" s="118"/>
      <c r="V52" s="268">
        <f t="shared" si="2"/>
        <v>15.000000000000005</v>
      </c>
      <c r="W52" s="269">
        <f t="shared" si="17"/>
        <v>0.15000000000000005</v>
      </c>
      <c r="X52" s="97">
        <f t="shared" si="4"/>
        <v>75.000000000000028</v>
      </c>
      <c r="Y52" s="118"/>
      <c r="Z52" s="124"/>
      <c r="AA52" s="205">
        <f t="shared" si="18"/>
        <v>75.000000000000028</v>
      </c>
      <c r="AB52" s="128"/>
      <c r="AC52" s="118"/>
      <c r="AD52" s="205">
        <f t="shared" si="19"/>
        <v>75</v>
      </c>
      <c r="AE52" s="138">
        <f t="shared" si="5"/>
        <v>470000</v>
      </c>
      <c r="AF52" s="138">
        <f t="shared" si="6"/>
        <v>470000</v>
      </c>
      <c r="AG52" s="138">
        <f t="shared" si="7"/>
        <v>470000</v>
      </c>
      <c r="AH52" s="118"/>
      <c r="AI52" s="118"/>
      <c r="AJ52" s="205">
        <f t="shared" si="8"/>
        <v>55.000000000000007</v>
      </c>
      <c r="AK52" s="205">
        <f t="shared" si="9"/>
        <v>65</v>
      </c>
      <c r="AL52" s="205">
        <f t="shared" si="10"/>
        <v>75</v>
      </c>
      <c r="AM52" s="205">
        <f t="shared" si="11"/>
        <v>85</v>
      </c>
      <c r="AN52" s="205">
        <f t="shared" si="12"/>
        <v>95</v>
      </c>
      <c r="AO52" s="205">
        <f t="shared" si="13"/>
        <v>105</v>
      </c>
      <c r="AP52" s="205">
        <f t="shared" si="14"/>
        <v>114.99999999999999</v>
      </c>
      <c r="AT52" s="34" t="str">
        <f xml:space="preserve"> "Dit levert de hoogste BPK-score op van "&amp; BI6 &amp; ". De overige Inschrijvers hebben lagere BPK-scores variërend van " &amp; BI8 &amp;  " tot "&amp; BI7 &amp; ")."</f>
        <v>Dit levert de hoogste BPK-score op van 727,5. De overige Inschrijvers hebben lagere BPK-scores variërend van 625,5 tot 713,0).</v>
      </c>
    </row>
    <row r="53" spans="1:46" ht="14.45" customHeight="1" x14ac:dyDescent="0.2">
      <c r="B53" s="221" t="str">
        <f t="shared" si="21"/>
        <v>KO</v>
      </c>
      <c r="C53" s="185" t="s">
        <v>32</v>
      </c>
      <c r="D53" s="30" t="str">
        <f>IF(ISBLANK(+Offertes!D10),"",+Offertes!D10)</f>
        <v/>
      </c>
      <c r="E53" s="32" t="str">
        <f>IF(ISBLANK(+Offertes!F10),"",+Offertes!F10)</f>
        <v/>
      </c>
      <c r="F53" s="30" t="str">
        <f>IF(ISBLANK(+Offertes!G10),"",+Offertes!G10)</f>
        <v/>
      </c>
      <c r="G53" s="206" t="str">
        <f t="shared" si="22"/>
        <v>n.v.t.</v>
      </c>
      <c r="H53" s="263" t="str">
        <f t="shared" si="23"/>
        <v/>
      </c>
      <c r="I53" s="30" t="str">
        <f t="shared" si="24"/>
        <v/>
      </c>
      <c r="J53" s="152" t="str">
        <f t="shared" si="25"/>
        <v>KO</v>
      </c>
      <c r="K53" s="220" t="str">
        <f t="shared" si="26"/>
        <v>KO</v>
      </c>
      <c r="L53" s="118"/>
      <c r="M53" s="118"/>
      <c r="N53" s="118"/>
      <c r="O53" s="118"/>
      <c r="P53" s="118"/>
      <c r="Q53" s="118"/>
      <c r="V53" s="268">
        <f t="shared" si="2"/>
        <v>15.500000000000005</v>
      </c>
      <c r="W53" s="269">
        <f t="shared" si="17"/>
        <v>0.15500000000000005</v>
      </c>
      <c r="X53" s="97">
        <f t="shared" si="4"/>
        <v>77.500000000000028</v>
      </c>
      <c r="Y53" s="118"/>
      <c r="Z53" s="124"/>
      <c r="AA53" s="205">
        <f t="shared" si="18"/>
        <v>77.500000000000028</v>
      </c>
      <c r="AB53" s="128"/>
      <c r="AC53" s="118"/>
      <c r="AD53" s="205">
        <f t="shared" si="19"/>
        <v>77.5</v>
      </c>
      <c r="AE53" s="138">
        <f t="shared" si="5"/>
        <v>469000</v>
      </c>
      <c r="AF53" s="138">
        <f t="shared" si="6"/>
        <v>469000</v>
      </c>
      <c r="AG53" s="138">
        <f t="shared" si="7"/>
        <v>469000</v>
      </c>
      <c r="AH53" s="118"/>
      <c r="AI53" s="118"/>
      <c r="AJ53" s="205">
        <f t="shared" si="8"/>
        <v>54.500000000000007</v>
      </c>
      <c r="AK53" s="205">
        <f t="shared" si="9"/>
        <v>64.5</v>
      </c>
      <c r="AL53" s="205">
        <f t="shared" si="10"/>
        <v>74.5</v>
      </c>
      <c r="AM53" s="205">
        <f t="shared" si="11"/>
        <v>84.5</v>
      </c>
      <c r="AN53" s="205">
        <f t="shared" si="12"/>
        <v>94.5</v>
      </c>
      <c r="AO53" s="205">
        <f t="shared" si="13"/>
        <v>104.5</v>
      </c>
      <c r="AP53" s="205">
        <f t="shared" si="14"/>
        <v>114.5</v>
      </c>
    </row>
    <row r="54" spans="1:46" ht="14.45" customHeight="1" x14ac:dyDescent="0.2">
      <c r="B54" s="221" t="str">
        <f t="shared" si="21"/>
        <v>KO</v>
      </c>
      <c r="C54" s="185" t="s">
        <v>33</v>
      </c>
      <c r="D54" s="30" t="str">
        <f>IF(ISBLANK(+Offertes!D11),"",+Offertes!D11)</f>
        <v/>
      </c>
      <c r="E54" s="32" t="str">
        <f>IF(ISBLANK(+Offertes!F11),"",+Offertes!F11)</f>
        <v/>
      </c>
      <c r="F54" s="30" t="str">
        <f>IF(ISBLANK(+Offertes!G11),"",+Offertes!G11)</f>
        <v/>
      </c>
      <c r="G54" s="206" t="str">
        <f t="shared" si="22"/>
        <v>n.v.t.</v>
      </c>
      <c r="H54" s="263" t="str">
        <f t="shared" si="23"/>
        <v/>
      </c>
      <c r="I54" s="30" t="str">
        <f t="shared" si="24"/>
        <v/>
      </c>
      <c r="J54" s="152" t="str">
        <f t="shared" si="25"/>
        <v>KO</v>
      </c>
      <c r="K54" s="220" t="str">
        <f t="shared" si="26"/>
        <v>KO</v>
      </c>
      <c r="L54" s="118"/>
      <c r="M54" s="118"/>
      <c r="N54" s="118"/>
      <c r="O54" s="118"/>
      <c r="P54" s="118"/>
      <c r="Q54" s="118"/>
      <c r="V54" s="268">
        <f t="shared" ref="V54:V85" si="27">$V$223*W54</f>
        <v>16.000000000000007</v>
      </c>
      <c r="W54" s="269">
        <f t="shared" si="17"/>
        <v>0.16000000000000006</v>
      </c>
      <c r="X54" s="97">
        <f t="shared" si="4"/>
        <v>80.000000000000028</v>
      </c>
      <c r="Y54" s="118"/>
      <c r="Z54" s="124"/>
      <c r="AA54" s="205">
        <f t="shared" si="18"/>
        <v>80.000000000000028</v>
      </c>
      <c r="AB54" s="128"/>
      <c r="AC54" s="118"/>
      <c r="AD54" s="205">
        <f t="shared" si="19"/>
        <v>80</v>
      </c>
      <c r="AE54" s="138">
        <f t="shared" si="5"/>
        <v>468000</v>
      </c>
      <c r="AF54" s="138">
        <f t="shared" si="6"/>
        <v>468000</v>
      </c>
      <c r="AG54" s="138">
        <f t="shared" si="7"/>
        <v>468000</v>
      </c>
      <c r="AH54" s="118"/>
      <c r="AI54" s="118"/>
      <c r="AJ54" s="205">
        <f t="shared" si="8"/>
        <v>54</v>
      </c>
      <c r="AK54" s="205">
        <f t="shared" si="9"/>
        <v>64</v>
      </c>
      <c r="AL54" s="205">
        <f t="shared" si="10"/>
        <v>74</v>
      </c>
      <c r="AM54" s="205">
        <f t="shared" si="11"/>
        <v>84</v>
      </c>
      <c r="AN54" s="205">
        <f t="shared" si="12"/>
        <v>94</v>
      </c>
      <c r="AO54" s="205">
        <f t="shared" si="13"/>
        <v>104</v>
      </c>
      <c r="AP54" s="205">
        <f t="shared" si="14"/>
        <v>113.99999999999999</v>
      </c>
      <c r="AT54" s="34" t="s">
        <v>340</v>
      </c>
    </row>
    <row r="55" spans="1:46" ht="14.45" customHeight="1" x14ac:dyDescent="0.2">
      <c r="B55" s="221" t="str">
        <f t="shared" si="21"/>
        <v>KO</v>
      </c>
      <c r="C55" s="185" t="s">
        <v>34</v>
      </c>
      <c r="D55" s="30" t="str">
        <f>IF(ISBLANK(+Offertes!D12),"",+Offertes!D12)</f>
        <v/>
      </c>
      <c r="E55" s="32" t="str">
        <f>IF(ISBLANK(+Offertes!F12),"",+Offertes!F12)</f>
        <v/>
      </c>
      <c r="F55" s="30" t="str">
        <f>IF(ISBLANK(+Offertes!G12),"",+Offertes!G12)</f>
        <v/>
      </c>
      <c r="G55" s="206" t="str">
        <f t="shared" si="22"/>
        <v>n.v.t.</v>
      </c>
      <c r="H55" s="263" t="str">
        <f t="shared" si="23"/>
        <v/>
      </c>
      <c r="I55" s="30" t="str">
        <f t="shared" si="24"/>
        <v/>
      </c>
      <c r="J55" s="152" t="str">
        <f t="shared" si="25"/>
        <v>KO</v>
      </c>
      <c r="K55" s="220" t="str">
        <f t="shared" si="26"/>
        <v>KO</v>
      </c>
      <c r="L55" s="118"/>
      <c r="M55" s="118"/>
      <c r="N55" s="118"/>
      <c r="O55" s="118"/>
      <c r="P55" s="118"/>
      <c r="Q55" s="118"/>
      <c r="V55" s="268">
        <f t="shared" si="27"/>
        <v>16.500000000000007</v>
      </c>
      <c r="W55" s="269">
        <f t="shared" si="17"/>
        <v>0.16500000000000006</v>
      </c>
      <c r="X55" s="97">
        <f t="shared" ref="X55:X86" si="28">+W55*($X$223-$F$14)+$X$22</f>
        <v>82.500000000000028</v>
      </c>
      <c r="Y55" s="118"/>
      <c r="Z55" s="124"/>
      <c r="AA55" s="205">
        <f t="shared" si="18"/>
        <v>82.500000000000028</v>
      </c>
      <c r="AB55" s="128"/>
      <c r="AC55" s="118"/>
      <c r="AD55" s="205">
        <f t="shared" si="19"/>
        <v>82.5</v>
      </c>
      <c r="AE55" s="138">
        <f t="shared" si="5"/>
        <v>467000</v>
      </c>
      <c r="AF55" s="138">
        <f t="shared" si="6"/>
        <v>467000</v>
      </c>
      <c r="AG55" s="138">
        <f t="shared" si="7"/>
        <v>467000</v>
      </c>
      <c r="AH55" s="118"/>
      <c r="AI55" s="118"/>
      <c r="AJ55" s="205">
        <f t="shared" si="8"/>
        <v>53.5</v>
      </c>
      <c r="AK55" s="205">
        <f t="shared" si="9"/>
        <v>63.5</v>
      </c>
      <c r="AL55" s="205">
        <f t="shared" si="10"/>
        <v>73.5</v>
      </c>
      <c r="AM55" s="205">
        <f t="shared" si="11"/>
        <v>83.5</v>
      </c>
      <c r="AN55" s="205">
        <f t="shared" si="12"/>
        <v>93.5</v>
      </c>
      <c r="AO55" s="205">
        <f t="shared" si="13"/>
        <v>103.49999999999999</v>
      </c>
      <c r="AP55" s="205">
        <f t="shared" si="14"/>
        <v>113.5</v>
      </c>
    </row>
    <row r="56" spans="1:46" ht="14.45" customHeight="1" x14ac:dyDescent="0.2">
      <c r="B56" s="221" t="str">
        <f t="shared" si="21"/>
        <v>KO</v>
      </c>
      <c r="C56" s="185" t="s">
        <v>35</v>
      </c>
      <c r="D56" s="30" t="str">
        <f>IF(ISBLANK(+Offertes!D13),"",+Offertes!D13)</f>
        <v/>
      </c>
      <c r="E56" s="32" t="str">
        <f>IF(ISBLANK(+Offertes!F13),"",+Offertes!F13)</f>
        <v/>
      </c>
      <c r="F56" s="30" t="str">
        <f>IF(ISBLANK(+Offertes!G13),"",+Offertes!G13)</f>
        <v/>
      </c>
      <c r="G56" s="206" t="str">
        <f t="shared" si="22"/>
        <v>n.v.t.</v>
      </c>
      <c r="H56" s="263" t="str">
        <f t="shared" si="23"/>
        <v/>
      </c>
      <c r="I56" s="30" t="str">
        <f t="shared" si="24"/>
        <v/>
      </c>
      <c r="J56" s="152" t="str">
        <f t="shared" si="25"/>
        <v>KO</v>
      </c>
      <c r="K56" s="220" t="str">
        <f t="shared" si="26"/>
        <v>KO</v>
      </c>
      <c r="L56" s="118"/>
      <c r="M56" s="118"/>
      <c r="N56" s="118"/>
      <c r="O56" s="118"/>
      <c r="P56" s="118"/>
      <c r="Q56" s="118"/>
      <c r="V56" s="268">
        <f t="shared" si="27"/>
        <v>17.000000000000007</v>
      </c>
      <c r="W56" s="269">
        <f t="shared" si="17"/>
        <v>0.17000000000000007</v>
      </c>
      <c r="X56" s="97">
        <f t="shared" si="28"/>
        <v>85.000000000000028</v>
      </c>
      <c r="Y56" s="118"/>
      <c r="Z56" s="124"/>
      <c r="AA56" s="205">
        <f t="shared" si="18"/>
        <v>85.000000000000028</v>
      </c>
      <c r="AB56" s="128"/>
      <c r="AC56" s="118"/>
      <c r="AD56" s="205">
        <f t="shared" si="19"/>
        <v>85</v>
      </c>
      <c r="AE56" s="138">
        <f t="shared" si="5"/>
        <v>466000</v>
      </c>
      <c r="AF56" s="138">
        <f t="shared" si="6"/>
        <v>466000</v>
      </c>
      <c r="AG56" s="138">
        <f t="shared" si="7"/>
        <v>466000</v>
      </c>
      <c r="AH56" s="118"/>
      <c r="AI56" s="118"/>
      <c r="AJ56" s="205">
        <f t="shared" si="8"/>
        <v>53</v>
      </c>
      <c r="AK56" s="205">
        <f t="shared" si="9"/>
        <v>63</v>
      </c>
      <c r="AL56" s="205">
        <f t="shared" si="10"/>
        <v>73</v>
      </c>
      <c r="AM56" s="205">
        <f t="shared" si="11"/>
        <v>83</v>
      </c>
      <c r="AN56" s="205">
        <f t="shared" si="12"/>
        <v>93</v>
      </c>
      <c r="AO56" s="205">
        <f t="shared" si="13"/>
        <v>103</v>
      </c>
      <c r="AP56" s="205">
        <f t="shared" si="14"/>
        <v>112.99999999999999</v>
      </c>
    </row>
    <row r="57" spans="1:46" ht="14.45" customHeight="1" x14ac:dyDescent="0.2">
      <c r="B57" s="221" t="str">
        <f t="shared" si="21"/>
        <v>KO</v>
      </c>
      <c r="C57" s="185" t="s">
        <v>36</v>
      </c>
      <c r="D57" s="30" t="str">
        <f>IF(ISBLANK(+Offertes!D14),"",+Offertes!D14)</f>
        <v/>
      </c>
      <c r="E57" s="32" t="str">
        <f>IF(ISBLANK(+Offertes!F14),"",+Offertes!F14)</f>
        <v/>
      </c>
      <c r="F57" s="30" t="str">
        <f>IF(ISBLANK(+Offertes!G14),"",+Offertes!G14)</f>
        <v/>
      </c>
      <c r="G57" s="206" t="str">
        <f t="shared" si="22"/>
        <v>n.v.t.</v>
      </c>
      <c r="H57" s="263" t="str">
        <f t="shared" si="23"/>
        <v/>
      </c>
      <c r="I57" s="30" t="str">
        <f t="shared" si="24"/>
        <v/>
      </c>
      <c r="J57" s="152" t="str">
        <f t="shared" si="25"/>
        <v>KO</v>
      </c>
      <c r="K57" s="220" t="str">
        <f t="shared" si="26"/>
        <v>KO</v>
      </c>
      <c r="L57" s="24"/>
      <c r="M57" s="24"/>
      <c r="N57" s="24"/>
      <c r="O57" s="24"/>
      <c r="P57" s="24"/>
      <c r="Q57" s="24"/>
      <c r="V57" s="268">
        <f t="shared" si="27"/>
        <v>17.500000000000007</v>
      </c>
      <c r="W57" s="269">
        <f t="shared" si="17"/>
        <v>0.17500000000000007</v>
      </c>
      <c r="X57" s="97">
        <f t="shared" si="28"/>
        <v>87.500000000000043</v>
      </c>
      <c r="Y57" s="118"/>
      <c r="Z57" s="124"/>
      <c r="AA57" s="205">
        <f t="shared" si="18"/>
        <v>87.500000000000043</v>
      </c>
      <c r="AB57" s="128"/>
      <c r="AC57" s="118"/>
      <c r="AD57" s="205">
        <f t="shared" si="19"/>
        <v>87.5</v>
      </c>
      <c r="AE57" s="138">
        <f t="shared" si="5"/>
        <v>465000</v>
      </c>
      <c r="AF57" s="138">
        <f t="shared" si="6"/>
        <v>465000</v>
      </c>
      <c r="AG57" s="138">
        <f t="shared" si="7"/>
        <v>465000</v>
      </c>
      <c r="AH57" s="118"/>
      <c r="AI57" s="118"/>
      <c r="AJ57" s="205">
        <f t="shared" si="8"/>
        <v>52.5</v>
      </c>
      <c r="AK57" s="205">
        <f t="shared" si="9"/>
        <v>62.5</v>
      </c>
      <c r="AL57" s="205">
        <f t="shared" si="10"/>
        <v>72.5</v>
      </c>
      <c r="AM57" s="205">
        <f t="shared" si="11"/>
        <v>82.5</v>
      </c>
      <c r="AN57" s="205">
        <f t="shared" si="12"/>
        <v>92.5</v>
      </c>
      <c r="AO57" s="205">
        <f t="shared" si="13"/>
        <v>102.49999999999999</v>
      </c>
      <c r="AP57" s="205">
        <f t="shared" si="14"/>
        <v>112.5</v>
      </c>
    </row>
    <row r="58" spans="1:46" ht="14.45" customHeight="1" x14ac:dyDescent="0.2">
      <c r="B58" s="221" t="str">
        <f t="shared" si="21"/>
        <v>KO</v>
      </c>
      <c r="C58" s="185" t="s">
        <v>37</v>
      </c>
      <c r="D58" s="30" t="str">
        <f>IF(ISBLANK(+Offertes!D15),"",+Offertes!D15)</f>
        <v/>
      </c>
      <c r="E58" s="32" t="str">
        <f>IF(ISBLANK(+Offertes!F15),"",+Offertes!F15)</f>
        <v/>
      </c>
      <c r="F58" s="30" t="str">
        <f>IF(ISBLANK(+Offertes!G15),"",+Offertes!G15)</f>
        <v/>
      </c>
      <c r="G58" s="206" t="str">
        <f t="shared" si="22"/>
        <v>n.v.t.</v>
      </c>
      <c r="H58" s="263" t="str">
        <f t="shared" si="23"/>
        <v/>
      </c>
      <c r="I58" s="30" t="str">
        <f t="shared" si="24"/>
        <v/>
      </c>
      <c r="J58" s="152" t="str">
        <f t="shared" si="25"/>
        <v>KO</v>
      </c>
      <c r="K58" s="220" t="str">
        <f t="shared" si="26"/>
        <v>KO</v>
      </c>
      <c r="L58" s="24"/>
      <c r="M58" s="24"/>
      <c r="N58" s="24"/>
      <c r="O58" s="24"/>
      <c r="P58" s="24"/>
      <c r="Q58" s="24"/>
      <c r="V58" s="268">
        <f t="shared" si="27"/>
        <v>18.000000000000007</v>
      </c>
      <c r="W58" s="269">
        <f t="shared" si="17"/>
        <v>0.18000000000000008</v>
      </c>
      <c r="X58" s="97">
        <f t="shared" si="28"/>
        <v>90.000000000000043</v>
      </c>
      <c r="Y58" s="118"/>
      <c r="Z58" s="124"/>
      <c r="AA58" s="205">
        <f t="shared" si="18"/>
        <v>90.000000000000043</v>
      </c>
      <c r="AB58" s="128"/>
      <c r="AC58" s="118"/>
      <c r="AD58" s="205">
        <f t="shared" si="19"/>
        <v>90</v>
      </c>
      <c r="AE58" s="138">
        <f t="shared" si="5"/>
        <v>464000</v>
      </c>
      <c r="AF58" s="138">
        <f t="shared" si="6"/>
        <v>464000</v>
      </c>
      <c r="AG58" s="138">
        <f t="shared" si="7"/>
        <v>464000</v>
      </c>
      <c r="AH58" s="118"/>
      <c r="AI58" s="118"/>
      <c r="AJ58" s="205">
        <f t="shared" si="8"/>
        <v>52</v>
      </c>
      <c r="AK58" s="205">
        <f t="shared" si="9"/>
        <v>62</v>
      </c>
      <c r="AL58" s="205">
        <f t="shared" si="10"/>
        <v>72</v>
      </c>
      <c r="AM58" s="205">
        <f t="shared" si="11"/>
        <v>82</v>
      </c>
      <c r="AN58" s="205">
        <f t="shared" si="12"/>
        <v>92</v>
      </c>
      <c r="AO58" s="205">
        <f t="shared" si="13"/>
        <v>102</v>
      </c>
      <c r="AP58" s="205">
        <f t="shared" si="14"/>
        <v>112.00000000000001</v>
      </c>
    </row>
    <row r="59" spans="1:46" ht="14.45" customHeight="1" x14ac:dyDescent="0.2">
      <c r="B59" s="221" t="str">
        <f t="shared" si="21"/>
        <v>KO</v>
      </c>
      <c r="C59" s="185" t="s">
        <v>38</v>
      </c>
      <c r="D59" s="30" t="str">
        <f>IF(ISBLANK(+Offertes!D16),"",+Offertes!D16)</f>
        <v/>
      </c>
      <c r="E59" s="32" t="str">
        <f>IF(ISBLANK(+Offertes!F16),"",+Offertes!F16)</f>
        <v/>
      </c>
      <c r="F59" s="30" t="str">
        <f>IF(ISBLANK(+Offertes!G16),"",+Offertes!G16)</f>
        <v/>
      </c>
      <c r="G59" s="206" t="str">
        <f t="shared" si="22"/>
        <v>n.v.t.</v>
      </c>
      <c r="H59" s="263" t="str">
        <f t="shared" si="23"/>
        <v/>
      </c>
      <c r="I59" s="30" t="str">
        <f t="shared" si="24"/>
        <v/>
      </c>
      <c r="J59" s="152" t="str">
        <f t="shared" si="25"/>
        <v>KO</v>
      </c>
      <c r="K59" s="220" t="str">
        <f t="shared" si="26"/>
        <v>KO</v>
      </c>
      <c r="V59" s="268">
        <f t="shared" si="27"/>
        <v>18.500000000000007</v>
      </c>
      <c r="W59" s="269">
        <f t="shared" si="17"/>
        <v>0.18500000000000008</v>
      </c>
      <c r="X59" s="97">
        <f t="shared" si="28"/>
        <v>92.500000000000043</v>
      </c>
      <c r="Y59" s="118"/>
      <c r="Z59" s="124"/>
      <c r="AA59" s="205">
        <f t="shared" si="18"/>
        <v>92.500000000000043</v>
      </c>
      <c r="AB59" s="128"/>
      <c r="AC59" s="118"/>
      <c r="AD59" s="205">
        <f t="shared" si="19"/>
        <v>92.5</v>
      </c>
      <c r="AE59" s="138">
        <f t="shared" si="5"/>
        <v>463000</v>
      </c>
      <c r="AF59" s="138">
        <f t="shared" si="6"/>
        <v>463000</v>
      </c>
      <c r="AG59" s="138">
        <f t="shared" si="7"/>
        <v>463000</v>
      </c>
      <c r="AH59" s="118"/>
      <c r="AI59" s="118"/>
      <c r="AJ59" s="205">
        <f t="shared" si="8"/>
        <v>51.5</v>
      </c>
      <c r="AK59" s="205">
        <f t="shared" si="9"/>
        <v>61.5</v>
      </c>
      <c r="AL59" s="205">
        <f t="shared" si="10"/>
        <v>71.5</v>
      </c>
      <c r="AM59" s="205">
        <f t="shared" si="11"/>
        <v>81.5</v>
      </c>
      <c r="AN59" s="205">
        <f t="shared" si="12"/>
        <v>91.5</v>
      </c>
      <c r="AO59" s="205">
        <f t="shared" si="13"/>
        <v>101.49999999999999</v>
      </c>
      <c r="AP59" s="205">
        <f t="shared" si="14"/>
        <v>111.5</v>
      </c>
    </row>
    <row r="60" spans="1:46" ht="14.45" customHeight="1" x14ac:dyDescent="0.2">
      <c r="B60" s="221" t="str">
        <f t="shared" si="21"/>
        <v>KO</v>
      </c>
      <c r="C60" s="185" t="s">
        <v>39</v>
      </c>
      <c r="D60" s="30" t="str">
        <f>IF(ISBLANK(+Offertes!D17),"",+Offertes!D17)</f>
        <v/>
      </c>
      <c r="E60" s="32" t="str">
        <f>IF(ISBLANK(+Offertes!F17),"",+Offertes!F17)</f>
        <v/>
      </c>
      <c r="F60" s="30" t="str">
        <f>IF(ISBLANK(+Offertes!G17),"",+Offertes!G17)</f>
        <v/>
      </c>
      <c r="G60" s="206" t="str">
        <f t="shared" si="22"/>
        <v>n.v.t.</v>
      </c>
      <c r="H60" s="263" t="str">
        <f t="shared" si="23"/>
        <v/>
      </c>
      <c r="I60" s="30" t="str">
        <f t="shared" si="24"/>
        <v/>
      </c>
      <c r="J60" s="152" t="str">
        <f t="shared" si="25"/>
        <v>KO</v>
      </c>
      <c r="K60" s="220" t="str">
        <f t="shared" si="26"/>
        <v>KO</v>
      </c>
      <c r="V60" s="268">
        <f t="shared" si="27"/>
        <v>19.000000000000007</v>
      </c>
      <c r="W60" s="269">
        <f t="shared" si="17"/>
        <v>0.19000000000000009</v>
      </c>
      <c r="X60" s="97">
        <f t="shared" si="28"/>
        <v>95.000000000000043</v>
      </c>
      <c r="Y60" s="118"/>
      <c r="Z60" s="124"/>
      <c r="AA60" s="205">
        <f t="shared" si="18"/>
        <v>95.000000000000043</v>
      </c>
      <c r="AB60" s="128"/>
      <c r="AC60" s="118"/>
      <c r="AD60" s="205">
        <f t="shared" si="19"/>
        <v>95</v>
      </c>
      <c r="AE60" s="138">
        <f t="shared" si="5"/>
        <v>462000</v>
      </c>
      <c r="AF60" s="138">
        <f t="shared" si="6"/>
        <v>462000</v>
      </c>
      <c r="AG60" s="138">
        <f t="shared" si="7"/>
        <v>462000</v>
      </c>
      <c r="AH60" s="118"/>
      <c r="AI60" s="118"/>
      <c r="AJ60" s="205">
        <f t="shared" si="8"/>
        <v>51</v>
      </c>
      <c r="AK60" s="205">
        <f t="shared" si="9"/>
        <v>61</v>
      </c>
      <c r="AL60" s="205">
        <f t="shared" si="10"/>
        <v>71</v>
      </c>
      <c r="AM60" s="205">
        <f t="shared" si="11"/>
        <v>81</v>
      </c>
      <c r="AN60" s="205">
        <f t="shared" si="12"/>
        <v>91</v>
      </c>
      <c r="AO60" s="205">
        <f t="shared" si="13"/>
        <v>101</v>
      </c>
      <c r="AP60" s="205">
        <f t="shared" si="14"/>
        <v>111.00000000000001</v>
      </c>
    </row>
    <row r="61" spans="1:46" ht="14.45" customHeight="1" x14ac:dyDescent="0.2">
      <c r="B61" s="221" t="str">
        <f t="shared" si="21"/>
        <v>KO</v>
      </c>
      <c r="C61" s="185" t="s">
        <v>40</v>
      </c>
      <c r="D61" s="30" t="str">
        <f>IF(ISBLANK(+Offertes!D18),"",+Offertes!D18)</f>
        <v/>
      </c>
      <c r="E61" s="32" t="str">
        <f>IF(ISBLANK(+Offertes!F18),"",+Offertes!F18)</f>
        <v/>
      </c>
      <c r="F61" s="30" t="str">
        <f>IF(ISBLANK(+Offertes!G18),"",+Offertes!G18)</f>
        <v/>
      </c>
      <c r="G61" s="206" t="str">
        <f t="shared" si="22"/>
        <v>n.v.t.</v>
      </c>
      <c r="H61" s="263" t="str">
        <f t="shared" si="23"/>
        <v/>
      </c>
      <c r="I61" s="30" t="str">
        <f t="shared" si="24"/>
        <v/>
      </c>
      <c r="J61" s="152" t="str">
        <f>IF(AND(E61&lt;=$C$17,E61&gt;=$C$14,F61&gt;=$F$49),"","KO")</f>
        <v>KO</v>
      </c>
      <c r="K61" s="220" t="str">
        <f t="shared" si="26"/>
        <v>KO</v>
      </c>
      <c r="V61" s="268">
        <f t="shared" si="27"/>
        <v>19.500000000000011</v>
      </c>
      <c r="W61" s="269">
        <f t="shared" si="17"/>
        <v>0.19500000000000009</v>
      </c>
      <c r="X61" s="97">
        <f t="shared" si="28"/>
        <v>97.500000000000043</v>
      </c>
      <c r="Y61" s="118"/>
      <c r="Z61" s="124"/>
      <c r="AA61" s="205">
        <f t="shared" si="18"/>
        <v>97.500000000000043</v>
      </c>
      <c r="AB61" s="128"/>
      <c r="AC61" s="118"/>
      <c r="AD61" s="205">
        <f t="shared" si="19"/>
        <v>97.5</v>
      </c>
      <c r="AE61" s="138">
        <f t="shared" si="5"/>
        <v>461000</v>
      </c>
      <c r="AF61" s="138">
        <f t="shared" si="6"/>
        <v>461000</v>
      </c>
      <c r="AG61" s="138">
        <f t="shared" si="7"/>
        <v>461000</v>
      </c>
      <c r="AH61" s="118"/>
      <c r="AI61" s="118"/>
      <c r="AJ61" s="205">
        <f t="shared" si="8"/>
        <v>50.5</v>
      </c>
      <c r="AK61" s="205">
        <f t="shared" si="9"/>
        <v>60.5</v>
      </c>
      <c r="AL61" s="205">
        <f t="shared" si="10"/>
        <v>70.5</v>
      </c>
      <c r="AM61" s="205">
        <f t="shared" si="11"/>
        <v>80.5</v>
      </c>
      <c r="AN61" s="205">
        <f t="shared" si="12"/>
        <v>90.5</v>
      </c>
      <c r="AO61" s="205">
        <f t="shared" si="13"/>
        <v>100.49999999999999</v>
      </c>
      <c r="AP61" s="205">
        <f t="shared" si="14"/>
        <v>110.5</v>
      </c>
    </row>
    <row r="62" spans="1:46" ht="14.45" customHeight="1" x14ac:dyDescent="0.2">
      <c r="B62" s="221" t="str">
        <f t="shared" si="21"/>
        <v>KO</v>
      </c>
      <c r="C62" s="185" t="s">
        <v>41</v>
      </c>
      <c r="D62" s="30" t="str">
        <f>IF(ISBLANK(+Offertes!D19),"",+Offertes!D19)</f>
        <v/>
      </c>
      <c r="E62" s="32" t="str">
        <f>IF(ISBLANK(+Offertes!F19),"",+Offertes!F19)</f>
        <v/>
      </c>
      <c r="F62" s="30" t="str">
        <f>IF(ISBLANK(+Offertes!G19),"",+Offertes!G19)</f>
        <v/>
      </c>
      <c r="G62" s="206" t="str">
        <f t="shared" si="22"/>
        <v>n.v.t.</v>
      </c>
      <c r="H62" s="263" t="str">
        <f t="shared" si="23"/>
        <v/>
      </c>
      <c r="I62" s="30" t="str">
        <f t="shared" si="24"/>
        <v/>
      </c>
      <c r="J62" s="152" t="str">
        <f>IF(AND(E62&lt;=$C$17,E62&gt;=$C$14,F62&gt;=$F$49),"","KO")</f>
        <v>KO</v>
      </c>
      <c r="K62" s="220" t="str">
        <f t="shared" si="26"/>
        <v>KO</v>
      </c>
      <c r="V62" s="268">
        <f t="shared" si="27"/>
        <v>20.000000000000011</v>
      </c>
      <c r="W62" s="269">
        <f t="shared" si="17"/>
        <v>0.20000000000000009</v>
      </c>
      <c r="X62" s="97">
        <f t="shared" si="28"/>
        <v>100.00000000000004</v>
      </c>
      <c r="Y62" s="118"/>
      <c r="Z62" s="124"/>
      <c r="AA62" s="205">
        <f t="shared" si="18"/>
        <v>100.00000000000004</v>
      </c>
      <c r="AB62" s="128"/>
      <c r="AC62" s="118"/>
      <c r="AD62" s="205">
        <f t="shared" si="19"/>
        <v>100</v>
      </c>
      <c r="AE62" s="138">
        <f t="shared" si="5"/>
        <v>460000</v>
      </c>
      <c r="AF62" s="138">
        <f t="shared" si="6"/>
        <v>460000</v>
      </c>
      <c r="AG62" s="138">
        <f t="shared" si="7"/>
        <v>460000</v>
      </c>
      <c r="AH62" s="118"/>
      <c r="AI62" s="118"/>
      <c r="AJ62" s="205">
        <f t="shared" si="8"/>
        <v>50</v>
      </c>
      <c r="AK62" s="205">
        <f t="shared" si="9"/>
        <v>60</v>
      </c>
      <c r="AL62" s="205">
        <f t="shared" si="10"/>
        <v>70</v>
      </c>
      <c r="AM62" s="205">
        <f t="shared" si="11"/>
        <v>80</v>
      </c>
      <c r="AN62" s="205">
        <f t="shared" si="12"/>
        <v>90</v>
      </c>
      <c r="AO62" s="205">
        <f t="shared" si="13"/>
        <v>100</v>
      </c>
      <c r="AP62" s="205">
        <f t="shared" si="14"/>
        <v>110.00000000000001</v>
      </c>
      <c r="AT62" s="34" t="s">
        <v>167</v>
      </c>
    </row>
    <row r="63" spans="1:46" ht="14.45" customHeight="1" x14ac:dyDescent="0.2">
      <c r="B63" s="34" t="s">
        <v>6</v>
      </c>
      <c r="D63" s="153" t="s">
        <v>10</v>
      </c>
      <c r="E63" s="212">
        <f>+$C$8</f>
        <v>400000</v>
      </c>
      <c r="F63" s="30">
        <f>IF(ISBLANK(+Offertes!G20),"",+Offertes!G20)</f>
        <v>250</v>
      </c>
      <c r="G63" s="206" t="str">
        <f t="shared" si="22"/>
        <v>n.v.t.</v>
      </c>
      <c r="H63" s="263">
        <f>M16</f>
        <v>500</v>
      </c>
      <c r="I63" s="30">
        <f>IF(G63="n.v.t.",F63/$C$6*$F$13,G63)</f>
        <v>50</v>
      </c>
      <c r="J63" s="152" t="str">
        <f>IF(OR(E63&gt;$E$49,F63&lt;$F$49),"KO","")</f>
        <v/>
      </c>
      <c r="K63" s="219" t="s">
        <v>6</v>
      </c>
      <c r="V63" s="268">
        <f t="shared" si="27"/>
        <v>20.500000000000011</v>
      </c>
      <c r="W63" s="269">
        <f t="shared" si="17"/>
        <v>0.2050000000000001</v>
      </c>
      <c r="X63" s="97">
        <f t="shared" si="28"/>
        <v>102.50000000000004</v>
      </c>
      <c r="Y63" s="118"/>
      <c r="Z63" s="124"/>
      <c r="AA63" s="205">
        <f t="shared" si="18"/>
        <v>102.50000000000004</v>
      </c>
      <c r="AB63" s="128"/>
      <c r="AC63" s="118"/>
      <c r="AD63" s="205">
        <f t="shared" si="19"/>
        <v>102.5</v>
      </c>
      <c r="AE63" s="138">
        <f t="shared" si="5"/>
        <v>459000</v>
      </c>
      <c r="AF63" s="138">
        <f t="shared" si="6"/>
        <v>459000</v>
      </c>
      <c r="AG63" s="138">
        <f t="shared" si="7"/>
        <v>459000</v>
      </c>
      <c r="AH63" s="118"/>
      <c r="AI63" s="118"/>
      <c r="AJ63" s="205">
        <f t="shared" si="8"/>
        <v>49.5</v>
      </c>
      <c r="AK63" s="205">
        <f t="shared" si="9"/>
        <v>59.5</v>
      </c>
      <c r="AL63" s="205">
        <f t="shared" si="10"/>
        <v>69.5</v>
      </c>
      <c r="AM63" s="205">
        <f t="shared" si="11"/>
        <v>79.5</v>
      </c>
      <c r="AN63" s="205">
        <f t="shared" si="12"/>
        <v>89.5</v>
      </c>
      <c r="AO63" s="205">
        <f t="shared" si="13"/>
        <v>99.5</v>
      </c>
      <c r="AP63" s="205">
        <f t="shared" si="14"/>
        <v>109.5</v>
      </c>
      <c r="AT63" s="34" t="s">
        <v>337</v>
      </c>
    </row>
    <row r="64" spans="1:46" ht="14.45" customHeight="1" x14ac:dyDescent="0.2">
      <c r="E64" s="24"/>
      <c r="G64" s="176" t="s">
        <v>183</v>
      </c>
      <c r="H64" s="34">
        <f>COUNT(H51:H62)</f>
        <v>0</v>
      </c>
      <c r="V64" s="268">
        <f t="shared" si="27"/>
        <v>21.000000000000011</v>
      </c>
      <c r="W64" s="269">
        <f t="shared" si="17"/>
        <v>0.2100000000000001</v>
      </c>
      <c r="X64" s="97">
        <f t="shared" si="28"/>
        <v>105.00000000000006</v>
      </c>
      <c r="Y64" s="118"/>
      <c r="Z64" s="124"/>
      <c r="AA64" s="205">
        <f t="shared" si="18"/>
        <v>105.00000000000006</v>
      </c>
      <c r="AB64" s="128"/>
      <c r="AC64" s="118"/>
      <c r="AD64" s="205">
        <f t="shared" si="19"/>
        <v>105</v>
      </c>
      <c r="AE64" s="138">
        <f t="shared" si="5"/>
        <v>458000</v>
      </c>
      <c r="AF64" s="138">
        <f t="shared" si="6"/>
        <v>458000</v>
      </c>
      <c r="AG64" s="138">
        <f t="shared" si="7"/>
        <v>458000</v>
      </c>
      <c r="AH64" s="118"/>
      <c r="AI64" s="118"/>
      <c r="AJ64" s="205">
        <f t="shared" si="8"/>
        <v>49</v>
      </c>
      <c r="AK64" s="205">
        <f t="shared" si="9"/>
        <v>59</v>
      </c>
      <c r="AL64" s="205">
        <f t="shared" si="10"/>
        <v>69</v>
      </c>
      <c r="AM64" s="205">
        <f t="shared" si="11"/>
        <v>79</v>
      </c>
      <c r="AN64" s="205">
        <f t="shared" si="12"/>
        <v>89</v>
      </c>
      <c r="AO64" s="205">
        <f t="shared" si="13"/>
        <v>99</v>
      </c>
      <c r="AP64" s="205">
        <f t="shared" si="14"/>
        <v>109.00000000000001</v>
      </c>
      <c r="AT64" s="34" t="str">
        <f>"Dit minimum is vastgesteld op "&amp;BM2&amp;" punten van de in totaal "&amp;AX3&amp;" te verdienen punten. "</f>
        <v xml:space="preserve">Dit minimum is vastgesteld op 0 punten van de in totaal 500 te verdienen punten. </v>
      </c>
    </row>
    <row r="65" spans="2:46" ht="14.45" customHeight="1" x14ac:dyDescent="0.2">
      <c r="B65" s="24"/>
      <c r="C65" s="24"/>
      <c r="D65" s="24"/>
      <c r="E65" s="24"/>
      <c r="V65" s="268">
        <f t="shared" si="27"/>
        <v>21.500000000000011</v>
      </c>
      <c r="W65" s="269">
        <f t="shared" si="17"/>
        <v>0.21500000000000011</v>
      </c>
      <c r="X65" s="97">
        <f t="shared" si="28"/>
        <v>107.50000000000006</v>
      </c>
      <c r="Y65" s="118"/>
      <c r="Z65" s="124"/>
      <c r="AA65" s="205">
        <f t="shared" si="18"/>
        <v>107.50000000000006</v>
      </c>
      <c r="AB65" s="128"/>
      <c r="AC65" s="118"/>
      <c r="AD65" s="205">
        <f t="shared" si="19"/>
        <v>107.5</v>
      </c>
      <c r="AE65" s="138">
        <f t="shared" si="5"/>
        <v>457000</v>
      </c>
      <c r="AF65" s="138">
        <f t="shared" si="6"/>
        <v>457000</v>
      </c>
      <c r="AG65" s="138">
        <f t="shared" si="7"/>
        <v>457000</v>
      </c>
      <c r="AH65" s="118"/>
      <c r="AI65" s="118"/>
      <c r="AJ65" s="205">
        <f t="shared" si="8"/>
        <v>48.5</v>
      </c>
      <c r="AK65" s="205">
        <f t="shared" si="9"/>
        <v>58.5</v>
      </c>
      <c r="AL65" s="205">
        <f t="shared" si="10"/>
        <v>68.5</v>
      </c>
      <c r="AM65" s="205">
        <f t="shared" si="11"/>
        <v>78.5</v>
      </c>
      <c r="AN65" s="205">
        <f t="shared" si="12"/>
        <v>88.5</v>
      </c>
      <c r="AO65" s="205">
        <f t="shared" si="13"/>
        <v>98.5</v>
      </c>
      <c r="AP65" s="205">
        <f t="shared" si="14"/>
        <v>108.5</v>
      </c>
    </row>
    <row r="66" spans="2:46" ht="14.45" customHeight="1" x14ac:dyDescent="0.2">
      <c r="B66" s="24"/>
      <c r="C66" s="24"/>
      <c r="D66" s="24"/>
      <c r="E66" s="24"/>
      <c r="V66" s="268">
        <f t="shared" si="27"/>
        <v>22.000000000000011</v>
      </c>
      <c r="W66" s="269">
        <f t="shared" si="17"/>
        <v>0.22000000000000011</v>
      </c>
      <c r="X66" s="97">
        <f t="shared" si="28"/>
        <v>110.00000000000006</v>
      </c>
      <c r="Y66" s="118"/>
      <c r="Z66" s="124"/>
      <c r="AA66" s="205">
        <f t="shared" si="18"/>
        <v>110.00000000000006</v>
      </c>
      <c r="AB66" s="128"/>
      <c r="AC66" s="118"/>
      <c r="AD66" s="205">
        <f t="shared" si="19"/>
        <v>110</v>
      </c>
      <c r="AE66" s="138">
        <f t="shared" si="5"/>
        <v>456000</v>
      </c>
      <c r="AF66" s="138">
        <f t="shared" si="6"/>
        <v>456000</v>
      </c>
      <c r="AG66" s="138">
        <f t="shared" si="7"/>
        <v>456000</v>
      </c>
      <c r="AH66" s="118"/>
      <c r="AI66" s="118"/>
      <c r="AJ66" s="205">
        <f t="shared" si="8"/>
        <v>48</v>
      </c>
      <c r="AK66" s="205">
        <f t="shared" si="9"/>
        <v>57.999999999999993</v>
      </c>
      <c r="AL66" s="205">
        <f t="shared" si="10"/>
        <v>68</v>
      </c>
      <c r="AM66" s="205">
        <f t="shared" si="11"/>
        <v>78</v>
      </c>
      <c r="AN66" s="205">
        <f t="shared" si="12"/>
        <v>88</v>
      </c>
      <c r="AO66" s="205">
        <f t="shared" si="13"/>
        <v>98</v>
      </c>
      <c r="AP66" s="205">
        <f t="shared" si="14"/>
        <v>108</v>
      </c>
    </row>
    <row r="67" spans="2:46" ht="14.45" customHeight="1" x14ac:dyDescent="0.2">
      <c r="B67" s="168" t="s">
        <v>127</v>
      </c>
      <c r="C67" s="24"/>
      <c r="F67" s="168" t="s">
        <v>289</v>
      </c>
      <c r="V67" s="268">
        <f t="shared" si="27"/>
        <v>22.500000000000011</v>
      </c>
      <c r="W67" s="269">
        <f>+W66+0.005</f>
        <v>0.22500000000000012</v>
      </c>
      <c r="X67" s="97">
        <f t="shared" si="28"/>
        <v>112.50000000000006</v>
      </c>
      <c r="Y67" s="118"/>
      <c r="Z67" s="124"/>
      <c r="AA67" s="205">
        <f t="shared" si="18"/>
        <v>112.50000000000006</v>
      </c>
      <c r="AB67" s="128"/>
      <c r="AC67" s="118"/>
      <c r="AD67" s="205">
        <f t="shared" si="19"/>
        <v>112.5</v>
      </c>
      <c r="AE67" s="138">
        <f t="shared" si="5"/>
        <v>455000</v>
      </c>
      <c r="AF67" s="138">
        <f t="shared" si="6"/>
        <v>455000</v>
      </c>
      <c r="AG67" s="138">
        <f t="shared" si="7"/>
        <v>455000</v>
      </c>
      <c r="AH67" s="118"/>
      <c r="AI67" s="118"/>
      <c r="AJ67" s="205">
        <f t="shared" si="8"/>
        <v>47.5</v>
      </c>
      <c r="AK67" s="205">
        <f t="shared" si="9"/>
        <v>57.499999999999993</v>
      </c>
      <c r="AL67" s="205">
        <f t="shared" si="10"/>
        <v>67.5</v>
      </c>
      <c r="AM67" s="205">
        <f t="shared" si="11"/>
        <v>77.5</v>
      </c>
      <c r="AN67" s="205">
        <f t="shared" si="12"/>
        <v>87.5</v>
      </c>
      <c r="AO67" s="205">
        <f t="shared" si="13"/>
        <v>97.5</v>
      </c>
      <c r="AP67" s="205">
        <f t="shared" si="14"/>
        <v>107.5</v>
      </c>
    </row>
    <row r="68" spans="2:46" ht="14.45" customHeight="1" x14ac:dyDescent="0.3">
      <c r="B68" s="24"/>
      <c r="C68" s="24"/>
      <c r="F68" s="34" t="s">
        <v>290</v>
      </c>
      <c r="V68" s="268">
        <f t="shared" si="27"/>
        <v>23.000000000000011</v>
      </c>
      <c r="W68" s="269">
        <f t="shared" si="17"/>
        <v>0.23000000000000012</v>
      </c>
      <c r="X68" s="97">
        <f t="shared" si="28"/>
        <v>115.00000000000006</v>
      </c>
      <c r="Y68" s="118"/>
      <c r="Z68" s="124"/>
      <c r="AA68" s="205">
        <f t="shared" si="18"/>
        <v>115.00000000000006</v>
      </c>
      <c r="AB68" s="128"/>
      <c r="AC68" s="118"/>
      <c r="AD68" s="205">
        <f t="shared" si="19"/>
        <v>115</v>
      </c>
      <c r="AE68" s="138">
        <f t="shared" si="5"/>
        <v>454000</v>
      </c>
      <c r="AF68" s="138">
        <f t="shared" si="6"/>
        <v>454000</v>
      </c>
      <c r="AG68" s="138">
        <f t="shared" si="7"/>
        <v>454000</v>
      </c>
      <c r="AH68" s="118"/>
      <c r="AI68" s="118"/>
      <c r="AJ68" s="205">
        <f t="shared" si="8"/>
        <v>47</v>
      </c>
      <c r="AK68" s="205">
        <f t="shared" si="9"/>
        <v>56.999999999999993</v>
      </c>
      <c r="AL68" s="205">
        <f t="shared" si="10"/>
        <v>67</v>
      </c>
      <c r="AM68" s="205">
        <f t="shared" si="11"/>
        <v>77</v>
      </c>
      <c r="AN68" s="205">
        <f t="shared" si="12"/>
        <v>87</v>
      </c>
      <c r="AO68" s="205">
        <f t="shared" si="13"/>
        <v>97</v>
      </c>
      <c r="AP68" s="205">
        <f t="shared" si="14"/>
        <v>107</v>
      </c>
    </row>
    <row r="69" spans="2:46" ht="14.45" customHeight="1" x14ac:dyDescent="0.3">
      <c r="B69" s="30" t="s">
        <v>128</v>
      </c>
      <c r="C69" s="217">
        <f>100*(1+Dashboard!G14)</f>
        <v>100</v>
      </c>
      <c r="F69" s="34" t="s">
        <v>291</v>
      </c>
      <c r="V69" s="268">
        <f t="shared" si="27"/>
        <v>23.500000000000014</v>
      </c>
      <c r="W69" s="269">
        <f t="shared" si="17"/>
        <v>0.23500000000000013</v>
      </c>
      <c r="X69" s="97">
        <f t="shared" si="28"/>
        <v>117.50000000000006</v>
      </c>
      <c r="Y69" s="118"/>
      <c r="Z69" s="124"/>
      <c r="AA69" s="205">
        <f t="shared" si="18"/>
        <v>117.50000000000006</v>
      </c>
      <c r="AB69" s="128"/>
      <c r="AC69" s="118"/>
      <c r="AD69" s="205">
        <f t="shared" si="19"/>
        <v>117.5</v>
      </c>
      <c r="AE69" s="138">
        <f t="shared" si="5"/>
        <v>453000</v>
      </c>
      <c r="AF69" s="138">
        <f t="shared" si="6"/>
        <v>453000</v>
      </c>
      <c r="AG69" s="138">
        <f t="shared" si="7"/>
        <v>453000</v>
      </c>
      <c r="AH69" s="118"/>
      <c r="AI69" s="118"/>
      <c r="AJ69" s="205">
        <f t="shared" si="8"/>
        <v>46.5</v>
      </c>
      <c r="AK69" s="205">
        <f t="shared" si="9"/>
        <v>56.499999999999993</v>
      </c>
      <c r="AL69" s="205">
        <f t="shared" si="10"/>
        <v>66.5</v>
      </c>
      <c r="AM69" s="205">
        <f t="shared" si="11"/>
        <v>76.5</v>
      </c>
      <c r="AN69" s="205">
        <f t="shared" si="12"/>
        <v>86.5</v>
      </c>
      <c r="AO69" s="205">
        <f t="shared" si="13"/>
        <v>96.5</v>
      </c>
      <c r="AP69" s="205">
        <f t="shared" si="14"/>
        <v>106.5</v>
      </c>
    </row>
    <row r="70" spans="2:46" ht="14.45" customHeight="1" x14ac:dyDescent="0.2">
      <c r="B70" s="24"/>
      <c r="C70" s="24"/>
      <c r="V70" s="268">
        <f t="shared" si="27"/>
        <v>24.000000000000014</v>
      </c>
      <c r="W70" s="269">
        <f t="shared" si="17"/>
        <v>0.24000000000000013</v>
      </c>
      <c r="X70" s="97">
        <f t="shared" si="28"/>
        <v>120.00000000000007</v>
      </c>
      <c r="Y70" s="118"/>
      <c r="Z70" s="124"/>
      <c r="AA70" s="205">
        <f t="shared" si="18"/>
        <v>120.00000000000007</v>
      </c>
      <c r="AB70" s="128"/>
      <c r="AC70" s="118"/>
      <c r="AD70" s="205">
        <f t="shared" si="19"/>
        <v>120</v>
      </c>
      <c r="AE70" s="138">
        <f t="shared" si="5"/>
        <v>452000</v>
      </c>
      <c r="AF70" s="138">
        <f t="shared" si="6"/>
        <v>452000</v>
      </c>
      <c r="AG70" s="138">
        <f t="shared" si="7"/>
        <v>452000</v>
      </c>
      <c r="AH70" s="118"/>
      <c r="AI70" s="118"/>
      <c r="AJ70" s="205">
        <f t="shared" si="8"/>
        <v>46</v>
      </c>
      <c r="AK70" s="205">
        <f t="shared" si="9"/>
        <v>56.000000000000007</v>
      </c>
      <c r="AL70" s="205">
        <f t="shared" si="10"/>
        <v>66</v>
      </c>
      <c r="AM70" s="205">
        <f t="shared" si="11"/>
        <v>76</v>
      </c>
      <c r="AN70" s="205">
        <f t="shared" si="12"/>
        <v>86</v>
      </c>
      <c r="AO70" s="205">
        <f t="shared" si="13"/>
        <v>96</v>
      </c>
      <c r="AP70" s="205">
        <f t="shared" si="14"/>
        <v>106</v>
      </c>
    </row>
    <row r="71" spans="2:46" x14ac:dyDescent="0.2">
      <c r="B71" s="24"/>
      <c r="C71" s="24"/>
      <c r="V71" s="268">
        <f t="shared" si="27"/>
        <v>24.500000000000014</v>
      </c>
      <c r="W71" s="269">
        <f t="shared" si="17"/>
        <v>0.24500000000000013</v>
      </c>
      <c r="X71" s="97">
        <f t="shared" si="28"/>
        <v>122.50000000000007</v>
      </c>
      <c r="Y71" s="118"/>
      <c r="Z71" s="124"/>
      <c r="AA71" s="205">
        <f t="shared" si="18"/>
        <v>122.50000000000007</v>
      </c>
      <c r="AB71" s="128"/>
      <c r="AC71" s="118"/>
      <c r="AD71" s="205">
        <f t="shared" si="19"/>
        <v>122.5</v>
      </c>
      <c r="AE71" s="138">
        <f t="shared" si="5"/>
        <v>451000</v>
      </c>
      <c r="AF71" s="138">
        <f t="shared" si="6"/>
        <v>451000</v>
      </c>
      <c r="AG71" s="138">
        <f t="shared" si="7"/>
        <v>451000</v>
      </c>
      <c r="AH71" s="118"/>
      <c r="AI71" s="118"/>
      <c r="AJ71" s="205">
        <f t="shared" si="8"/>
        <v>45.5</v>
      </c>
      <c r="AK71" s="205">
        <f t="shared" si="9"/>
        <v>55.500000000000007</v>
      </c>
      <c r="AL71" s="205">
        <f t="shared" si="10"/>
        <v>65.5</v>
      </c>
      <c r="AM71" s="205">
        <f t="shared" si="11"/>
        <v>75.5</v>
      </c>
      <c r="AN71" s="205">
        <f t="shared" si="12"/>
        <v>85.5</v>
      </c>
      <c r="AO71" s="205">
        <f t="shared" si="13"/>
        <v>95.5</v>
      </c>
      <c r="AP71" s="205">
        <f t="shared" si="14"/>
        <v>105.5</v>
      </c>
    </row>
    <row r="72" spans="2:46" x14ac:dyDescent="0.2">
      <c r="B72" s="24"/>
      <c r="C72" s="24"/>
      <c r="V72" s="268">
        <f t="shared" si="27"/>
        <v>25.000000000000011</v>
      </c>
      <c r="W72" s="269">
        <f t="shared" si="17"/>
        <v>0.25000000000000011</v>
      </c>
      <c r="X72" s="97">
        <f t="shared" si="28"/>
        <v>125.00000000000006</v>
      </c>
      <c r="Y72" s="118"/>
      <c r="Z72" s="124"/>
      <c r="AA72" s="205">
        <f t="shared" si="18"/>
        <v>125.00000000000006</v>
      </c>
      <c r="AB72" s="128"/>
      <c r="AC72" s="118"/>
      <c r="AD72" s="205">
        <f t="shared" si="19"/>
        <v>125</v>
      </c>
      <c r="AE72" s="138">
        <f t="shared" si="5"/>
        <v>450000</v>
      </c>
      <c r="AF72" s="138">
        <f t="shared" si="6"/>
        <v>450000</v>
      </c>
      <c r="AG72" s="138">
        <f t="shared" si="7"/>
        <v>450000</v>
      </c>
      <c r="AH72" s="118"/>
      <c r="AI72" s="118"/>
      <c r="AJ72" s="205">
        <f t="shared" si="8"/>
        <v>45</v>
      </c>
      <c r="AK72" s="205">
        <f t="shared" si="9"/>
        <v>55.000000000000007</v>
      </c>
      <c r="AL72" s="205">
        <f t="shared" si="10"/>
        <v>65</v>
      </c>
      <c r="AM72" s="205">
        <f t="shared" si="11"/>
        <v>75</v>
      </c>
      <c r="AN72" s="205">
        <f t="shared" si="12"/>
        <v>85</v>
      </c>
      <c r="AO72" s="205">
        <f t="shared" si="13"/>
        <v>95</v>
      </c>
      <c r="AP72" s="205">
        <f t="shared" si="14"/>
        <v>105</v>
      </c>
    </row>
    <row r="73" spans="2:46" x14ac:dyDescent="0.2">
      <c r="B73" s="24"/>
      <c r="C73" s="24"/>
      <c r="V73" s="268">
        <f t="shared" si="27"/>
        <v>25.500000000000011</v>
      </c>
      <c r="W73" s="269">
        <f t="shared" si="17"/>
        <v>0.25500000000000012</v>
      </c>
      <c r="X73" s="97">
        <f t="shared" si="28"/>
        <v>127.50000000000006</v>
      </c>
      <c r="Y73" s="118"/>
      <c r="Z73" s="124"/>
      <c r="AA73" s="205">
        <f t="shared" si="18"/>
        <v>127.50000000000006</v>
      </c>
      <c r="AB73" s="128"/>
      <c r="AC73" s="118"/>
      <c r="AD73" s="205">
        <f t="shared" si="19"/>
        <v>127.5</v>
      </c>
      <c r="AE73" s="138">
        <f t="shared" si="5"/>
        <v>449000</v>
      </c>
      <c r="AF73" s="138">
        <f t="shared" si="6"/>
        <v>449000</v>
      </c>
      <c r="AG73" s="138">
        <f t="shared" si="7"/>
        <v>449000</v>
      </c>
      <c r="AH73" s="118"/>
      <c r="AI73" s="118"/>
      <c r="AJ73" s="205">
        <f t="shared" si="8"/>
        <v>44.5</v>
      </c>
      <c r="AK73" s="205">
        <f t="shared" si="9"/>
        <v>54.500000000000007</v>
      </c>
      <c r="AL73" s="205">
        <f t="shared" si="10"/>
        <v>64.5</v>
      </c>
      <c r="AM73" s="205">
        <f t="shared" si="11"/>
        <v>74.5</v>
      </c>
      <c r="AN73" s="205">
        <f t="shared" si="12"/>
        <v>84.5</v>
      </c>
      <c r="AO73" s="205">
        <f t="shared" si="13"/>
        <v>94.5</v>
      </c>
      <c r="AP73" s="205">
        <f t="shared" si="14"/>
        <v>104.5</v>
      </c>
    </row>
    <row r="74" spans="2:46" x14ac:dyDescent="0.2">
      <c r="B74" s="168" t="s">
        <v>131</v>
      </c>
      <c r="C74" s="24"/>
      <c r="V74" s="268">
        <f t="shared" si="27"/>
        <v>26.000000000000011</v>
      </c>
      <c r="W74" s="269">
        <f t="shared" si="17"/>
        <v>0.26000000000000012</v>
      </c>
      <c r="X74" s="97">
        <f t="shared" si="28"/>
        <v>130.00000000000006</v>
      </c>
      <c r="Y74" s="118"/>
      <c r="Z74" s="124"/>
      <c r="AA74" s="205">
        <f t="shared" si="18"/>
        <v>130.00000000000006</v>
      </c>
      <c r="AB74" s="128"/>
      <c r="AC74" s="118"/>
      <c r="AD74" s="205">
        <f t="shared" si="19"/>
        <v>130</v>
      </c>
      <c r="AE74" s="138">
        <f t="shared" si="5"/>
        <v>448000</v>
      </c>
      <c r="AF74" s="138">
        <f t="shared" si="6"/>
        <v>448000</v>
      </c>
      <c r="AG74" s="138">
        <f t="shared" si="7"/>
        <v>448000</v>
      </c>
      <c r="AH74" s="118"/>
      <c r="AI74" s="118"/>
      <c r="AJ74" s="205">
        <f t="shared" si="8"/>
        <v>44</v>
      </c>
      <c r="AK74" s="205">
        <f t="shared" si="9"/>
        <v>54</v>
      </c>
      <c r="AL74" s="205">
        <f t="shared" si="10"/>
        <v>64</v>
      </c>
      <c r="AM74" s="205">
        <f t="shared" si="11"/>
        <v>74</v>
      </c>
      <c r="AN74" s="205">
        <f t="shared" si="12"/>
        <v>84</v>
      </c>
      <c r="AO74" s="205">
        <f t="shared" si="13"/>
        <v>94</v>
      </c>
      <c r="AP74" s="205">
        <f t="shared" si="14"/>
        <v>104</v>
      </c>
    </row>
    <row r="75" spans="2:46" x14ac:dyDescent="0.2">
      <c r="B75" s="24" t="s">
        <v>132</v>
      </c>
      <c r="C75" s="24">
        <f>+Dashboard!H19</f>
        <v>250</v>
      </c>
      <c r="V75" s="268">
        <f t="shared" si="27"/>
        <v>26.500000000000014</v>
      </c>
      <c r="W75" s="269">
        <f t="shared" si="17"/>
        <v>0.26500000000000012</v>
      </c>
      <c r="X75" s="97">
        <f t="shared" si="28"/>
        <v>132.50000000000006</v>
      </c>
      <c r="Y75" s="118"/>
      <c r="Z75" s="124"/>
      <c r="AA75" s="205">
        <f t="shared" si="18"/>
        <v>132.50000000000006</v>
      </c>
      <c r="AB75" s="128"/>
      <c r="AC75" s="118"/>
      <c r="AD75" s="205">
        <f t="shared" si="19"/>
        <v>132.5</v>
      </c>
      <c r="AE75" s="138">
        <f t="shared" si="5"/>
        <v>447000</v>
      </c>
      <c r="AF75" s="138">
        <f t="shared" si="6"/>
        <v>447000</v>
      </c>
      <c r="AG75" s="138">
        <f t="shared" si="7"/>
        <v>447000</v>
      </c>
      <c r="AH75" s="118"/>
      <c r="AI75" s="118"/>
      <c r="AJ75" s="205">
        <f t="shared" si="8"/>
        <v>43.5</v>
      </c>
      <c r="AK75" s="205">
        <f t="shared" si="9"/>
        <v>53.5</v>
      </c>
      <c r="AL75" s="205">
        <f t="shared" si="10"/>
        <v>63.5</v>
      </c>
      <c r="AM75" s="205">
        <f t="shared" si="11"/>
        <v>73.5</v>
      </c>
      <c r="AN75" s="205">
        <f t="shared" si="12"/>
        <v>83.5</v>
      </c>
      <c r="AO75" s="205">
        <f t="shared" si="13"/>
        <v>93.5</v>
      </c>
      <c r="AP75" s="205">
        <f t="shared" si="14"/>
        <v>103.49999999999999</v>
      </c>
      <c r="AT75" s="34" t="s">
        <v>52</v>
      </c>
    </row>
    <row r="76" spans="2:46" x14ac:dyDescent="0.2">
      <c r="B76" s="24" t="s">
        <v>133</v>
      </c>
      <c r="C76" s="24">
        <f>+C69</f>
        <v>100</v>
      </c>
      <c r="V76" s="268">
        <f t="shared" si="27"/>
        <v>27.000000000000014</v>
      </c>
      <c r="W76" s="269">
        <f t="shared" si="17"/>
        <v>0.27000000000000013</v>
      </c>
      <c r="X76" s="97">
        <f t="shared" si="28"/>
        <v>135.00000000000006</v>
      </c>
      <c r="Y76" s="118"/>
      <c r="Z76" s="124"/>
      <c r="AA76" s="205">
        <f t="shared" si="18"/>
        <v>135.00000000000006</v>
      </c>
      <c r="AB76" s="128"/>
      <c r="AC76" s="118"/>
      <c r="AD76" s="205">
        <f t="shared" si="19"/>
        <v>135</v>
      </c>
      <c r="AE76" s="138">
        <f t="shared" si="5"/>
        <v>446000</v>
      </c>
      <c r="AF76" s="138">
        <f t="shared" si="6"/>
        <v>446000</v>
      </c>
      <c r="AG76" s="138">
        <f t="shared" si="7"/>
        <v>446000</v>
      </c>
      <c r="AH76" s="118"/>
      <c r="AI76" s="118"/>
      <c r="AJ76" s="205">
        <f t="shared" si="8"/>
        <v>43</v>
      </c>
      <c r="AK76" s="205">
        <f t="shared" si="9"/>
        <v>53</v>
      </c>
      <c r="AL76" s="205">
        <f t="shared" si="10"/>
        <v>63</v>
      </c>
      <c r="AM76" s="205">
        <f t="shared" si="11"/>
        <v>73</v>
      </c>
      <c r="AN76" s="205">
        <f t="shared" si="12"/>
        <v>83</v>
      </c>
      <c r="AO76" s="205">
        <f t="shared" si="13"/>
        <v>93</v>
      </c>
      <c r="AP76" s="205">
        <f t="shared" si="14"/>
        <v>103</v>
      </c>
    </row>
    <row r="77" spans="2:46" x14ac:dyDescent="0.2">
      <c r="B77" s="24"/>
      <c r="C77" s="24">
        <f>+C76-C75</f>
        <v>-150</v>
      </c>
      <c r="V77" s="268">
        <f t="shared" si="27"/>
        <v>27.500000000000014</v>
      </c>
      <c r="W77" s="269">
        <f t="shared" si="17"/>
        <v>0.27500000000000013</v>
      </c>
      <c r="X77" s="97">
        <f t="shared" si="28"/>
        <v>137.50000000000006</v>
      </c>
      <c r="Y77" s="118"/>
      <c r="Z77" s="124"/>
      <c r="AA77" s="205">
        <f t="shared" si="18"/>
        <v>137.50000000000006</v>
      </c>
      <c r="AB77" s="128"/>
      <c r="AC77" s="118"/>
      <c r="AD77" s="205">
        <f t="shared" si="19"/>
        <v>137.5</v>
      </c>
      <c r="AE77" s="138">
        <f t="shared" si="5"/>
        <v>445000</v>
      </c>
      <c r="AF77" s="138">
        <f t="shared" si="6"/>
        <v>445000</v>
      </c>
      <c r="AG77" s="138">
        <f t="shared" si="7"/>
        <v>445000</v>
      </c>
      <c r="AH77" s="118"/>
      <c r="AI77" s="118"/>
      <c r="AJ77" s="205">
        <f t="shared" si="8"/>
        <v>42.5</v>
      </c>
      <c r="AK77" s="205">
        <f t="shared" si="9"/>
        <v>52.5</v>
      </c>
      <c r="AL77" s="205">
        <f t="shared" si="10"/>
        <v>62.5</v>
      </c>
      <c r="AM77" s="205">
        <f t="shared" si="11"/>
        <v>72.5</v>
      </c>
      <c r="AN77" s="205">
        <f t="shared" si="12"/>
        <v>82.5</v>
      </c>
      <c r="AO77" s="205">
        <f t="shared" si="13"/>
        <v>92.5</v>
      </c>
      <c r="AP77" s="205">
        <f t="shared" si="14"/>
        <v>102.49999999999999</v>
      </c>
    </row>
    <row r="78" spans="2:46" x14ac:dyDescent="0.2">
      <c r="B78" s="24" t="s">
        <v>92</v>
      </c>
      <c r="C78" s="24">
        <f>ROUND(C76/8,0)</f>
        <v>13</v>
      </c>
      <c r="V78" s="268">
        <f t="shared" si="27"/>
        <v>28.000000000000014</v>
      </c>
      <c r="W78" s="269">
        <f t="shared" si="17"/>
        <v>0.28000000000000014</v>
      </c>
      <c r="X78" s="97">
        <f t="shared" si="28"/>
        <v>140.00000000000006</v>
      </c>
      <c r="Y78" s="118"/>
      <c r="Z78" s="124"/>
      <c r="AA78" s="205">
        <f t="shared" si="18"/>
        <v>140.00000000000006</v>
      </c>
      <c r="AB78" s="128"/>
      <c r="AC78" s="118"/>
      <c r="AD78" s="205">
        <f t="shared" si="19"/>
        <v>140</v>
      </c>
      <c r="AE78" s="138">
        <f t="shared" si="5"/>
        <v>444000</v>
      </c>
      <c r="AF78" s="138">
        <f t="shared" si="6"/>
        <v>444000</v>
      </c>
      <c r="AG78" s="138">
        <f t="shared" si="7"/>
        <v>444000</v>
      </c>
      <c r="AH78" s="118"/>
      <c r="AI78" s="118"/>
      <c r="AJ78" s="205">
        <f t="shared" si="8"/>
        <v>42</v>
      </c>
      <c r="AK78" s="205">
        <f t="shared" si="9"/>
        <v>52</v>
      </c>
      <c r="AL78" s="205">
        <f t="shared" si="10"/>
        <v>62</v>
      </c>
      <c r="AM78" s="205">
        <f t="shared" si="11"/>
        <v>72</v>
      </c>
      <c r="AN78" s="205">
        <f t="shared" si="12"/>
        <v>82</v>
      </c>
      <c r="AO78" s="205">
        <f t="shared" si="13"/>
        <v>92</v>
      </c>
      <c r="AP78" s="205">
        <f t="shared" si="14"/>
        <v>102</v>
      </c>
    </row>
    <row r="79" spans="2:46" x14ac:dyDescent="0.2">
      <c r="B79" s="24"/>
      <c r="C79" s="24"/>
      <c r="V79" s="268">
        <f t="shared" si="27"/>
        <v>28.500000000000014</v>
      </c>
      <c r="W79" s="269">
        <f t="shared" si="17"/>
        <v>0.28500000000000014</v>
      </c>
      <c r="X79" s="97">
        <f t="shared" si="28"/>
        <v>142.50000000000006</v>
      </c>
      <c r="Y79" s="118"/>
      <c r="Z79" s="124"/>
      <c r="AA79" s="205">
        <f t="shared" si="18"/>
        <v>142.50000000000006</v>
      </c>
      <c r="AB79" s="128"/>
      <c r="AC79" s="118"/>
      <c r="AD79" s="205">
        <f t="shared" si="19"/>
        <v>142.5</v>
      </c>
      <c r="AE79" s="138">
        <f t="shared" si="5"/>
        <v>443000</v>
      </c>
      <c r="AF79" s="138">
        <f t="shared" si="6"/>
        <v>443000</v>
      </c>
      <c r="AG79" s="138">
        <f t="shared" si="7"/>
        <v>443000</v>
      </c>
      <c r="AH79" s="118"/>
      <c r="AI79" s="118"/>
      <c r="AJ79" s="205">
        <f t="shared" si="8"/>
        <v>41.5</v>
      </c>
      <c r="AK79" s="205">
        <f t="shared" si="9"/>
        <v>51.5</v>
      </c>
      <c r="AL79" s="205">
        <f t="shared" si="10"/>
        <v>61.5</v>
      </c>
      <c r="AM79" s="205">
        <f t="shared" si="11"/>
        <v>71.5</v>
      </c>
      <c r="AN79" s="205">
        <f t="shared" si="12"/>
        <v>81.5</v>
      </c>
      <c r="AO79" s="205">
        <f t="shared" si="13"/>
        <v>91.5</v>
      </c>
      <c r="AP79" s="205">
        <f t="shared" si="14"/>
        <v>101.49999999999999</v>
      </c>
    </row>
    <row r="80" spans="2:46" x14ac:dyDescent="0.2">
      <c r="B80" s="24" t="s">
        <v>20</v>
      </c>
      <c r="C80" s="24">
        <f>C12</f>
        <v>250</v>
      </c>
      <c r="V80" s="268">
        <f t="shared" si="27"/>
        <v>29.000000000000014</v>
      </c>
      <c r="W80" s="269">
        <f t="shared" si="17"/>
        <v>0.29000000000000015</v>
      </c>
      <c r="X80" s="97">
        <f t="shared" si="28"/>
        <v>145.00000000000009</v>
      </c>
      <c r="Y80" s="118"/>
      <c r="Z80" s="124"/>
      <c r="AA80" s="205">
        <f t="shared" si="18"/>
        <v>145.00000000000009</v>
      </c>
      <c r="AB80" s="128"/>
      <c r="AC80" s="118"/>
      <c r="AD80" s="205">
        <f t="shared" si="19"/>
        <v>145</v>
      </c>
      <c r="AE80" s="138">
        <f t="shared" si="5"/>
        <v>442000</v>
      </c>
      <c r="AF80" s="138">
        <f t="shared" si="6"/>
        <v>442000</v>
      </c>
      <c r="AG80" s="138">
        <f t="shared" si="7"/>
        <v>442000</v>
      </c>
      <c r="AH80" s="118"/>
      <c r="AI80" s="118"/>
      <c r="AJ80" s="205">
        <f t="shared" si="8"/>
        <v>41</v>
      </c>
      <c r="AK80" s="205">
        <f t="shared" si="9"/>
        <v>51</v>
      </c>
      <c r="AL80" s="205">
        <f t="shared" si="10"/>
        <v>61</v>
      </c>
      <c r="AM80" s="205">
        <f t="shared" si="11"/>
        <v>71</v>
      </c>
      <c r="AN80" s="205">
        <f t="shared" si="12"/>
        <v>81</v>
      </c>
      <c r="AO80" s="205">
        <f t="shared" si="13"/>
        <v>91</v>
      </c>
      <c r="AP80" s="205">
        <f t="shared" si="14"/>
        <v>101</v>
      </c>
    </row>
    <row r="81" spans="2:42" x14ac:dyDescent="0.2">
      <c r="B81" s="24"/>
      <c r="C81" s="24">
        <f>+C80*2</f>
        <v>500</v>
      </c>
      <c r="V81" s="268">
        <f t="shared" si="27"/>
        <v>29.500000000000014</v>
      </c>
      <c r="W81" s="269">
        <f t="shared" si="17"/>
        <v>0.29500000000000015</v>
      </c>
      <c r="X81" s="97">
        <f t="shared" si="28"/>
        <v>147.50000000000009</v>
      </c>
      <c r="Y81" s="118"/>
      <c r="Z81" s="124"/>
      <c r="AA81" s="205">
        <f t="shared" si="18"/>
        <v>147.50000000000009</v>
      </c>
      <c r="AB81" s="128"/>
      <c r="AC81" s="118"/>
      <c r="AD81" s="205">
        <f t="shared" si="19"/>
        <v>147.5</v>
      </c>
      <c r="AE81" s="138">
        <f t="shared" si="5"/>
        <v>441000</v>
      </c>
      <c r="AF81" s="138">
        <f t="shared" si="6"/>
        <v>441000</v>
      </c>
      <c r="AG81" s="138">
        <f t="shared" si="7"/>
        <v>441000</v>
      </c>
      <c r="AH81" s="118"/>
      <c r="AI81" s="118"/>
      <c r="AJ81" s="205">
        <f t="shared" si="8"/>
        <v>40.5</v>
      </c>
      <c r="AK81" s="205">
        <f t="shared" si="9"/>
        <v>50.5</v>
      </c>
      <c r="AL81" s="205">
        <f t="shared" si="10"/>
        <v>60.5</v>
      </c>
      <c r="AM81" s="205">
        <f t="shared" si="11"/>
        <v>70.5</v>
      </c>
      <c r="AN81" s="205">
        <f t="shared" si="12"/>
        <v>80.5</v>
      </c>
      <c r="AO81" s="205">
        <f t="shared" si="13"/>
        <v>90.5</v>
      </c>
      <c r="AP81" s="205">
        <f t="shared" si="14"/>
        <v>100.49999999999999</v>
      </c>
    </row>
    <row r="82" spans="2:42" x14ac:dyDescent="0.2">
      <c r="V82" s="268">
        <f t="shared" si="27"/>
        <v>30.000000000000014</v>
      </c>
      <c r="W82" s="269">
        <f t="shared" si="17"/>
        <v>0.30000000000000016</v>
      </c>
      <c r="X82" s="97">
        <f t="shared" si="28"/>
        <v>150.00000000000009</v>
      </c>
      <c r="Y82" s="118"/>
      <c r="Z82" s="124"/>
      <c r="AA82" s="205">
        <f t="shared" si="18"/>
        <v>150.00000000000009</v>
      </c>
      <c r="AB82" s="128"/>
      <c r="AC82" s="118"/>
      <c r="AD82" s="205">
        <f t="shared" si="19"/>
        <v>150</v>
      </c>
      <c r="AE82" s="138">
        <f t="shared" si="5"/>
        <v>440000</v>
      </c>
      <c r="AF82" s="138">
        <f t="shared" si="6"/>
        <v>440000</v>
      </c>
      <c r="AG82" s="138">
        <f t="shared" si="7"/>
        <v>440000</v>
      </c>
      <c r="AH82" s="118"/>
      <c r="AI82" s="118"/>
      <c r="AJ82" s="205">
        <f t="shared" si="8"/>
        <v>40</v>
      </c>
      <c r="AK82" s="205">
        <f t="shared" si="9"/>
        <v>50</v>
      </c>
      <c r="AL82" s="205">
        <f t="shared" si="10"/>
        <v>60</v>
      </c>
      <c r="AM82" s="205">
        <f t="shared" si="11"/>
        <v>70</v>
      </c>
      <c r="AN82" s="205">
        <f t="shared" si="12"/>
        <v>80</v>
      </c>
      <c r="AO82" s="205">
        <f t="shared" si="13"/>
        <v>90</v>
      </c>
      <c r="AP82" s="205">
        <f t="shared" si="14"/>
        <v>100</v>
      </c>
    </row>
    <row r="83" spans="2:42" x14ac:dyDescent="0.2">
      <c r="V83" s="268">
        <f t="shared" si="27"/>
        <v>30.500000000000014</v>
      </c>
      <c r="W83" s="269">
        <f t="shared" si="17"/>
        <v>0.30500000000000016</v>
      </c>
      <c r="X83" s="97">
        <f t="shared" si="28"/>
        <v>152.50000000000009</v>
      </c>
      <c r="Y83" s="118"/>
      <c r="Z83" s="124"/>
      <c r="AA83" s="205">
        <f t="shared" si="18"/>
        <v>152.50000000000009</v>
      </c>
      <c r="AB83" s="128"/>
      <c r="AC83" s="118"/>
      <c r="AD83" s="205">
        <f t="shared" si="19"/>
        <v>152.5</v>
      </c>
      <c r="AE83" s="138">
        <f t="shared" si="5"/>
        <v>439000</v>
      </c>
      <c r="AF83" s="138">
        <f t="shared" si="6"/>
        <v>439000</v>
      </c>
      <c r="AG83" s="138">
        <f t="shared" si="7"/>
        <v>439000</v>
      </c>
      <c r="AH83" s="118"/>
      <c r="AI83" s="118"/>
      <c r="AJ83" s="205">
        <f t="shared" si="8"/>
        <v>39.5</v>
      </c>
      <c r="AK83" s="205">
        <f t="shared" si="9"/>
        <v>49.5</v>
      </c>
      <c r="AL83" s="205">
        <f t="shared" si="10"/>
        <v>59.5</v>
      </c>
      <c r="AM83" s="205">
        <f t="shared" si="11"/>
        <v>69.5</v>
      </c>
      <c r="AN83" s="205">
        <f t="shared" si="12"/>
        <v>79.5</v>
      </c>
      <c r="AO83" s="205">
        <f t="shared" si="13"/>
        <v>89.5</v>
      </c>
      <c r="AP83" s="205">
        <f t="shared" si="14"/>
        <v>99.5</v>
      </c>
    </row>
    <row r="84" spans="2:42" x14ac:dyDescent="0.2">
      <c r="B84" s="168" t="s">
        <v>203</v>
      </c>
      <c r="C84" s="168"/>
      <c r="D84" s="168"/>
      <c r="V84" s="268">
        <f t="shared" si="27"/>
        <v>31.000000000000018</v>
      </c>
      <c r="W84" s="269">
        <f t="shared" si="17"/>
        <v>0.31000000000000016</v>
      </c>
      <c r="X84" s="97">
        <f t="shared" si="28"/>
        <v>155.00000000000009</v>
      </c>
      <c r="Y84" s="118"/>
      <c r="Z84" s="124"/>
      <c r="AA84" s="205">
        <f t="shared" si="18"/>
        <v>155.00000000000009</v>
      </c>
      <c r="AB84" s="128"/>
      <c r="AC84" s="118"/>
      <c r="AD84" s="205">
        <f t="shared" si="19"/>
        <v>155</v>
      </c>
      <c r="AE84" s="138">
        <f t="shared" si="5"/>
        <v>438000</v>
      </c>
      <c r="AF84" s="138">
        <f t="shared" si="6"/>
        <v>438000</v>
      </c>
      <c r="AG84" s="138">
        <f t="shared" si="7"/>
        <v>438000</v>
      </c>
      <c r="AH84" s="118"/>
      <c r="AI84" s="118"/>
      <c r="AJ84" s="205">
        <f t="shared" si="8"/>
        <v>39</v>
      </c>
      <c r="AK84" s="205">
        <f t="shared" si="9"/>
        <v>49</v>
      </c>
      <c r="AL84" s="205">
        <f t="shared" si="10"/>
        <v>59</v>
      </c>
      <c r="AM84" s="205">
        <f t="shared" si="11"/>
        <v>69</v>
      </c>
      <c r="AN84" s="205">
        <f t="shared" si="12"/>
        <v>79</v>
      </c>
      <c r="AO84" s="205">
        <f t="shared" si="13"/>
        <v>89</v>
      </c>
      <c r="AP84" s="205">
        <f t="shared" si="14"/>
        <v>99</v>
      </c>
    </row>
    <row r="85" spans="2:42" x14ac:dyDescent="0.2">
      <c r="B85" s="237"/>
      <c r="C85" s="236"/>
      <c r="D85" s="39"/>
      <c r="E85" s="491" t="s">
        <v>145</v>
      </c>
      <c r="F85" s="240"/>
      <c r="G85" s="39"/>
      <c r="H85" s="241"/>
      <c r="V85" s="268">
        <f t="shared" si="27"/>
        <v>31.500000000000018</v>
      </c>
      <c r="W85" s="269">
        <f t="shared" si="17"/>
        <v>0.31500000000000017</v>
      </c>
      <c r="X85" s="97">
        <f t="shared" si="28"/>
        <v>157.50000000000009</v>
      </c>
      <c r="Y85" s="118"/>
      <c r="Z85" s="124"/>
      <c r="AA85" s="205">
        <f t="shared" si="18"/>
        <v>157.50000000000009</v>
      </c>
      <c r="AB85" s="128"/>
      <c r="AC85" s="118"/>
      <c r="AD85" s="205">
        <f t="shared" si="19"/>
        <v>157.5</v>
      </c>
      <c r="AE85" s="138">
        <f t="shared" si="5"/>
        <v>437000</v>
      </c>
      <c r="AF85" s="138">
        <f t="shared" si="6"/>
        <v>437000</v>
      </c>
      <c r="AG85" s="138">
        <f t="shared" si="7"/>
        <v>437000</v>
      </c>
      <c r="AH85" s="118"/>
      <c r="AI85" s="118"/>
      <c r="AJ85" s="205">
        <f t="shared" si="8"/>
        <v>38.5</v>
      </c>
      <c r="AK85" s="205">
        <f t="shared" si="9"/>
        <v>48.5</v>
      </c>
      <c r="AL85" s="205">
        <f t="shared" si="10"/>
        <v>58.5</v>
      </c>
      <c r="AM85" s="205">
        <f t="shared" si="11"/>
        <v>68.5</v>
      </c>
      <c r="AN85" s="205">
        <f t="shared" si="12"/>
        <v>78.5</v>
      </c>
      <c r="AO85" s="205">
        <f t="shared" si="13"/>
        <v>88.5</v>
      </c>
      <c r="AP85" s="205">
        <f t="shared" si="14"/>
        <v>98.5</v>
      </c>
    </row>
    <row r="86" spans="2:42" ht="16.5" customHeight="1" x14ac:dyDescent="0.3">
      <c r="B86" s="41" t="s">
        <v>18</v>
      </c>
      <c r="C86" s="42" t="s">
        <v>27</v>
      </c>
      <c r="D86" s="43" t="s">
        <v>28</v>
      </c>
      <c r="E86" s="496"/>
      <c r="F86" s="43" t="s">
        <v>171</v>
      </c>
      <c r="G86" s="44" t="s">
        <v>29</v>
      </c>
      <c r="H86" s="242" t="s">
        <v>26</v>
      </c>
      <c r="V86" s="268">
        <f t="shared" ref="V86:V117" si="29">$V$223*W86</f>
        <v>32.000000000000014</v>
      </c>
      <c r="W86" s="269">
        <f t="shared" si="17"/>
        <v>0.32000000000000017</v>
      </c>
      <c r="X86" s="97">
        <f t="shared" si="28"/>
        <v>160.00000000000009</v>
      </c>
      <c r="Y86" s="118"/>
      <c r="Z86" s="124"/>
      <c r="AA86" s="205">
        <f t="shared" si="18"/>
        <v>160.00000000000009</v>
      </c>
      <c r="AB86" s="128"/>
      <c r="AC86" s="118"/>
      <c r="AD86" s="205">
        <f t="shared" si="19"/>
        <v>160</v>
      </c>
      <c r="AE86" s="138">
        <f t="shared" si="5"/>
        <v>436000</v>
      </c>
      <c r="AF86" s="138">
        <f t="shared" si="6"/>
        <v>436000</v>
      </c>
      <c r="AG86" s="138">
        <f t="shared" si="7"/>
        <v>436000</v>
      </c>
      <c r="AH86" s="118"/>
      <c r="AI86" s="118"/>
      <c r="AJ86" s="205">
        <f t="shared" si="8"/>
        <v>38</v>
      </c>
      <c r="AK86" s="205">
        <f t="shared" si="9"/>
        <v>48</v>
      </c>
      <c r="AL86" s="205">
        <f t="shared" si="10"/>
        <v>57.999999999999993</v>
      </c>
      <c r="AM86" s="205">
        <f t="shared" si="11"/>
        <v>68</v>
      </c>
      <c r="AN86" s="205">
        <f t="shared" si="12"/>
        <v>78</v>
      </c>
      <c r="AO86" s="205">
        <f t="shared" si="13"/>
        <v>88</v>
      </c>
      <c r="AP86" s="205">
        <f t="shared" si="14"/>
        <v>98</v>
      </c>
    </row>
    <row r="87" spans="2:42" x14ac:dyDescent="0.2">
      <c r="B87" s="45" t="s">
        <v>30</v>
      </c>
      <c r="C87" s="244">
        <f>+Offertes!$D$8</f>
        <v>0</v>
      </c>
      <c r="D87" s="245">
        <f>+Offertes!$F$8</f>
        <v>0</v>
      </c>
      <c r="E87" s="246">
        <f>+Offertes!$G$8</f>
        <v>0</v>
      </c>
      <c r="F87" s="246" t="str">
        <f>+Offertes!$H$8</f>
        <v/>
      </c>
      <c r="G87" s="322">
        <f t="shared" ref="G87:G98" si="30">C175</f>
        <v>1250</v>
      </c>
      <c r="H87" s="246" t="str">
        <f>+Offertes!$J$8</f>
        <v/>
      </c>
      <c r="V87" s="268">
        <f t="shared" si="29"/>
        <v>32.500000000000014</v>
      </c>
      <c r="W87" s="269">
        <f t="shared" si="17"/>
        <v>0.32500000000000018</v>
      </c>
      <c r="X87" s="97">
        <f t="shared" ref="X87:X118" si="31">+W87*($X$223-$F$14)+$X$22</f>
        <v>162.50000000000009</v>
      </c>
      <c r="Y87" s="118"/>
      <c r="Z87" s="124"/>
      <c r="AA87" s="205">
        <f t="shared" si="18"/>
        <v>162.50000000000009</v>
      </c>
      <c r="AB87" s="128"/>
      <c r="AC87" s="118"/>
      <c r="AD87" s="205">
        <f t="shared" si="19"/>
        <v>162.5</v>
      </c>
      <c r="AE87" s="138">
        <f t="shared" ref="AE87:AE150" si="32">IF($E$6="Wortelformule",AF87,AG87)</f>
        <v>435000</v>
      </c>
      <c r="AF87" s="138">
        <f t="shared" ref="AF87:AF150" si="33">$C$17-(AD87^$H$7)*($C$17-$C$14)/($H$6^$H$7)</f>
        <v>435000</v>
      </c>
      <c r="AG87" s="138">
        <f t="shared" ref="AG87:AG150" si="34">$C$14+($C$17-$C$14)*(($H$6-AD87)/$H$6)^(1/$H$7)</f>
        <v>435000</v>
      </c>
      <c r="AH87" s="118"/>
      <c r="AI87" s="118"/>
      <c r="AJ87" s="205">
        <f t="shared" ref="AJ87:AJ150" si="35">(($AJ$19-AD87)/$H$5)*100</f>
        <v>37.5</v>
      </c>
      <c r="AK87" s="205">
        <f t="shared" ref="AK87:AK150" si="36">(($AK$19-AD87)/$H$5)*100</f>
        <v>47.5</v>
      </c>
      <c r="AL87" s="205">
        <f t="shared" ref="AL87:AL150" si="37">(($AL$19-AD87)/$H$5)*100</f>
        <v>57.499999999999993</v>
      </c>
      <c r="AM87" s="205">
        <f t="shared" ref="AM87:AM150" si="38">(($AM$19-AD87)/$H$5)*100</f>
        <v>67.5</v>
      </c>
      <c r="AN87" s="205">
        <f t="shared" ref="AN87:AN150" si="39">(($AN$19-AD87)/$H$5)*100</f>
        <v>77.5</v>
      </c>
      <c r="AO87" s="205">
        <f t="shared" ref="AO87:AO150" si="40">(($AO$19-AD87)/$H$5)*100</f>
        <v>87.5</v>
      </c>
      <c r="AP87" s="205">
        <f t="shared" ref="AP87:AP150" si="41">(($AP$19-AD87)/$H$5)*100</f>
        <v>97.5</v>
      </c>
    </row>
    <row r="88" spans="2:42" ht="16.5" customHeight="1" x14ac:dyDescent="0.2">
      <c r="B88" s="45" t="s">
        <v>31</v>
      </c>
      <c r="C88" s="244">
        <f>+Offertes!$E$9</f>
        <v>0</v>
      </c>
      <c r="D88" s="245">
        <f>+Offertes!$F$9</f>
        <v>0</v>
      </c>
      <c r="E88" s="246">
        <f>+Offertes!$G$9</f>
        <v>0</v>
      </c>
      <c r="F88" s="246" t="str">
        <f>+Offertes!$H$9</f>
        <v/>
      </c>
      <c r="G88" s="322">
        <f t="shared" si="30"/>
        <v>1250</v>
      </c>
      <c r="H88" s="246" t="str">
        <f>+Offertes!$J$9</f>
        <v/>
      </c>
      <c r="V88" s="268">
        <f t="shared" si="29"/>
        <v>33.000000000000021</v>
      </c>
      <c r="W88" s="269">
        <f t="shared" ref="W88:W151" si="42">+W87+0.005</f>
        <v>0.33000000000000018</v>
      </c>
      <c r="X88" s="97">
        <f t="shared" si="31"/>
        <v>165.00000000000009</v>
      </c>
      <c r="Y88" s="118"/>
      <c r="Z88" s="124"/>
      <c r="AA88" s="205">
        <f t="shared" ref="AA88:AA151" si="43">+X88</f>
        <v>165.00000000000009</v>
      </c>
      <c r="AB88" s="128"/>
      <c r="AC88" s="118"/>
      <c r="AD88" s="205">
        <f t="shared" ref="AD88:AD151" si="44">+AD87+($H$6/200)</f>
        <v>165</v>
      </c>
      <c r="AE88" s="138">
        <f t="shared" si="32"/>
        <v>434000</v>
      </c>
      <c r="AF88" s="138">
        <f t="shared" si="33"/>
        <v>434000</v>
      </c>
      <c r="AG88" s="138">
        <f t="shared" si="34"/>
        <v>434000</v>
      </c>
      <c r="AH88" s="118"/>
      <c r="AI88" s="118"/>
      <c r="AJ88" s="205">
        <f t="shared" si="35"/>
        <v>37</v>
      </c>
      <c r="AK88" s="205">
        <f t="shared" si="36"/>
        <v>47</v>
      </c>
      <c r="AL88" s="205">
        <f t="shared" si="37"/>
        <v>56.999999999999993</v>
      </c>
      <c r="AM88" s="205">
        <f t="shared" si="38"/>
        <v>67</v>
      </c>
      <c r="AN88" s="205">
        <f t="shared" si="39"/>
        <v>77</v>
      </c>
      <c r="AO88" s="205">
        <f t="shared" si="40"/>
        <v>87</v>
      </c>
      <c r="AP88" s="205">
        <f t="shared" si="41"/>
        <v>97</v>
      </c>
    </row>
    <row r="89" spans="2:42" ht="16.5" customHeight="1" x14ac:dyDescent="0.2">
      <c r="B89" s="45" t="s">
        <v>32</v>
      </c>
      <c r="C89" s="244">
        <f>+Offertes!$D$10</f>
        <v>0</v>
      </c>
      <c r="D89" s="245">
        <f>+Offertes!$F$10</f>
        <v>0</v>
      </c>
      <c r="E89" s="246">
        <f>+Offertes!$G$10</f>
        <v>0</v>
      </c>
      <c r="F89" s="246" t="str">
        <f>+Offertes!$H$10</f>
        <v/>
      </c>
      <c r="G89" s="322">
        <f t="shared" si="30"/>
        <v>1250</v>
      </c>
      <c r="H89" s="246" t="str">
        <f>+Offertes!$J$10</f>
        <v/>
      </c>
      <c r="V89" s="268">
        <f t="shared" si="29"/>
        <v>33.500000000000021</v>
      </c>
      <c r="W89" s="269">
        <f t="shared" si="42"/>
        <v>0.33500000000000019</v>
      </c>
      <c r="X89" s="97">
        <f t="shared" si="31"/>
        <v>167.50000000000009</v>
      </c>
      <c r="Y89" s="118"/>
      <c r="Z89" s="124"/>
      <c r="AA89" s="205">
        <f t="shared" si="43"/>
        <v>167.50000000000009</v>
      </c>
      <c r="AB89" s="128"/>
      <c r="AC89" s="118"/>
      <c r="AD89" s="205">
        <f t="shared" si="44"/>
        <v>167.5</v>
      </c>
      <c r="AE89" s="138">
        <f t="shared" si="32"/>
        <v>433000</v>
      </c>
      <c r="AF89" s="138">
        <f t="shared" si="33"/>
        <v>433000</v>
      </c>
      <c r="AG89" s="138">
        <f t="shared" si="34"/>
        <v>433000</v>
      </c>
      <c r="AH89" s="118"/>
      <c r="AI89" s="118"/>
      <c r="AJ89" s="205">
        <f t="shared" si="35"/>
        <v>36.5</v>
      </c>
      <c r="AK89" s="205">
        <f t="shared" si="36"/>
        <v>46.5</v>
      </c>
      <c r="AL89" s="205">
        <f t="shared" si="37"/>
        <v>56.499999999999993</v>
      </c>
      <c r="AM89" s="205">
        <f t="shared" si="38"/>
        <v>66.5</v>
      </c>
      <c r="AN89" s="205">
        <f t="shared" si="39"/>
        <v>76.5</v>
      </c>
      <c r="AO89" s="205">
        <f t="shared" si="40"/>
        <v>86.5</v>
      </c>
      <c r="AP89" s="205">
        <f t="shared" si="41"/>
        <v>96.5</v>
      </c>
    </row>
    <row r="90" spans="2:42" ht="16.5" customHeight="1" x14ac:dyDescent="0.2">
      <c r="B90" s="45" t="s">
        <v>33</v>
      </c>
      <c r="C90" s="244">
        <f>+Offertes!$D$11</f>
        <v>0</v>
      </c>
      <c r="D90" s="245">
        <f>+Offertes!$F$11</f>
        <v>0</v>
      </c>
      <c r="E90" s="246">
        <f>+Offertes!$G$11</f>
        <v>0</v>
      </c>
      <c r="F90" s="246" t="str">
        <f>+Offertes!$H$11</f>
        <v/>
      </c>
      <c r="G90" s="322">
        <f t="shared" si="30"/>
        <v>1250</v>
      </c>
      <c r="H90" s="246" t="str">
        <f>+Offertes!$J$11</f>
        <v/>
      </c>
      <c r="V90" s="268">
        <f t="shared" si="29"/>
        <v>34.000000000000021</v>
      </c>
      <c r="W90" s="269">
        <f t="shared" si="42"/>
        <v>0.34000000000000019</v>
      </c>
      <c r="X90" s="97">
        <f t="shared" si="31"/>
        <v>170.00000000000009</v>
      </c>
      <c r="Y90" s="118"/>
      <c r="Z90" s="124"/>
      <c r="AA90" s="205">
        <f t="shared" si="43"/>
        <v>170.00000000000009</v>
      </c>
      <c r="AB90" s="128"/>
      <c r="AC90" s="118"/>
      <c r="AD90" s="205">
        <f t="shared" si="44"/>
        <v>170</v>
      </c>
      <c r="AE90" s="138">
        <f t="shared" si="32"/>
        <v>432000</v>
      </c>
      <c r="AF90" s="138">
        <f t="shared" si="33"/>
        <v>432000</v>
      </c>
      <c r="AG90" s="138">
        <f t="shared" si="34"/>
        <v>432000</v>
      </c>
      <c r="AH90" s="118"/>
      <c r="AI90" s="118"/>
      <c r="AJ90" s="205">
        <f t="shared" si="35"/>
        <v>36</v>
      </c>
      <c r="AK90" s="205">
        <f t="shared" si="36"/>
        <v>46</v>
      </c>
      <c r="AL90" s="205">
        <f t="shared" si="37"/>
        <v>56.000000000000007</v>
      </c>
      <c r="AM90" s="205">
        <f t="shared" si="38"/>
        <v>66</v>
      </c>
      <c r="AN90" s="205">
        <f t="shared" si="39"/>
        <v>76</v>
      </c>
      <c r="AO90" s="205">
        <f t="shared" si="40"/>
        <v>86</v>
      </c>
      <c r="AP90" s="205">
        <f t="shared" si="41"/>
        <v>96</v>
      </c>
    </row>
    <row r="91" spans="2:42" ht="16.5" customHeight="1" x14ac:dyDescent="0.2">
      <c r="B91" s="45" t="s">
        <v>34</v>
      </c>
      <c r="C91" s="244">
        <f>+Offertes!$D$12</f>
        <v>0</v>
      </c>
      <c r="D91" s="245">
        <f>+Offertes!$F$12</f>
        <v>0</v>
      </c>
      <c r="E91" s="246">
        <f>+Offertes!$G$12</f>
        <v>0</v>
      </c>
      <c r="F91" s="246" t="str">
        <f>+Offertes!$H$12</f>
        <v/>
      </c>
      <c r="G91" s="322">
        <f t="shared" si="30"/>
        <v>1250</v>
      </c>
      <c r="H91" s="246" t="str">
        <f>+Offertes!$J$12</f>
        <v/>
      </c>
      <c r="V91" s="268">
        <f t="shared" si="29"/>
        <v>34.500000000000021</v>
      </c>
      <c r="W91" s="269">
        <f t="shared" si="42"/>
        <v>0.3450000000000002</v>
      </c>
      <c r="X91" s="97">
        <f t="shared" si="31"/>
        <v>172.50000000000009</v>
      </c>
      <c r="Y91" s="118"/>
      <c r="Z91" s="124"/>
      <c r="AA91" s="205">
        <f t="shared" si="43"/>
        <v>172.50000000000009</v>
      </c>
      <c r="AB91" s="128"/>
      <c r="AC91" s="118"/>
      <c r="AD91" s="205">
        <f t="shared" si="44"/>
        <v>172.5</v>
      </c>
      <c r="AE91" s="138">
        <f t="shared" si="32"/>
        <v>431000</v>
      </c>
      <c r="AF91" s="138">
        <f t="shared" si="33"/>
        <v>431000</v>
      </c>
      <c r="AG91" s="138">
        <f t="shared" si="34"/>
        <v>431000</v>
      </c>
      <c r="AH91" s="118"/>
      <c r="AI91" s="118"/>
      <c r="AJ91" s="205">
        <f t="shared" si="35"/>
        <v>35.5</v>
      </c>
      <c r="AK91" s="205">
        <f t="shared" si="36"/>
        <v>45.5</v>
      </c>
      <c r="AL91" s="205">
        <f t="shared" si="37"/>
        <v>55.500000000000007</v>
      </c>
      <c r="AM91" s="205">
        <f t="shared" si="38"/>
        <v>65.5</v>
      </c>
      <c r="AN91" s="205">
        <f t="shared" si="39"/>
        <v>75.5</v>
      </c>
      <c r="AO91" s="205">
        <f t="shared" si="40"/>
        <v>85.5</v>
      </c>
      <c r="AP91" s="205">
        <f t="shared" si="41"/>
        <v>95.5</v>
      </c>
    </row>
    <row r="92" spans="2:42" ht="16.5" customHeight="1" x14ac:dyDescent="0.2">
      <c r="B92" s="45" t="s">
        <v>35</v>
      </c>
      <c r="C92" s="244">
        <f>+Offertes!$D$13</f>
        <v>0</v>
      </c>
      <c r="D92" s="245">
        <f>+Offertes!$F$13</f>
        <v>0</v>
      </c>
      <c r="E92" s="246">
        <f>+Offertes!$G$13</f>
        <v>0</v>
      </c>
      <c r="F92" s="246" t="str">
        <f>+Offertes!$H$13</f>
        <v/>
      </c>
      <c r="G92" s="322">
        <f t="shared" si="30"/>
        <v>1250</v>
      </c>
      <c r="H92" s="246" t="str">
        <f>+Offertes!$J$13</f>
        <v/>
      </c>
      <c r="V92" s="268">
        <f t="shared" si="29"/>
        <v>35.000000000000021</v>
      </c>
      <c r="W92" s="269">
        <f t="shared" si="42"/>
        <v>0.3500000000000002</v>
      </c>
      <c r="X92" s="97">
        <f t="shared" si="31"/>
        <v>175.00000000000011</v>
      </c>
      <c r="Y92" s="118"/>
      <c r="Z92" s="124"/>
      <c r="AA92" s="205">
        <f t="shared" si="43"/>
        <v>175.00000000000011</v>
      </c>
      <c r="AB92" s="128"/>
      <c r="AC92" s="118"/>
      <c r="AD92" s="205">
        <f t="shared" si="44"/>
        <v>175</v>
      </c>
      <c r="AE92" s="138">
        <f t="shared" si="32"/>
        <v>430000</v>
      </c>
      <c r="AF92" s="138">
        <f t="shared" si="33"/>
        <v>430000</v>
      </c>
      <c r="AG92" s="138">
        <f t="shared" si="34"/>
        <v>430000</v>
      </c>
      <c r="AH92" s="118"/>
      <c r="AI92" s="118"/>
      <c r="AJ92" s="205">
        <f t="shared" si="35"/>
        <v>35</v>
      </c>
      <c r="AK92" s="205">
        <f t="shared" si="36"/>
        <v>45</v>
      </c>
      <c r="AL92" s="205">
        <f t="shared" si="37"/>
        <v>55.000000000000007</v>
      </c>
      <c r="AM92" s="205">
        <f t="shared" si="38"/>
        <v>65</v>
      </c>
      <c r="AN92" s="205">
        <f t="shared" si="39"/>
        <v>75</v>
      </c>
      <c r="AO92" s="205">
        <f t="shared" si="40"/>
        <v>85</v>
      </c>
      <c r="AP92" s="205">
        <f t="shared" si="41"/>
        <v>95</v>
      </c>
    </row>
    <row r="93" spans="2:42" ht="16.5" customHeight="1" x14ac:dyDescent="0.2">
      <c r="B93" s="45" t="s">
        <v>36</v>
      </c>
      <c r="C93" s="244">
        <f>+Offertes!$D$14</f>
        <v>0</v>
      </c>
      <c r="D93" s="245">
        <f>+Offertes!$F$14</f>
        <v>0</v>
      </c>
      <c r="E93" s="246">
        <f>+Offertes!$G$14</f>
        <v>0</v>
      </c>
      <c r="F93" s="246" t="str">
        <f>+Offertes!$H$14</f>
        <v/>
      </c>
      <c r="G93" s="322">
        <f t="shared" si="30"/>
        <v>1250</v>
      </c>
      <c r="H93" s="246" t="str">
        <f>+Offertes!$J$14</f>
        <v/>
      </c>
      <c r="V93" s="268">
        <f t="shared" si="29"/>
        <v>35.500000000000021</v>
      </c>
      <c r="W93" s="269">
        <f t="shared" si="42"/>
        <v>0.3550000000000002</v>
      </c>
      <c r="X93" s="97">
        <f t="shared" si="31"/>
        <v>177.50000000000011</v>
      </c>
      <c r="Y93" s="118"/>
      <c r="Z93" s="124"/>
      <c r="AA93" s="205">
        <f t="shared" si="43"/>
        <v>177.50000000000011</v>
      </c>
      <c r="AB93" s="128"/>
      <c r="AC93" s="118"/>
      <c r="AD93" s="205">
        <f t="shared" si="44"/>
        <v>177.5</v>
      </c>
      <c r="AE93" s="138">
        <f t="shared" si="32"/>
        <v>429000</v>
      </c>
      <c r="AF93" s="138">
        <f t="shared" si="33"/>
        <v>429000</v>
      </c>
      <c r="AG93" s="138">
        <f t="shared" si="34"/>
        <v>429000</v>
      </c>
      <c r="AH93" s="118"/>
      <c r="AI93" s="118"/>
      <c r="AJ93" s="205">
        <f t="shared" si="35"/>
        <v>34.5</v>
      </c>
      <c r="AK93" s="205">
        <f t="shared" si="36"/>
        <v>44.5</v>
      </c>
      <c r="AL93" s="205">
        <f t="shared" si="37"/>
        <v>54.500000000000007</v>
      </c>
      <c r="AM93" s="205">
        <f t="shared" si="38"/>
        <v>64.5</v>
      </c>
      <c r="AN93" s="205">
        <f t="shared" si="39"/>
        <v>74.5</v>
      </c>
      <c r="AO93" s="205">
        <f t="shared" si="40"/>
        <v>84.5</v>
      </c>
      <c r="AP93" s="205">
        <f t="shared" si="41"/>
        <v>94.5</v>
      </c>
    </row>
    <row r="94" spans="2:42" ht="16.5" customHeight="1" x14ac:dyDescent="0.2">
      <c r="B94" s="45" t="s">
        <v>37</v>
      </c>
      <c r="C94" s="244">
        <f>+Offertes!$D$15</f>
        <v>0</v>
      </c>
      <c r="D94" s="245">
        <f>+Offertes!$F$15</f>
        <v>0</v>
      </c>
      <c r="E94" s="246">
        <f>+Offertes!$G$15</f>
        <v>0</v>
      </c>
      <c r="F94" s="246" t="str">
        <f>+Offertes!$H$15</f>
        <v/>
      </c>
      <c r="G94" s="322">
        <f t="shared" si="30"/>
        <v>1250</v>
      </c>
      <c r="H94" s="246" t="str">
        <f>+Offertes!$J$15</f>
        <v/>
      </c>
      <c r="V94" s="268">
        <f t="shared" si="29"/>
        <v>36.000000000000021</v>
      </c>
      <c r="W94" s="269">
        <f t="shared" si="42"/>
        <v>0.36000000000000021</v>
      </c>
      <c r="X94" s="97">
        <f t="shared" si="31"/>
        <v>180.00000000000011</v>
      </c>
      <c r="Y94" s="118"/>
      <c r="Z94" s="124"/>
      <c r="AA94" s="205">
        <f t="shared" si="43"/>
        <v>180.00000000000011</v>
      </c>
      <c r="AB94" s="128"/>
      <c r="AC94" s="118"/>
      <c r="AD94" s="205">
        <f t="shared" si="44"/>
        <v>180</v>
      </c>
      <c r="AE94" s="138">
        <f t="shared" si="32"/>
        <v>428000</v>
      </c>
      <c r="AF94" s="138">
        <f t="shared" si="33"/>
        <v>428000</v>
      </c>
      <c r="AG94" s="138">
        <f t="shared" si="34"/>
        <v>428000</v>
      </c>
      <c r="AH94" s="118"/>
      <c r="AI94" s="118"/>
      <c r="AJ94" s="205">
        <f t="shared" si="35"/>
        <v>34</v>
      </c>
      <c r="AK94" s="205">
        <f t="shared" si="36"/>
        <v>44</v>
      </c>
      <c r="AL94" s="205">
        <f t="shared" si="37"/>
        <v>54</v>
      </c>
      <c r="AM94" s="205">
        <f t="shared" si="38"/>
        <v>64</v>
      </c>
      <c r="AN94" s="205">
        <f t="shared" si="39"/>
        <v>74</v>
      </c>
      <c r="AO94" s="205">
        <f t="shared" si="40"/>
        <v>84</v>
      </c>
      <c r="AP94" s="205">
        <f t="shared" si="41"/>
        <v>94</v>
      </c>
    </row>
    <row r="95" spans="2:42" ht="16.5" customHeight="1" x14ac:dyDescent="0.2">
      <c r="B95" s="45" t="s">
        <v>38</v>
      </c>
      <c r="C95" s="244">
        <f>+Offertes!$D$16</f>
        <v>0</v>
      </c>
      <c r="D95" s="245">
        <f>+Offertes!$F$16</f>
        <v>0</v>
      </c>
      <c r="E95" s="246">
        <f>+Offertes!$G$16</f>
        <v>0</v>
      </c>
      <c r="F95" s="246" t="str">
        <f>+Offertes!$H$16</f>
        <v/>
      </c>
      <c r="G95" s="322">
        <f t="shared" si="30"/>
        <v>1250</v>
      </c>
      <c r="H95" s="246" t="str">
        <f>+Offertes!$J$16</f>
        <v/>
      </c>
      <c r="V95" s="268">
        <f t="shared" si="29"/>
        <v>36.500000000000021</v>
      </c>
      <c r="W95" s="269">
        <f t="shared" si="42"/>
        <v>0.36500000000000021</v>
      </c>
      <c r="X95" s="97">
        <f t="shared" si="31"/>
        <v>182.50000000000011</v>
      </c>
      <c r="Y95" s="118"/>
      <c r="Z95" s="124"/>
      <c r="AA95" s="205">
        <f t="shared" si="43"/>
        <v>182.50000000000011</v>
      </c>
      <c r="AB95" s="128"/>
      <c r="AC95" s="118"/>
      <c r="AD95" s="205">
        <f t="shared" si="44"/>
        <v>182.5</v>
      </c>
      <c r="AE95" s="138">
        <f t="shared" si="32"/>
        <v>427000</v>
      </c>
      <c r="AF95" s="138">
        <f t="shared" si="33"/>
        <v>427000</v>
      </c>
      <c r="AG95" s="138">
        <f t="shared" si="34"/>
        <v>427000</v>
      </c>
      <c r="AH95" s="118"/>
      <c r="AI95" s="118"/>
      <c r="AJ95" s="205">
        <f t="shared" si="35"/>
        <v>33.5</v>
      </c>
      <c r="AK95" s="205">
        <f t="shared" si="36"/>
        <v>43.5</v>
      </c>
      <c r="AL95" s="205">
        <f t="shared" si="37"/>
        <v>53.5</v>
      </c>
      <c r="AM95" s="205">
        <f t="shared" si="38"/>
        <v>63.5</v>
      </c>
      <c r="AN95" s="205">
        <f t="shared" si="39"/>
        <v>73.5</v>
      </c>
      <c r="AO95" s="205">
        <f t="shared" si="40"/>
        <v>83.5</v>
      </c>
      <c r="AP95" s="205">
        <f t="shared" si="41"/>
        <v>93.5</v>
      </c>
    </row>
    <row r="96" spans="2:42" ht="16.5" customHeight="1" x14ac:dyDescent="0.2">
      <c r="B96" s="45" t="s">
        <v>39</v>
      </c>
      <c r="C96" s="244">
        <f>+Offertes!$D$17</f>
        <v>0</v>
      </c>
      <c r="D96" s="245">
        <f>+Offertes!$F$17</f>
        <v>0</v>
      </c>
      <c r="E96" s="246">
        <f>+Offertes!$G$17</f>
        <v>0</v>
      </c>
      <c r="F96" s="246" t="str">
        <f>+Offertes!$H$17</f>
        <v/>
      </c>
      <c r="G96" s="322">
        <f t="shared" si="30"/>
        <v>1250</v>
      </c>
      <c r="H96" s="246" t="str">
        <f>+Offertes!$J$17</f>
        <v/>
      </c>
      <c r="V96" s="268">
        <f t="shared" si="29"/>
        <v>37.000000000000021</v>
      </c>
      <c r="W96" s="269">
        <f t="shared" si="42"/>
        <v>0.37000000000000022</v>
      </c>
      <c r="X96" s="97">
        <f t="shared" si="31"/>
        <v>185.00000000000011</v>
      </c>
      <c r="Y96" s="118"/>
      <c r="Z96" s="124"/>
      <c r="AA96" s="205">
        <f t="shared" si="43"/>
        <v>185.00000000000011</v>
      </c>
      <c r="AB96" s="128"/>
      <c r="AC96" s="118"/>
      <c r="AD96" s="205">
        <f t="shared" si="44"/>
        <v>185</v>
      </c>
      <c r="AE96" s="138">
        <f t="shared" si="32"/>
        <v>426000</v>
      </c>
      <c r="AF96" s="138">
        <f t="shared" si="33"/>
        <v>426000</v>
      </c>
      <c r="AG96" s="138">
        <f t="shared" si="34"/>
        <v>426000</v>
      </c>
      <c r="AH96" s="118"/>
      <c r="AI96" s="118"/>
      <c r="AJ96" s="205">
        <f t="shared" si="35"/>
        <v>33</v>
      </c>
      <c r="AK96" s="205">
        <f t="shared" si="36"/>
        <v>43</v>
      </c>
      <c r="AL96" s="205">
        <f t="shared" si="37"/>
        <v>53</v>
      </c>
      <c r="AM96" s="205">
        <f t="shared" si="38"/>
        <v>63</v>
      </c>
      <c r="AN96" s="205">
        <f t="shared" si="39"/>
        <v>73</v>
      </c>
      <c r="AO96" s="205">
        <f t="shared" si="40"/>
        <v>83</v>
      </c>
      <c r="AP96" s="205">
        <f t="shared" si="41"/>
        <v>93</v>
      </c>
    </row>
    <row r="97" spans="2:42" ht="16.5" customHeight="1" x14ac:dyDescent="0.2">
      <c r="B97" s="45" t="s">
        <v>40</v>
      </c>
      <c r="C97" s="244">
        <f>+Offertes!$D$18</f>
        <v>0</v>
      </c>
      <c r="D97" s="245">
        <f>+Offertes!$F$18</f>
        <v>0</v>
      </c>
      <c r="E97" s="246">
        <f>+Offertes!$G$18</f>
        <v>0</v>
      </c>
      <c r="F97" s="246" t="str">
        <f>+Offertes!$H$18</f>
        <v/>
      </c>
      <c r="G97" s="322">
        <f t="shared" si="30"/>
        <v>1250</v>
      </c>
      <c r="H97" s="246" t="str">
        <f>+Offertes!$J$18</f>
        <v/>
      </c>
      <c r="V97" s="268">
        <f t="shared" si="29"/>
        <v>37.500000000000021</v>
      </c>
      <c r="W97" s="269">
        <f t="shared" si="42"/>
        <v>0.37500000000000022</v>
      </c>
      <c r="X97" s="97">
        <f t="shared" si="31"/>
        <v>187.50000000000011</v>
      </c>
      <c r="Y97" s="118"/>
      <c r="Z97" s="124"/>
      <c r="AA97" s="205">
        <f t="shared" si="43"/>
        <v>187.50000000000011</v>
      </c>
      <c r="AB97" s="128"/>
      <c r="AC97" s="118"/>
      <c r="AD97" s="205">
        <f t="shared" si="44"/>
        <v>187.5</v>
      </c>
      <c r="AE97" s="138">
        <f t="shared" si="32"/>
        <v>425000</v>
      </c>
      <c r="AF97" s="138">
        <f t="shared" si="33"/>
        <v>425000</v>
      </c>
      <c r="AG97" s="138">
        <f t="shared" si="34"/>
        <v>425000</v>
      </c>
      <c r="AH97" s="118"/>
      <c r="AI97" s="118"/>
      <c r="AJ97" s="205">
        <f t="shared" si="35"/>
        <v>32.5</v>
      </c>
      <c r="AK97" s="205">
        <f t="shared" si="36"/>
        <v>42.5</v>
      </c>
      <c r="AL97" s="205">
        <f t="shared" si="37"/>
        <v>52.5</v>
      </c>
      <c r="AM97" s="205">
        <f t="shared" si="38"/>
        <v>62.5</v>
      </c>
      <c r="AN97" s="205">
        <f t="shared" si="39"/>
        <v>72.5</v>
      </c>
      <c r="AO97" s="205">
        <f t="shared" si="40"/>
        <v>82.5</v>
      </c>
      <c r="AP97" s="205">
        <f t="shared" si="41"/>
        <v>92.5</v>
      </c>
    </row>
    <row r="98" spans="2:42" ht="16.5" customHeight="1" x14ac:dyDescent="0.2">
      <c r="B98" s="45" t="s">
        <v>41</v>
      </c>
      <c r="C98" s="244">
        <f>+Offertes!$D$19</f>
        <v>0</v>
      </c>
      <c r="D98" s="245">
        <f>+Offertes!$F$19</f>
        <v>0</v>
      </c>
      <c r="E98" s="246">
        <f>+Offertes!$G$19</f>
        <v>0</v>
      </c>
      <c r="F98" s="246" t="str">
        <f>+Offertes!$H$19</f>
        <v/>
      </c>
      <c r="G98" s="322">
        <f t="shared" si="30"/>
        <v>1250</v>
      </c>
      <c r="H98" s="246" t="str">
        <f>+Offertes!$J$19</f>
        <v/>
      </c>
      <c r="V98" s="268">
        <f t="shared" si="29"/>
        <v>38.000000000000021</v>
      </c>
      <c r="W98" s="269">
        <f t="shared" si="42"/>
        <v>0.38000000000000023</v>
      </c>
      <c r="X98" s="97">
        <f t="shared" si="31"/>
        <v>190.00000000000011</v>
      </c>
      <c r="Y98" s="118"/>
      <c r="Z98" s="124"/>
      <c r="AA98" s="205">
        <f t="shared" si="43"/>
        <v>190.00000000000011</v>
      </c>
      <c r="AB98" s="128"/>
      <c r="AC98" s="118"/>
      <c r="AD98" s="205">
        <f t="shared" si="44"/>
        <v>190</v>
      </c>
      <c r="AE98" s="138">
        <f t="shared" si="32"/>
        <v>424000</v>
      </c>
      <c r="AF98" s="138">
        <f t="shared" si="33"/>
        <v>424000</v>
      </c>
      <c r="AG98" s="138">
        <f t="shared" si="34"/>
        <v>424000</v>
      </c>
      <c r="AH98" s="118"/>
      <c r="AI98" s="118"/>
      <c r="AJ98" s="205">
        <f t="shared" si="35"/>
        <v>32</v>
      </c>
      <c r="AK98" s="205">
        <f t="shared" si="36"/>
        <v>42</v>
      </c>
      <c r="AL98" s="205">
        <f t="shared" si="37"/>
        <v>52</v>
      </c>
      <c r="AM98" s="205">
        <f t="shared" si="38"/>
        <v>62</v>
      </c>
      <c r="AN98" s="205">
        <f t="shared" si="39"/>
        <v>72</v>
      </c>
      <c r="AO98" s="205">
        <f t="shared" si="40"/>
        <v>82</v>
      </c>
      <c r="AP98" s="205">
        <f t="shared" si="41"/>
        <v>92</v>
      </c>
    </row>
    <row r="99" spans="2:42" ht="28.5" x14ac:dyDescent="0.2">
      <c r="B99" s="48"/>
      <c r="C99" s="244" t="str">
        <f>+Offertes!$D$20</f>
        <v>Voorbeeld P/Q-combinatie</v>
      </c>
      <c r="D99" s="49">
        <f>+'HULP-velden'!$C$8</f>
        <v>400000</v>
      </c>
      <c r="E99" s="213">
        <f>+'HULP-velden'!$C$12</f>
        <v>250</v>
      </c>
      <c r="F99" s="247">
        <f>+Offertes!$H$20</f>
        <v>50</v>
      </c>
      <c r="G99" s="247">
        <f>+Offertes!$I$20</f>
        <v>500</v>
      </c>
      <c r="V99" s="268">
        <f t="shared" si="29"/>
        <v>38.500000000000021</v>
      </c>
      <c r="W99" s="269">
        <f t="shared" si="42"/>
        <v>0.38500000000000023</v>
      </c>
      <c r="X99" s="97">
        <f t="shared" si="31"/>
        <v>192.50000000000011</v>
      </c>
      <c r="Y99" s="118"/>
      <c r="Z99" s="124"/>
      <c r="AA99" s="205">
        <f t="shared" si="43"/>
        <v>192.50000000000011</v>
      </c>
      <c r="AB99" s="128"/>
      <c r="AC99" s="118"/>
      <c r="AD99" s="205">
        <f t="shared" si="44"/>
        <v>192.5</v>
      </c>
      <c r="AE99" s="138">
        <f t="shared" si="32"/>
        <v>423000</v>
      </c>
      <c r="AF99" s="138">
        <f t="shared" si="33"/>
        <v>423000</v>
      </c>
      <c r="AG99" s="138">
        <f t="shared" si="34"/>
        <v>423000</v>
      </c>
      <c r="AH99" s="118"/>
      <c r="AI99" s="118"/>
      <c r="AJ99" s="205">
        <f t="shared" si="35"/>
        <v>31.5</v>
      </c>
      <c r="AK99" s="205">
        <f t="shared" si="36"/>
        <v>41.5</v>
      </c>
      <c r="AL99" s="205">
        <f t="shared" si="37"/>
        <v>51.5</v>
      </c>
      <c r="AM99" s="205">
        <f t="shared" si="38"/>
        <v>61.5</v>
      </c>
      <c r="AN99" s="205">
        <f t="shared" si="39"/>
        <v>71.5</v>
      </c>
      <c r="AO99" s="205">
        <f t="shared" si="40"/>
        <v>81.5</v>
      </c>
      <c r="AP99" s="205">
        <f t="shared" si="41"/>
        <v>91.5</v>
      </c>
    </row>
    <row r="100" spans="2:42" x14ac:dyDescent="0.2">
      <c r="V100" s="268">
        <f t="shared" si="29"/>
        <v>39.000000000000021</v>
      </c>
      <c r="W100" s="269">
        <f t="shared" si="42"/>
        <v>0.39000000000000024</v>
      </c>
      <c r="X100" s="97">
        <f t="shared" si="31"/>
        <v>195.00000000000011</v>
      </c>
      <c r="Y100" s="118"/>
      <c r="Z100" s="124"/>
      <c r="AA100" s="205">
        <f t="shared" si="43"/>
        <v>195.00000000000011</v>
      </c>
      <c r="AB100" s="128"/>
      <c r="AC100" s="118"/>
      <c r="AD100" s="205">
        <f t="shared" si="44"/>
        <v>195</v>
      </c>
      <c r="AE100" s="138">
        <f t="shared" si="32"/>
        <v>422000</v>
      </c>
      <c r="AF100" s="138">
        <f t="shared" si="33"/>
        <v>422000</v>
      </c>
      <c r="AG100" s="138">
        <f t="shared" si="34"/>
        <v>422000</v>
      </c>
      <c r="AH100" s="118"/>
      <c r="AI100" s="118"/>
      <c r="AJ100" s="205">
        <f t="shared" si="35"/>
        <v>31</v>
      </c>
      <c r="AK100" s="205">
        <f t="shared" si="36"/>
        <v>41</v>
      </c>
      <c r="AL100" s="205">
        <f t="shared" si="37"/>
        <v>51</v>
      </c>
      <c r="AM100" s="205">
        <f t="shared" si="38"/>
        <v>61</v>
      </c>
      <c r="AN100" s="205">
        <f t="shared" si="39"/>
        <v>71</v>
      </c>
      <c r="AO100" s="205">
        <f t="shared" si="40"/>
        <v>81</v>
      </c>
      <c r="AP100" s="205">
        <f t="shared" si="41"/>
        <v>91</v>
      </c>
    </row>
    <row r="101" spans="2:42" x14ac:dyDescent="0.2">
      <c r="B101" s="24"/>
      <c r="C101" s="24"/>
      <c r="D101" s="24"/>
      <c r="V101" s="268">
        <f t="shared" si="29"/>
        <v>39.500000000000021</v>
      </c>
      <c r="W101" s="269">
        <f>+W100+0.005</f>
        <v>0.39500000000000024</v>
      </c>
      <c r="X101" s="97">
        <f t="shared" si="31"/>
        <v>197.50000000000011</v>
      </c>
      <c r="Y101" s="118"/>
      <c r="Z101" s="124"/>
      <c r="AA101" s="205">
        <f t="shared" si="43"/>
        <v>197.50000000000011</v>
      </c>
      <c r="AB101" s="128"/>
      <c r="AC101" s="118"/>
      <c r="AD101" s="205">
        <f t="shared" si="44"/>
        <v>197.5</v>
      </c>
      <c r="AE101" s="138">
        <f t="shared" si="32"/>
        <v>421000</v>
      </c>
      <c r="AF101" s="138">
        <f t="shared" si="33"/>
        <v>421000</v>
      </c>
      <c r="AG101" s="138">
        <f t="shared" si="34"/>
        <v>421000</v>
      </c>
      <c r="AH101" s="118"/>
      <c r="AI101" s="118"/>
      <c r="AJ101" s="205">
        <f t="shared" si="35"/>
        <v>30.5</v>
      </c>
      <c r="AK101" s="205">
        <f t="shared" si="36"/>
        <v>40.5</v>
      </c>
      <c r="AL101" s="205">
        <f t="shared" si="37"/>
        <v>50.5</v>
      </c>
      <c r="AM101" s="205">
        <f t="shared" si="38"/>
        <v>60.5</v>
      </c>
      <c r="AN101" s="205">
        <f t="shared" si="39"/>
        <v>70.5</v>
      </c>
      <c r="AO101" s="205">
        <f t="shared" si="40"/>
        <v>80.5</v>
      </c>
      <c r="AP101" s="205">
        <f t="shared" si="41"/>
        <v>90.5</v>
      </c>
    </row>
    <row r="102" spans="2:42" x14ac:dyDescent="0.2">
      <c r="B102" s="112" t="s">
        <v>97</v>
      </c>
      <c r="C102" s="113"/>
      <c r="D102" s="113"/>
      <c r="V102" s="268">
        <f t="shared" si="29"/>
        <v>40.000000000000021</v>
      </c>
      <c r="W102" s="269">
        <f t="shared" si="42"/>
        <v>0.40000000000000024</v>
      </c>
      <c r="X102" s="97">
        <f t="shared" si="31"/>
        <v>200.00000000000011</v>
      </c>
      <c r="Y102" s="118"/>
      <c r="Z102" s="124"/>
      <c r="AA102" s="205">
        <f t="shared" si="43"/>
        <v>200.00000000000011</v>
      </c>
      <c r="AB102" s="128"/>
      <c r="AC102" s="118"/>
      <c r="AD102" s="205">
        <f t="shared" si="44"/>
        <v>200</v>
      </c>
      <c r="AE102" s="138">
        <f t="shared" si="32"/>
        <v>420000</v>
      </c>
      <c r="AF102" s="138">
        <f t="shared" si="33"/>
        <v>420000</v>
      </c>
      <c r="AG102" s="138">
        <f t="shared" si="34"/>
        <v>420000</v>
      </c>
      <c r="AH102" s="118"/>
      <c r="AI102" s="118"/>
      <c r="AJ102" s="205">
        <f t="shared" si="35"/>
        <v>30</v>
      </c>
      <c r="AK102" s="205">
        <f t="shared" si="36"/>
        <v>40</v>
      </c>
      <c r="AL102" s="205">
        <f t="shared" si="37"/>
        <v>50</v>
      </c>
      <c r="AM102" s="205">
        <f t="shared" si="38"/>
        <v>60</v>
      </c>
      <c r="AN102" s="205">
        <f t="shared" si="39"/>
        <v>70</v>
      </c>
      <c r="AO102" s="205">
        <f t="shared" si="40"/>
        <v>80</v>
      </c>
      <c r="AP102" s="205">
        <f t="shared" si="41"/>
        <v>90</v>
      </c>
    </row>
    <row r="103" spans="2:42" x14ac:dyDescent="0.2">
      <c r="B103" s="146"/>
      <c r="C103" s="147" t="s">
        <v>59</v>
      </c>
      <c r="D103" s="147" t="s">
        <v>61</v>
      </c>
      <c r="V103" s="268">
        <f t="shared" si="29"/>
        <v>40.500000000000028</v>
      </c>
      <c r="W103" s="269">
        <f t="shared" si="42"/>
        <v>0.40500000000000025</v>
      </c>
      <c r="X103" s="97">
        <f t="shared" si="31"/>
        <v>202.50000000000011</v>
      </c>
      <c r="Y103" s="118"/>
      <c r="Z103" s="124"/>
      <c r="AA103" s="205">
        <f t="shared" si="43"/>
        <v>202.50000000000011</v>
      </c>
      <c r="AB103" s="128"/>
      <c r="AC103" s="118"/>
      <c r="AD103" s="205">
        <f t="shared" si="44"/>
        <v>202.5</v>
      </c>
      <c r="AE103" s="138">
        <f t="shared" si="32"/>
        <v>419000</v>
      </c>
      <c r="AF103" s="138">
        <f t="shared" si="33"/>
        <v>419000</v>
      </c>
      <c r="AG103" s="138">
        <f t="shared" si="34"/>
        <v>419000</v>
      </c>
      <c r="AH103" s="118"/>
      <c r="AI103" s="118"/>
      <c r="AJ103" s="205">
        <f t="shared" si="35"/>
        <v>29.5</v>
      </c>
      <c r="AK103" s="205">
        <f t="shared" si="36"/>
        <v>39.5</v>
      </c>
      <c r="AL103" s="205">
        <f t="shared" si="37"/>
        <v>49.5</v>
      </c>
      <c r="AM103" s="205">
        <f t="shared" si="38"/>
        <v>59.5</v>
      </c>
      <c r="AN103" s="205">
        <f t="shared" si="39"/>
        <v>69.5</v>
      </c>
      <c r="AO103" s="205">
        <f t="shared" si="40"/>
        <v>79.5</v>
      </c>
      <c r="AP103" s="205">
        <f t="shared" si="41"/>
        <v>89.5</v>
      </c>
    </row>
    <row r="104" spans="2:42" x14ac:dyDescent="0.2">
      <c r="B104" s="148" t="s">
        <v>98</v>
      </c>
      <c r="C104" s="169">
        <v>0</v>
      </c>
      <c r="D104" s="101">
        <f>D113-D115</f>
        <v>280000</v>
      </c>
      <c r="V104" s="268">
        <f t="shared" si="29"/>
        <v>41.000000000000028</v>
      </c>
      <c r="W104" s="269">
        <f t="shared" si="42"/>
        <v>0.41000000000000025</v>
      </c>
      <c r="X104" s="97">
        <f t="shared" si="31"/>
        <v>205.00000000000011</v>
      </c>
      <c r="Y104" s="118"/>
      <c r="Z104" s="124"/>
      <c r="AA104" s="205">
        <f t="shared" si="43"/>
        <v>205.00000000000011</v>
      </c>
      <c r="AB104" s="128"/>
      <c r="AC104" s="118"/>
      <c r="AD104" s="205">
        <f t="shared" si="44"/>
        <v>205</v>
      </c>
      <c r="AE104" s="138">
        <f t="shared" si="32"/>
        <v>418000</v>
      </c>
      <c r="AF104" s="138">
        <f t="shared" si="33"/>
        <v>418000</v>
      </c>
      <c r="AG104" s="138">
        <f t="shared" si="34"/>
        <v>418000</v>
      </c>
      <c r="AH104" s="118"/>
      <c r="AI104" s="118"/>
      <c r="AJ104" s="205">
        <f t="shared" si="35"/>
        <v>28.999999999999996</v>
      </c>
      <c r="AK104" s="205">
        <f t="shared" si="36"/>
        <v>39</v>
      </c>
      <c r="AL104" s="205">
        <f t="shared" si="37"/>
        <v>49</v>
      </c>
      <c r="AM104" s="205">
        <f t="shared" si="38"/>
        <v>59</v>
      </c>
      <c r="AN104" s="205">
        <f t="shared" si="39"/>
        <v>69</v>
      </c>
      <c r="AO104" s="205">
        <f t="shared" si="40"/>
        <v>79</v>
      </c>
      <c r="AP104" s="205">
        <f t="shared" si="41"/>
        <v>89</v>
      </c>
    </row>
    <row r="105" spans="2:42" x14ac:dyDescent="0.2">
      <c r="B105" s="148" t="s">
        <v>99</v>
      </c>
      <c r="C105" s="184">
        <f>+C69</f>
        <v>100</v>
      </c>
      <c r="D105" s="171">
        <f>D114+D115</f>
        <v>520000</v>
      </c>
      <c r="V105" s="268">
        <f t="shared" si="29"/>
        <v>41.500000000000028</v>
      </c>
      <c r="W105" s="269">
        <f t="shared" si="42"/>
        <v>0.41500000000000026</v>
      </c>
      <c r="X105" s="97">
        <f t="shared" si="31"/>
        <v>207.50000000000014</v>
      </c>
      <c r="Y105" s="118"/>
      <c r="Z105" s="124"/>
      <c r="AA105" s="205">
        <f t="shared" si="43"/>
        <v>207.50000000000014</v>
      </c>
      <c r="AB105" s="128"/>
      <c r="AC105" s="118"/>
      <c r="AD105" s="205">
        <f t="shared" si="44"/>
        <v>207.5</v>
      </c>
      <c r="AE105" s="138">
        <f t="shared" si="32"/>
        <v>417000</v>
      </c>
      <c r="AF105" s="138">
        <f t="shared" si="33"/>
        <v>417000</v>
      </c>
      <c r="AG105" s="138">
        <f t="shared" si="34"/>
        <v>417000</v>
      </c>
      <c r="AH105" s="118"/>
      <c r="AI105" s="118"/>
      <c r="AJ105" s="205">
        <f t="shared" si="35"/>
        <v>28.499999999999996</v>
      </c>
      <c r="AK105" s="205">
        <f t="shared" si="36"/>
        <v>38.5</v>
      </c>
      <c r="AL105" s="205">
        <f t="shared" si="37"/>
        <v>48.5</v>
      </c>
      <c r="AM105" s="205">
        <f t="shared" si="38"/>
        <v>58.5</v>
      </c>
      <c r="AN105" s="205">
        <f t="shared" si="39"/>
        <v>68.5</v>
      </c>
      <c r="AO105" s="205">
        <f t="shared" si="40"/>
        <v>78.5</v>
      </c>
      <c r="AP105" s="205">
        <f t="shared" si="41"/>
        <v>88.5</v>
      </c>
    </row>
    <row r="106" spans="2:42" x14ac:dyDescent="0.2">
      <c r="B106" s="149" t="s">
        <v>100</v>
      </c>
      <c r="C106" s="184">
        <f>25</f>
        <v>25</v>
      </c>
      <c r="D106" s="171">
        <f>+E115</f>
        <v>20000</v>
      </c>
      <c r="V106" s="268">
        <f t="shared" si="29"/>
        <v>42.000000000000028</v>
      </c>
      <c r="W106" s="269">
        <f t="shared" si="42"/>
        <v>0.42000000000000026</v>
      </c>
      <c r="X106" s="97">
        <f t="shared" si="31"/>
        <v>210.00000000000014</v>
      </c>
      <c r="Y106" s="118"/>
      <c r="Z106" s="124"/>
      <c r="AA106" s="205">
        <f t="shared" si="43"/>
        <v>210.00000000000014</v>
      </c>
      <c r="AB106" s="128"/>
      <c r="AC106" s="118"/>
      <c r="AD106" s="205">
        <f t="shared" si="44"/>
        <v>210</v>
      </c>
      <c r="AE106" s="138">
        <f t="shared" si="32"/>
        <v>416000</v>
      </c>
      <c r="AF106" s="138">
        <f t="shared" si="33"/>
        <v>416000</v>
      </c>
      <c r="AG106" s="138">
        <f t="shared" si="34"/>
        <v>416000</v>
      </c>
      <c r="AH106" s="118"/>
      <c r="AI106" s="118"/>
      <c r="AJ106" s="205">
        <f t="shared" si="35"/>
        <v>28.000000000000004</v>
      </c>
      <c r="AK106" s="205">
        <f t="shared" si="36"/>
        <v>38</v>
      </c>
      <c r="AL106" s="205">
        <f t="shared" si="37"/>
        <v>48</v>
      </c>
      <c r="AM106" s="205">
        <f t="shared" si="38"/>
        <v>57.999999999999993</v>
      </c>
      <c r="AN106" s="205">
        <f t="shared" si="39"/>
        <v>68</v>
      </c>
      <c r="AO106" s="205">
        <f t="shared" si="40"/>
        <v>78</v>
      </c>
      <c r="AP106" s="205">
        <f t="shared" si="41"/>
        <v>88</v>
      </c>
    </row>
    <row r="107" spans="2:42" x14ac:dyDescent="0.2">
      <c r="V107" s="268">
        <f t="shared" si="29"/>
        <v>42.500000000000028</v>
      </c>
      <c r="W107" s="269">
        <f t="shared" si="42"/>
        <v>0.42500000000000027</v>
      </c>
      <c r="X107" s="97">
        <f t="shared" si="31"/>
        <v>212.50000000000014</v>
      </c>
      <c r="Y107" s="118"/>
      <c r="Z107" s="124"/>
      <c r="AA107" s="205">
        <f t="shared" si="43"/>
        <v>212.50000000000014</v>
      </c>
      <c r="AB107" s="128"/>
      <c r="AC107" s="118"/>
      <c r="AD107" s="205">
        <f t="shared" si="44"/>
        <v>212.5</v>
      </c>
      <c r="AE107" s="138">
        <f t="shared" si="32"/>
        <v>415000</v>
      </c>
      <c r="AF107" s="138">
        <f t="shared" si="33"/>
        <v>415000</v>
      </c>
      <c r="AG107" s="138">
        <f t="shared" si="34"/>
        <v>415000</v>
      </c>
      <c r="AH107" s="118"/>
      <c r="AI107" s="118"/>
      <c r="AJ107" s="205">
        <f t="shared" si="35"/>
        <v>27.500000000000004</v>
      </c>
      <c r="AK107" s="205">
        <f t="shared" si="36"/>
        <v>37.5</v>
      </c>
      <c r="AL107" s="205">
        <f t="shared" si="37"/>
        <v>47.5</v>
      </c>
      <c r="AM107" s="205">
        <f t="shared" si="38"/>
        <v>57.499999999999993</v>
      </c>
      <c r="AN107" s="205">
        <f t="shared" si="39"/>
        <v>67.5</v>
      </c>
      <c r="AO107" s="205">
        <f t="shared" si="40"/>
        <v>77.5</v>
      </c>
      <c r="AP107" s="205">
        <f t="shared" si="41"/>
        <v>87.5</v>
      </c>
    </row>
    <row r="108" spans="2:42" x14ac:dyDescent="0.2">
      <c r="B108" s="176" t="s">
        <v>129</v>
      </c>
      <c r="D108" s="101">
        <v>0</v>
      </c>
      <c r="E108" s="101">
        <v>0</v>
      </c>
      <c r="V108" s="268">
        <f t="shared" si="29"/>
        <v>43.000000000000028</v>
      </c>
      <c r="W108" s="269">
        <f t="shared" si="42"/>
        <v>0.43000000000000027</v>
      </c>
      <c r="X108" s="97">
        <f t="shared" si="31"/>
        <v>215.00000000000014</v>
      </c>
      <c r="Y108" s="118"/>
      <c r="Z108" s="124"/>
      <c r="AA108" s="205">
        <f t="shared" si="43"/>
        <v>215.00000000000014</v>
      </c>
      <c r="AB108" s="128"/>
      <c r="AC108" s="118"/>
      <c r="AD108" s="205">
        <f t="shared" si="44"/>
        <v>215</v>
      </c>
      <c r="AE108" s="138">
        <f t="shared" si="32"/>
        <v>414000</v>
      </c>
      <c r="AF108" s="138">
        <f t="shared" si="33"/>
        <v>414000</v>
      </c>
      <c r="AG108" s="138">
        <f t="shared" si="34"/>
        <v>414000</v>
      </c>
      <c r="AH108" s="118"/>
      <c r="AI108" s="118"/>
      <c r="AJ108" s="205">
        <f t="shared" si="35"/>
        <v>27</v>
      </c>
      <c r="AK108" s="205">
        <f t="shared" si="36"/>
        <v>37</v>
      </c>
      <c r="AL108" s="205">
        <f t="shared" si="37"/>
        <v>47</v>
      </c>
      <c r="AM108" s="205">
        <f t="shared" si="38"/>
        <v>56.999999999999993</v>
      </c>
      <c r="AN108" s="205">
        <f t="shared" si="39"/>
        <v>67</v>
      </c>
      <c r="AO108" s="205">
        <f t="shared" si="40"/>
        <v>77</v>
      </c>
      <c r="AP108" s="205">
        <f t="shared" si="41"/>
        <v>87</v>
      </c>
    </row>
    <row r="109" spans="2:42" x14ac:dyDescent="0.2">
      <c r="D109" s="153">
        <v>0</v>
      </c>
      <c r="E109" s="153">
        <v>100</v>
      </c>
      <c r="V109" s="268">
        <f t="shared" si="29"/>
        <v>43.500000000000028</v>
      </c>
      <c r="W109" s="269">
        <f t="shared" si="42"/>
        <v>0.43500000000000028</v>
      </c>
      <c r="X109" s="97">
        <f t="shared" si="31"/>
        <v>217.50000000000014</v>
      </c>
      <c r="Y109" s="118"/>
      <c r="Z109" s="124"/>
      <c r="AA109" s="205">
        <f t="shared" si="43"/>
        <v>217.50000000000014</v>
      </c>
      <c r="AB109" s="128"/>
      <c r="AC109" s="118"/>
      <c r="AD109" s="205">
        <f t="shared" si="44"/>
        <v>217.5</v>
      </c>
      <c r="AE109" s="138">
        <f t="shared" si="32"/>
        <v>413000</v>
      </c>
      <c r="AF109" s="138">
        <f t="shared" si="33"/>
        <v>413000</v>
      </c>
      <c r="AG109" s="138">
        <f t="shared" si="34"/>
        <v>413000</v>
      </c>
      <c r="AH109" s="118"/>
      <c r="AI109" s="118"/>
      <c r="AJ109" s="205">
        <f t="shared" si="35"/>
        <v>26.5</v>
      </c>
      <c r="AK109" s="205">
        <f t="shared" si="36"/>
        <v>36.5</v>
      </c>
      <c r="AL109" s="205">
        <f t="shared" si="37"/>
        <v>46.5</v>
      </c>
      <c r="AM109" s="205">
        <f t="shared" si="38"/>
        <v>56.499999999999993</v>
      </c>
      <c r="AN109" s="205">
        <f t="shared" si="39"/>
        <v>66.5</v>
      </c>
      <c r="AO109" s="205">
        <f t="shared" si="40"/>
        <v>76.5</v>
      </c>
      <c r="AP109" s="205">
        <f t="shared" si="41"/>
        <v>86.5</v>
      </c>
    </row>
    <row r="110" spans="2:42" x14ac:dyDescent="0.2">
      <c r="V110" s="268">
        <f t="shared" si="29"/>
        <v>44.000000000000028</v>
      </c>
      <c r="W110" s="269">
        <f t="shared" si="42"/>
        <v>0.44000000000000028</v>
      </c>
      <c r="X110" s="97">
        <f t="shared" si="31"/>
        <v>220.00000000000014</v>
      </c>
      <c r="Y110" s="118"/>
      <c r="Z110" s="124"/>
      <c r="AA110" s="205">
        <f t="shared" si="43"/>
        <v>220.00000000000014</v>
      </c>
      <c r="AB110" s="128"/>
      <c r="AC110" s="118"/>
      <c r="AD110" s="205">
        <f t="shared" si="44"/>
        <v>220</v>
      </c>
      <c r="AE110" s="138">
        <f t="shared" si="32"/>
        <v>412000</v>
      </c>
      <c r="AF110" s="138">
        <f t="shared" si="33"/>
        <v>412000</v>
      </c>
      <c r="AG110" s="138">
        <f t="shared" si="34"/>
        <v>412000</v>
      </c>
      <c r="AH110" s="118"/>
      <c r="AI110" s="118"/>
      <c r="AJ110" s="205">
        <f t="shared" si="35"/>
        <v>26</v>
      </c>
      <c r="AK110" s="205">
        <f t="shared" si="36"/>
        <v>36</v>
      </c>
      <c r="AL110" s="205">
        <f t="shared" si="37"/>
        <v>46</v>
      </c>
      <c r="AM110" s="205">
        <f t="shared" si="38"/>
        <v>56.000000000000007</v>
      </c>
      <c r="AN110" s="205">
        <f t="shared" si="39"/>
        <v>66</v>
      </c>
      <c r="AO110" s="205">
        <f t="shared" si="40"/>
        <v>76</v>
      </c>
      <c r="AP110" s="205">
        <f t="shared" si="41"/>
        <v>86</v>
      </c>
    </row>
    <row r="111" spans="2:42" x14ac:dyDescent="0.2">
      <c r="B111" s="176"/>
      <c r="C111" s="101">
        <f>+D111</f>
        <v>800000</v>
      </c>
      <c r="D111" s="101">
        <f>MROUND(C8*2,10000)</f>
        <v>800000</v>
      </c>
      <c r="E111" s="176"/>
      <c r="V111" s="268">
        <f t="shared" si="29"/>
        <v>44.500000000000028</v>
      </c>
      <c r="W111" s="269">
        <f t="shared" si="42"/>
        <v>0.44500000000000028</v>
      </c>
      <c r="X111" s="97">
        <f t="shared" si="31"/>
        <v>222.50000000000014</v>
      </c>
      <c r="Y111" s="118"/>
      <c r="Z111" s="124"/>
      <c r="AA111" s="205">
        <f t="shared" si="43"/>
        <v>222.50000000000014</v>
      </c>
      <c r="AB111" s="128"/>
      <c r="AC111" s="118"/>
      <c r="AD111" s="205">
        <f t="shared" si="44"/>
        <v>222.5</v>
      </c>
      <c r="AE111" s="138">
        <f t="shared" si="32"/>
        <v>411000</v>
      </c>
      <c r="AF111" s="138">
        <f t="shared" si="33"/>
        <v>411000</v>
      </c>
      <c r="AG111" s="138">
        <f t="shared" si="34"/>
        <v>411000</v>
      </c>
      <c r="AH111" s="118"/>
      <c r="AI111" s="118"/>
      <c r="AJ111" s="205">
        <f t="shared" si="35"/>
        <v>25.5</v>
      </c>
      <c r="AK111" s="205">
        <f t="shared" si="36"/>
        <v>35.5</v>
      </c>
      <c r="AL111" s="205">
        <f t="shared" si="37"/>
        <v>45.5</v>
      </c>
      <c r="AM111" s="205">
        <f t="shared" si="38"/>
        <v>55.500000000000007</v>
      </c>
      <c r="AN111" s="205">
        <f t="shared" si="39"/>
        <v>65.5</v>
      </c>
      <c r="AO111" s="205">
        <f t="shared" si="40"/>
        <v>75.5</v>
      </c>
      <c r="AP111" s="205">
        <f t="shared" si="41"/>
        <v>85.5</v>
      </c>
    </row>
    <row r="112" spans="2:42" x14ac:dyDescent="0.2">
      <c r="E112" s="175"/>
      <c r="V112" s="268">
        <f t="shared" si="29"/>
        <v>45.000000000000028</v>
      </c>
      <c r="W112" s="269">
        <f t="shared" si="42"/>
        <v>0.45000000000000029</v>
      </c>
      <c r="X112" s="97">
        <f t="shared" si="31"/>
        <v>225.00000000000014</v>
      </c>
      <c r="Y112" s="118"/>
      <c r="Z112" s="124"/>
      <c r="AA112" s="205">
        <f t="shared" si="43"/>
        <v>225.00000000000014</v>
      </c>
      <c r="AB112" s="128"/>
      <c r="AC112" s="118"/>
      <c r="AD112" s="205">
        <f t="shared" si="44"/>
        <v>225</v>
      </c>
      <c r="AE112" s="138">
        <f t="shared" si="32"/>
        <v>410000</v>
      </c>
      <c r="AF112" s="138">
        <f t="shared" si="33"/>
        <v>410000</v>
      </c>
      <c r="AG112" s="138">
        <f t="shared" si="34"/>
        <v>410000</v>
      </c>
      <c r="AH112" s="118"/>
      <c r="AI112" s="118"/>
      <c r="AJ112" s="205">
        <f t="shared" si="35"/>
        <v>25</v>
      </c>
      <c r="AK112" s="205">
        <f t="shared" si="36"/>
        <v>35</v>
      </c>
      <c r="AL112" s="205">
        <f t="shared" si="37"/>
        <v>45</v>
      </c>
      <c r="AM112" s="205">
        <f t="shared" si="38"/>
        <v>55.000000000000007</v>
      </c>
      <c r="AN112" s="205">
        <f t="shared" si="39"/>
        <v>65</v>
      </c>
      <c r="AO112" s="205">
        <f t="shared" si="40"/>
        <v>75</v>
      </c>
      <c r="AP112" s="205">
        <f t="shared" si="41"/>
        <v>85</v>
      </c>
    </row>
    <row r="113" spans="1:46" x14ac:dyDescent="0.2">
      <c r="B113" s="34" t="s">
        <v>165</v>
      </c>
      <c r="D113" s="204">
        <f>Dashboard!H15</f>
        <v>300000</v>
      </c>
      <c r="E113" s="175"/>
      <c r="V113" s="268">
        <f t="shared" si="29"/>
        <v>45.500000000000028</v>
      </c>
      <c r="W113" s="269">
        <f t="shared" si="42"/>
        <v>0.45500000000000029</v>
      </c>
      <c r="X113" s="97">
        <f t="shared" si="31"/>
        <v>227.50000000000014</v>
      </c>
      <c r="Y113" s="118"/>
      <c r="Z113" s="124"/>
      <c r="AA113" s="205">
        <f t="shared" si="43"/>
        <v>227.50000000000014</v>
      </c>
      <c r="AB113" s="128"/>
      <c r="AC113" s="118"/>
      <c r="AD113" s="205">
        <f t="shared" si="44"/>
        <v>227.5</v>
      </c>
      <c r="AE113" s="138">
        <f t="shared" si="32"/>
        <v>409000</v>
      </c>
      <c r="AF113" s="138">
        <f t="shared" si="33"/>
        <v>409000</v>
      </c>
      <c r="AG113" s="138">
        <f t="shared" si="34"/>
        <v>409000</v>
      </c>
      <c r="AH113" s="118"/>
      <c r="AI113" s="118"/>
      <c r="AJ113" s="205">
        <f t="shared" si="35"/>
        <v>24.5</v>
      </c>
      <c r="AK113" s="205">
        <f t="shared" si="36"/>
        <v>34.5</v>
      </c>
      <c r="AL113" s="205">
        <f t="shared" si="37"/>
        <v>44.5</v>
      </c>
      <c r="AM113" s="205">
        <f t="shared" si="38"/>
        <v>54.500000000000007</v>
      </c>
      <c r="AN113" s="205">
        <f t="shared" si="39"/>
        <v>64.5</v>
      </c>
      <c r="AO113" s="205">
        <f t="shared" si="40"/>
        <v>74.5</v>
      </c>
      <c r="AP113" s="205">
        <f t="shared" si="41"/>
        <v>84.5</v>
      </c>
    </row>
    <row r="114" spans="1:46" x14ac:dyDescent="0.2">
      <c r="B114" s="34" t="s">
        <v>166</v>
      </c>
      <c r="D114" s="204">
        <f>Dashboard!H14</f>
        <v>500000</v>
      </c>
      <c r="E114" s="175"/>
      <c r="V114" s="268">
        <f t="shared" si="29"/>
        <v>46.000000000000028</v>
      </c>
      <c r="W114" s="269">
        <f t="shared" si="42"/>
        <v>0.4600000000000003</v>
      </c>
      <c r="X114" s="97">
        <f t="shared" si="31"/>
        <v>230.00000000000014</v>
      </c>
      <c r="Y114" s="118"/>
      <c r="Z114" s="124"/>
      <c r="AA114" s="205">
        <f t="shared" si="43"/>
        <v>230.00000000000014</v>
      </c>
      <c r="AB114" s="128"/>
      <c r="AC114" s="118"/>
      <c r="AD114" s="205">
        <f t="shared" si="44"/>
        <v>230</v>
      </c>
      <c r="AE114" s="138">
        <f t="shared" si="32"/>
        <v>408000</v>
      </c>
      <c r="AF114" s="138">
        <f t="shared" si="33"/>
        <v>408000</v>
      </c>
      <c r="AG114" s="138">
        <f t="shared" si="34"/>
        <v>408000</v>
      </c>
      <c r="AH114" s="118"/>
      <c r="AI114" s="118"/>
      <c r="AJ114" s="205">
        <f t="shared" si="35"/>
        <v>24</v>
      </c>
      <c r="AK114" s="205">
        <f t="shared" si="36"/>
        <v>34</v>
      </c>
      <c r="AL114" s="205">
        <f t="shared" si="37"/>
        <v>44</v>
      </c>
      <c r="AM114" s="205">
        <f t="shared" si="38"/>
        <v>54</v>
      </c>
      <c r="AN114" s="205">
        <f t="shared" si="39"/>
        <v>64</v>
      </c>
      <c r="AO114" s="205">
        <f t="shared" si="40"/>
        <v>74</v>
      </c>
      <c r="AP114" s="205">
        <f t="shared" si="41"/>
        <v>84</v>
      </c>
    </row>
    <row r="115" spans="1:46" x14ac:dyDescent="0.2">
      <c r="D115" s="204">
        <f>(+D114-D113)/10</f>
        <v>20000</v>
      </c>
      <c r="E115" s="175">
        <f>+D115</f>
        <v>20000</v>
      </c>
      <c r="V115" s="268">
        <f t="shared" si="29"/>
        <v>46.500000000000028</v>
      </c>
      <c r="W115" s="269">
        <f t="shared" si="42"/>
        <v>0.4650000000000003</v>
      </c>
      <c r="X115" s="97">
        <f t="shared" si="31"/>
        <v>232.50000000000014</v>
      </c>
      <c r="Y115" s="118"/>
      <c r="Z115" s="124"/>
      <c r="AA115" s="205">
        <f t="shared" si="43"/>
        <v>232.50000000000014</v>
      </c>
      <c r="AB115" s="128"/>
      <c r="AC115" s="118"/>
      <c r="AD115" s="205">
        <f t="shared" si="44"/>
        <v>232.5</v>
      </c>
      <c r="AE115" s="138">
        <f t="shared" si="32"/>
        <v>407000</v>
      </c>
      <c r="AF115" s="138">
        <f t="shared" si="33"/>
        <v>407000</v>
      </c>
      <c r="AG115" s="138">
        <f t="shared" si="34"/>
        <v>407000</v>
      </c>
      <c r="AH115" s="118"/>
      <c r="AI115" s="118"/>
      <c r="AJ115" s="205">
        <f t="shared" si="35"/>
        <v>23.5</v>
      </c>
      <c r="AK115" s="205">
        <f t="shared" si="36"/>
        <v>33.5</v>
      </c>
      <c r="AL115" s="205">
        <f t="shared" si="37"/>
        <v>43.5</v>
      </c>
      <c r="AM115" s="205">
        <f t="shared" si="38"/>
        <v>53.5</v>
      </c>
      <c r="AN115" s="205">
        <f t="shared" si="39"/>
        <v>63.5</v>
      </c>
      <c r="AO115" s="205">
        <f t="shared" si="40"/>
        <v>73.5</v>
      </c>
      <c r="AP115" s="205">
        <f t="shared" si="41"/>
        <v>83.5</v>
      </c>
    </row>
    <row r="116" spans="1:46" x14ac:dyDescent="0.2">
      <c r="E116" s="175"/>
      <c r="N116" s="34" t="s">
        <v>286</v>
      </c>
      <c r="O116" s="341">
        <f>100%-0.05</f>
        <v>0.95</v>
      </c>
      <c r="P116" s="34">
        <f>L139</f>
        <v>500</v>
      </c>
      <c r="V116" s="268">
        <f t="shared" si="29"/>
        <v>47.000000000000028</v>
      </c>
      <c r="W116" s="269">
        <f t="shared" si="42"/>
        <v>0.47000000000000031</v>
      </c>
      <c r="X116" s="97">
        <f t="shared" si="31"/>
        <v>235.00000000000014</v>
      </c>
      <c r="Y116" s="118"/>
      <c r="Z116" s="124"/>
      <c r="AA116" s="205">
        <f t="shared" si="43"/>
        <v>235.00000000000014</v>
      </c>
      <c r="AB116" s="128"/>
      <c r="AC116" s="118"/>
      <c r="AD116" s="205">
        <f t="shared" si="44"/>
        <v>235</v>
      </c>
      <c r="AE116" s="138">
        <f t="shared" si="32"/>
        <v>406000</v>
      </c>
      <c r="AF116" s="138">
        <f t="shared" si="33"/>
        <v>406000</v>
      </c>
      <c r="AG116" s="138">
        <f t="shared" si="34"/>
        <v>406000</v>
      </c>
      <c r="AH116" s="118"/>
      <c r="AI116" s="118"/>
      <c r="AJ116" s="205">
        <f t="shared" si="35"/>
        <v>23</v>
      </c>
      <c r="AK116" s="205">
        <f t="shared" si="36"/>
        <v>33</v>
      </c>
      <c r="AL116" s="205">
        <f t="shared" si="37"/>
        <v>43</v>
      </c>
      <c r="AM116" s="205">
        <f t="shared" si="38"/>
        <v>53</v>
      </c>
      <c r="AN116" s="205">
        <f t="shared" si="39"/>
        <v>63</v>
      </c>
      <c r="AO116" s="205">
        <f t="shared" si="40"/>
        <v>73</v>
      </c>
      <c r="AP116" s="205">
        <f t="shared" si="41"/>
        <v>83</v>
      </c>
    </row>
    <row r="117" spans="1:46" x14ac:dyDescent="0.2">
      <c r="C117" s="34" t="s">
        <v>177</v>
      </c>
      <c r="D117" s="204" t="e">
        <f>MAX(Dashboard!H15,Dashboard!H14,Dashboard!H18,Dashboard!#REF!,D118)</f>
        <v>#REF!</v>
      </c>
      <c r="E117" s="175"/>
      <c r="N117" s="34" t="s">
        <v>287</v>
      </c>
      <c r="O117" s="340">
        <f>Scenarioanalyse!H22/Dashboard!H10</f>
        <v>0.1</v>
      </c>
      <c r="P117" s="34">
        <f>L138</f>
        <v>50</v>
      </c>
      <c r="V117" s="268">
        <f t="shared" si="29"/>
        <v>47.500000000000028</v>
      </c>
      <c r="W117" s="269">
        <f t="shared" si="42"/>
        <v>0.47500000000000031</v>
      </c>
      <c r="X117" s="97">
        <f t="shared" si="31"/>
        <v>237.50000000000014</v>
      </c>
      <c r="Y117" s="118"/>
      <c r="Z117" s="124"/>
      <c r="AA117" s="205">
        <f t="shared" si="43"/>
        <v>237.50000000000014</v>
      </c>
      <c r="AB117" s="128"/>
      <c r="AC117" s="118"/>
      <c r="AD117" s="205">
        <f t="shared" si="44"/>
        <v>237.5</v>
      </c>
      <c r="AE117" s="138">
        <f t="shared" si="32"/>
        <v>405000</v>
      </c>
      <c r="AF117" s="138">
        <f t="shared" si="33"/>
        <v>405000</v>
      </c>
      <c r="AG117" s="138">
        <f t="shared" si="34"/>
        <v>405000</v>
      </c>
      <c r="AH117" s="118"/>
      <c r="AI117" s="118"/>
      <c r="AJ117" s="205">
        <f t="shared" si="35"/>
        <v>22.5</v>
      </c>
      <c r="AK117" s="205">
        <f t="shared" si="36"/>
        <v>32.5</v>
      </c>
      <c r="AL117" s="205">
        <f t="shared" si="37"/>
        <v>42.5</v>
      </c>
      <c r="AM117" s="205">
        <f t="shared" si="38"/>
        <v>52.5</v>
      </c>
      <c r="AN117" s="205">
        <f t="shared" si="39"/>
        <v>62.5</v>
      </c>
      <c r="AO117" s="205">
        <f t="shared" si="40"/>
        <v>72.5</v>
      </c>
      <c r="AP117" s="205">
        <f t="shared" si="41"/>
        <v>82.5</v>
      </c>
    </row>
    <row r="118" spans="1:46" x14ac:dyDescent="0.2">
      <c r="C118" s="34" t="s">
        <v>178</v>
      </c>
      <c r="D118" s="204">
        <f>2*Dashboard!H18</f>
        <v>800000</v>
      </c>
      <c r="E118" s="175"/>
      <c r="N118" s="34" t="s">
        <v>288</v>
      </c>
      <c r="O118" s="340">
        <f>(+O116-O117)/11</f>
        <v>7.7272727272727271E-2</v>
      </c>
      <c r="P118" s="249">
        <f>(+P116-P117)/11</f>
        <v>40.909090909090907</v>
      </c>
      <c r="S118" s="34">
        <f>(O118*L139)</f>
        <v>38.636363636363633</v>
      </c>
      <c r="V118" s="268">
        <f t="shared" ref="V118:V149" si="45">$V$223*W118</f>
        <v>48.000000000000028</v>
      </c>
      <c r="W118" s="269">
        <f t="shared" si="42"/>
        <v>0.48000000000000032</v>
      </c>
      <c r="X118" s="97">
        <f t="shared" si="31"/>
        <v>240.00000000000017</v>
      </c>
      <c r="Y118" s="118"/>
      <c r="Z118" s="124"/>
      <c r="AA118" s="205">
        <f t="shared" si="43"/>
        <v>240.00000000000017</v>
      </c>
      <c r="AB118" s="128"/>
      <c r="AC118" s="118"/>
      <c r="AD118" s="205">
        <f t="shared" si="44"/>
        <v>240</v>
      </c>
      <c r="AE118" s="138">
        <f t="shared" si="32"/>
        <v>404000</v>
      </c>
      <c r="AF118" s="138">
        <f t="shared" si="33"/>
        <v>404000</v>
      </c>
      <c r="AG118" s="138">
        <f t="shared" si="34"/>
        <v>404000</v>
      </c>
      <c r="AH118" s="118"/>
      <c r="AI118" s="118"/>
      <c r="AJ118" s="205">
        <f t="shared" si="35"/>
        <v>22</v>
      </c>
      <c r="AK118" s="205">
        <f t="shared" si="36"/>
        <v>32</v>
      </c>
      <c r="AL118" s="205">
        <f t="shared" si="37"/>
        <v>42</v>
      </c>
      <c r="AM118" s="205">
        <f t="shared" si="38"/>
        <v>52</v>
      </c>
      <c r="AN118" s="205">
        <f t="shared" si="39"/>
        <v>62</v>
      </c>
      <c r="AO118" s="205">
        <f t="shared" si="40"/>
        <v>72</v>
      </c>
      <c r="AP118" s="205">
        <f t="shared" si="41"/>
        <v>82</v>
      </c>
    </row>
    <row r="119" spans="1:46" x14ac:dyDescent="0.2">
      <c r="C119" s="34" t="s">
        <v>168</v>
      </c>
      <c r="D119" s="34" t="e">
        <f>Dashboard!#REF!</f>
        <v>#REF!</v>
      </c>
      <c r="E119" s="175"/>
      <c r="V119" s="268">
        <f t="shared" si="45"/>
        <v>48.500000000000028</v>
      </c>
      <c r="W119" s="269">
        <f t="shared" si="42"/>
        <v>0.48500000000000032</v>
      </c>
      <c r="X119" s="97">
        <f t="shared" ref="X119:X150" si="46">+W119*($X$223-$F$14)+$X$22</f>
        <v>242.50000000000017</v>
      </c>
      <c r="Y119" s="118"/>
      <c r="Z119" s="124"/>
      <c r="AA119" s="205">
        <f t="shared" si="43"/>
        <v>242.50000000000017</v>
      </c>
      <c r="AB119" s="128"/>
      <c r="AC119" s="118"/>
      <c r="AD119" s="205">
        <f t="shared" si="44"/>
        <v>242.5</v>
      </c>
      <c r="AE119" s="138">
        <f t="shared" si="32"/>
        <v>403000</v>
      </c>
      <c r="AF119" s="138">
        <f t="shared" si="33"/>
        <v>403000</v>
      </c>
      <c r="AG119" s="138">
        <f t="shared" si="34"/>
        <v>403000</v>
      </c>
      <c r="AH119" s="118"/>
      <c r="AI119" s="118"/>
      <c r="AJ119" s="205">
        <f t="shared" si="35"/>
        <v>21.5</v>
      </c>
      <c r="AK119" s="205">
        <f t="shared" si="36"/>
        <v>31.5</v>
      </c>
      <c r="AL119" s="205">
        <f t="shared" si="37"/>
        <v>41.5</v>
      </c>
      <c r="AM119" s="205">
        <f t="shared" si="38"/>
        <v>51.5</v>
      </c>
      <c r="AN119" s="205">
        <f t="shared" si="39"/>
        <v>61.5</v>
      </c>
      <c r="AO119" s="205">
        <f t="shared" si="40"/>
        <v>71.5</v>
      </c>
      <c r="AP119" s="205">
        <f t="shared" si="41"/>
        <v>81.5</v>
      </c>
    </row>
    <row r="120" spans="1:46" x14ac:dyDescent="0.2">
      <c r="E120" s="175"/>
      <c r="V120" s="268">
        <f t="shared" si="45"/>
        <v>49.000000000000036</v>
      </c>
      <c r="W120" s="269">
        <f t="shared" si="42"/>
        <v>0.49000000000000032</v>
      </c>
      <c r="X120" s="97">
        <f t="shared" si="46"/>
        <v>245.00000000000017</v>
      </c>
      <c r="Y120" s="118"/>
      <c r="Z120" s="124"/>
      <c r="AA120" s="205">
        <f t="shared" si="43"/>
        <v>245.00000000000017</v>
      </c>
      <c r="AB120" s="128"/>
      <c r="AC120" s="118"/>
      <c r="AD120" s="205">
        <f t="shared" si="44"/>
        <v>245</v>
      </c>
      <c r="AE120" s="138">
        <f t="shared" si="32"/>
        <v>402000</v>
      </c>
      <c r="AF120" s="138">
        <f t="shared" si="33"/>
        <v>402000</v>
      </c>
      <c r="AG120" s="138">
        <f t="shared" si="34"/>
        <v>402000</v>
      </c>
      <c r="AH120" s="118"/>
      <c r="AI120" s="118"/>
      <c r="AJ120" s="205">
        <f t="shared" si="35"/>
        <v>21</v>
      </c>
      <c r="AK120" s="205">
        <f t="shared" si="36"/>
        <v>31</v>
      </c>
      <c r="AL120" s="205">
        <f t="shared" si="37"/>
        <v>41</v>
      </c>
      <c r="AM120" s="205">
        <f t="shared" si="38"/>
        <v>51</v>
      </c>
      <c r="AN120" s="205">
        <f t="shared" si="39"/>
        <v>61</v>
      </c>
      <c r="AO120" s="205">
        <f t="shared" si="40"/>
        <v>71</v>
      </c>
      <c r="AP120" s="205">
        <f t="shared" si="41"/>
        <v>81</v>
      </c>
    </row>
    <row r="121" spans="1:46" x14ac:dyDescent="0.2">
      <c r="D121" s="235"/>
      <c r="E121" s="175"/>
      <c r="V121" s="268">
        <f t="shared" si="45"/>
        <v>49.500000000000036</v>
      </c>
      <c r="W121" s="269">
        <f t="shared" si="42"/>
        <v>0.49500000000000033</v>
      </c>
      <c r="X121" s="97">
        <f t="shared" si="46"/>
        <v>247.50000000000017</v>
      </c>
      <c r="Y121" s="118"/>
      <c r="Z121" s="124"/>
      <c r="AA121" s="205">
        <f t="shared" si="43"/>
        <v>247.50000000000017</v>
      </c>
      <c r="AB121" s="128"/>
      <c r="AC121" s="118"/>
      <c r="AD121" s="205">
        <f t="shared" si="44"/>
        <v>247.5</v>
      </c>
      <c r="AE121" s="138">
        <f t="shared" si="32"/>
        <v>401000</v>
      </c>
      <c r="AF121" s="138">
        <f t="shared" si="33"/>
        <v>401000</v>
      </c>
      <c r="AG121" s="138">
        <f t="shared" si="34"/>
        <v>401000</v>
      </c>
      <c r="AH121" s="118"/>
      <c r="AI121" s="118"/>
      <c r="AJ121" s="205">
        <f t="shared" si="35"/>
        <v>20.5</v>
      </c>
      <c r="AK121" s="205">
        <f t="shared" si="36"/>
        <v>30.5</v>
      </c>
      <c r="AL121" s="205">
        <f t="shared" si="37"/>
        <v>40.5</v>
      </c>
      <c r="AM121" s="205">
        <f t="shared" si="38"/>
        <v>50.5</v>
      </c>
      <c r="AN121" s="205">
        <f t="shared" si="39"/>
        <v>60.5</v>
      </c>
      <c r="AO121" s="205">
        <f t="shared" si="40"/>
        <v>70.5</v>
      </c>
      <c r="AP121" s="205">
        <f t="shared" si="41"/>
        <v>80.5</v>
      </c>
    </row>
    <row r="122" spans="1:46" x14ac:dyDescent="0.2">
      <c r="A122" s="115" t="s">
        <v>144</v>
      </c>
      <c r="B122" s="115" t="s">
        <v>204</v>
      </c>
      <c r="C122" s="30" t="s">
        <v>180</v>
      </c>
      <c r="F122" s="222" t="str">
        <f>IF(+C13&lt;0,"n.v.t.",+C13)</f>
        <v>n.v.t.</v>
      </c>
      <c r="I122" s="33">
        <f>Dashboard!H22</f>
        <v>0</v>
      </c>
      <c r="J122" s="217" t="s">
        <v>181</v>
      </c>
      <c r="K122" s="208"/>
      <c r="V122" s="268">
        <f t="shared" si="45"/>
        <v>50.000000000000036</v>
      </c>
      <c r="W122" s="269">
        <f t="shared" si="42"/>
        <v>0.50000000000000033</v>
      </c>
      <c r="X122" s="97">
        <f t="shared" si="46"/>
        <v>250.00000000000017</v>
      </c>
      <c r="Y122" s="118"/>
      <c r="Z122" s="124"/>
      <c r="AA122" s="205">
        <f t="shared" si="43"/>
        <v>250.00000000000017</v>
      </c>
      <c r="AB122" s="128"/>
      <c r="AC122" s="118"/>
      <c r="AD122" s="205">
        <f t="shared" si="44"/>
        <v>250</v>
      </c>
      <c r="AE122" s="138">
        <f t="shared" si="32"/>
        <v>400000</v>
      </c>
      <c r="AF122" s="138">
        <f t="shared" si="33"/>
        <v>400000</v>
      </c>
      <c r="AG122" s="138">
        <f t="shared" si="34"/>
        <v>400000</v>
      </c>
      <c r="AH122" s="118"/>
      <c r="AI122" s="118"/>
      <c r="AJ122" s="205">
        <f t="shared" si="35"/>
        <v>20</v>
      </c>
      <c r="AK122" s="205">
        <f t="shared" si="36"/>
        <v>30</v>
      </c>
      <c r="AL122" s="205">
        <f t="shared" si="37"/>
        <v>40</v>
      </c>
      <c r="AM122" s="205">
        <f t="shared" si="38"/>
        <v>50</v>
      </c>
      <c r="AN122" s="205">
        <f t="shared" si="39"/>
        <v>60</v>
      </c>
      <c r="AO122" s="205">
        <f t="shared" si="40"/>
        <v>70</v>
      </c>
      <c r="AP122" s="205">
        <f t="shared" si="41"/>
        <v>80</v>
      </c>
    </row>
    <row r="123" spans="1:46" x14ac:dyDescent="0.2">
      <c r="B123" s="152" t="s">
        <v>208</v>
      </c>
      <c r="C123" s="196" t="s">
        <v>143</v>
      </c>
      <c r="D123" s="196" t="s">
        <v>212</v>
      </c>
      <c r="E123" s="196" t="s">
        <v>213</v>
      </c>
      <c r="F123" s="196" t="s">
        <v>210</v>
      </c>
      <c r="G123" s="196" t="s">
        <v>212</v>
      </c>
      <c r="H123" s="196" t="s">
        <v>213</v>
      </c>
      <c r="I123" s="196" t="s">
        <v>211</v>
      </c>
      <c r="J123" s="196" t="s">
        <v>142</v>
      </c>
      <c r="K123" s="196" t="s">
        <v>157</v>
      </c>
      <c r="L123" s="196" t="s">
        <v>170</v>
      </c>
      <c r="M123" s="196" t="s">
        <v>179</v>
      </c>
      <c r="N123" s="196" t="s">
        <v>182</v>
      </c>
      <c r="R123" s="34" t="s">
        <v>59</v>
      </c>
      <c r="S123" s="196" t="s">
        <v>353</v>
      </c>
      <c r="V123" s="268">
        <f t="shared" si="45"/>
        <v>50.500000000000036</v>
      </c>
      <c r="W123" s="269">
        <f t="shared" si="42"/>
        <v>0.50500000000000034</v>
      </c>
      <c r="X123" s="97">
        <f t="shared" si="46"/>
        <v>252.50000000000017</v>
      </c>
      <c r="Y123" s="118"/>
      <c r="Z123" s="124"/>
      <c r="AA123" s="205">
        <f t="shared" si="43"/>
        <v>252.50000000000017</v>
      </c>
      <c r="AB123" s="128"/>
      <c r="AC123" s="118"/>
      <c r="AD123" s="205">
        <f t="shared" si="44"/>
        <v>252.5</v>
      </c>
      <c r="AE123" s="138">
        <f t="shared" si="32"/>
        <v>399000</v>
      </c>
      <c r="AF123" s="138">
        <f t="shared" si="33"/>
        <v>399000</v>
      </c>
      <c r="AG123" s="138">
        <f t="shared" si="34"/>
        <v>399000</v>
      </c>
      <c r="AH123" s="118"/>
      <c r="AI123" s="118"/>
      <c r="AJ123" s="205">
        <f t="shared" si="35"/>
        <v>19.5</v>
      </c>
      <c r="AK123" s="205">
        <f t="shared" si="36"/>
        <v>29.5</v>
      </c>
      <c r="AL123" s="205">
        <f t="shared" si="37"/>
        <v>39.5</v>
      </c>
      <c r="AM123" s="205">
        <f t="shared" si="38"/>
        <v>49.5</v>
      </c>
      <c r="AN123" s="205">
        <f t="shared" si="39"/>
        <v>59.5</v>
      </c>
      <c r="AO123" s="205">
        <f t="shared" si="40"/>
        <v>69.5</v>
      </c>
      <c r="AP123" s="205">
        <f t="shared" si="41"/>
        <v>79.5</v>
      </c>
    </row>
    <row r="124" spans="1:46" ht="15" x14ac:dyDescent="0.25">
      <c r="A124" s="279">
        <f>N124</f>
        <v>12</v>
      </c>
      <c r="B124" s="185" t="s">
        <v>30</v>
      </c>
      <c r="C124" s="248" t="str">
        <f>+Scenarioanalyse!D8</f>
        <v>Combinatie P/Q (1)</v>
      </c>
      <c r="D124" s="32">
        <f>IF(T124="nee","",Q124)</f>
        <v>500000</v>
      </c>
      <c r="E124" s="32">
        <f>+Scenarioanalyse!G8</f>
        <v>0</v>
      </c>
      <c r="F124" s="32">
        <f>IF(Scenarioanalyse!E8="nee","",IF(E124&lt;&gt;0,E124,D124))</f>
        <v>500000</v>
      </c>
      <c r="G124" s="153">
        <f>IF(Scenarioanalyse!E8="nee","",ROUND(P124,2))</f>
        <v>475</v>
      </c>
      <c r="H124" s="153">
        <f>+Scenarioanalyse!I8</f>
        <v>0</v>
      </c>
      <c r="I124" s="254">
        <f>IF(H124&lt;&gt;0,H124,G124)</f>
        <v>475</v>
      </c>
      <c r="J124" s="206" t="str">
        <f>IF($F$11&lt;&gt;"n.v.t.",$F$14+(I124/$C$6)*$F$11,"n.v.t.")</f>
        <v>n.v.t.</v>
      </c>
      <c r="K124" s="332">
        <f>IF(OR(F124="",I124=""),"",IF(M124="KO","KO",IF(J124&lt;&gt;"n.v.t.",C150,C150)))</f>
        <v>475</v>
      </c>
      <c r="L124" s="433">
        <f>IF(ISERROR(I124*(100/$L$139)),"",I124*(100/$L$139))</f>
        <v>95</v>
      </c>
      <c r="M124" s="152" t="str">
        <f>IF(OR(F124&gt;$F$122,I124&lt;$I$122),"KO","")</f>
        <v/>
      </c>
      <c r="N124" s="220">
        <f t="shared" ref="N124:N135" si="47">IF(ISERROR(RANK(K124,$K$124:$K$135)),"KO",RANK(K124,$K$124:$K$135))</f>
        <v>12</v>
      </c>
      <c r="O124" s="249">
        <f>O116</f>
        <v>0.95</v>
      </c>
      <c r="P124" s="313">
        <f t="shared" ref="P124:P135" si="48">O124*$L$139</f>
        <v>475</v>
      </c>
      <c r="Q124" s="175">
        <f>$L$141</f>
        <v>500000</v>
      </c>
      <c r="R124" s="432">
        <v>100</v>
      </c>
      <c r="S124" s="34">
        <v>1</v>
      </c>
      <c r="T124" t="str">
        <f>Scenarioanalyse!E8</f>
        <v>ja</v>
      </c>
      <c r="V124" s="268">
        <f t="shared" si="45"/>
        <v>51.000000000000036</v>
      </c>
      <c r="W124" s="269">
        <f t="shared" si="42"/>
        <v>0.51000000000000034</v>
      </c>
      <c r="X124" s="97">
        <f t="shared" si="46"/>
        <v>255.00000000000017</v>
      </c>
      <c r="Y124" s="118"/>
      <c r="Z124" s="124"/>
      <c r="AA124" s="205">
        <f t="shared" si="43"/>
        <v>255.00000000000017</v>
      </c>
      <c r="AB124" s="128"/>
      <c r="AC124" s="118"/>
      <c r="AD124" s="205">
        <f t="shared" si="44"/>
        <v>255</v>
      </c>
      <c r="AE124" s="138">
        <f t="shared" si="32"/>
        <v>398000</v>
      </c>
      <c r="AF124" s="138">
        <f t="shared" si="33"/>
        <v>398000</v>
      </c>
      <c r="AG124" s="138">
        <f t="shared" si="34"/>
        <v>398000</v>
      </c>
      <c r="AH124" s="118"/>
      <c r="AI124" s="118"/>
      <c r="AJ124" s="205">
        <f t="shared" si="35"/>
        <v>19</v>
      </c>
      <c r="AK124" s="205">
        <f t="shared" si="36"/>
        <v>28.999999999999996</v>
      </c>
      <c r="AL124" s="205">
        <f t="shared" si="37"/>
        <v>39</v>
      </c>
      <c r="AM124" s="205">
        <f t="shared" si="38"/>
        <v>49</v>
      </c>
      <c r="AN124" s="205">
        <f t="shared" si="39"/>
        <v>59</v>
      </c>
      <c r="AO124" s="205">
        <f t="shared" si="40"/>
        <v>69</v>
      </c>
      <c r="AP124" s="205">
        <f t="shared" si="41"/>
        <v>79</v>
      </c>
      <c r="AT124" s="34" t="s">
        <v>319</v>
      </c>
    </row>
    <row r="125" spans="1:46" ht="15" x14ac:dyDescent="0.25">
      <c r="A125" s="279">
        <f t="shared" ref="A125:A135" si="49">N125</f>
        <v>11</v>
      </c>
      <c r="B125" s="185" t="s">
        <v>31</v>
      </c>
      <c r="C125" s="248" t="str">
        <f>+Scenarioanalyse!D9</f>
        <v>Combinatie P/Q (2)</v>
      </c>
      <c r="D125" s="32">
        <f>IF(T125="nee","",Q125)</f>
        <v>481818.18181818182</v>
      </c>
      <c r="E125" s="32">
        <f>+Scenarioanalyse!G9</f>
        <v>0</v>
      </c>
      <c r="F125" s="32">
        <f>IF(Scenarioanalyse!E9="nee","",IF(E125&lt;&gt;0,E125,D125))</f>
        <v>481818.18181818182</v>
      </c>
      <c r="G125" s="153">
        <f>IF(Scenarioanalyse!E9="nee","",ROUND(P125,2))</f>
        <v>436.36</v>
      </c>
      <c r="H125" s="153">
        <f>+Scenarioanalyse!I9</f>
        <v>0</v>
      </c>
      <c r="I125" s="254">
        <f t="shared" ref="I125:I136" si="50">IF(H125&lt;&gt;0,H125,G125)</f>
        <v>436.36</v>
      </c>
      <c r="J125" s="206" t="str">
        <f t="shared" ref="J125:J136" si="51">IF($F$11&lt;&gt;"n.v.t.",$F$14+(I125/$C$6)*$F$11,"n.v.t.")</f>
        <v>n.v.t.</v>
      </c>
      <c r="K125" s="332">
        <f t="shared" ref="K125:K135" si="52">IF(OR(F125="",I125=""),"",IF(M125="KO","KO",IF(J125&lt;&gt;"n.v.t.",C151,C151)))</f>
        <v>481.8</v>
      </c>
      <c r="L125" s="433">
        <f t="shared" ref="L125:L136" si="53">IF(ISERROR(I125*(100/$L$139)),"",I125*(100/$L$139))</f>
        <v>87.272000000000006</v>
      </c>
      <c r="M125" s="152" t="str">
        <f t="shared" ref="M125:M135" si="54">IF(OR(F125&gt;$E$49,I125&lt;$F$49),"KO","")</f>
        <v/>
      </c>
      <c r="N125" s="220">
        <f t="shared" si="47"/>
        <v>11</v>
      </c>
      <c r="O125" s="249">
        <f t="shared" ref="O125:O135" si="55">+O124-$O$118</f>
        <v>0.87272727272727268</v>
      </c>
      <c r="P125" s="313">
        <f t="shared" si="48"/>
        <v>436.36363636363632</v>
      </c>
      <c r="Q125" s="312">
        <f t="shared" ref="Q125:Q135" si="56">Q124-$M$141</f>
        <v>481818.18181818182</v>
      </c>
      <c r="R125" s="432">
        <f>+R124-$S$118</f>
        <v>61.363636363636367</v>
      </c>
      <c r="S125" s="34">
        <v>0.86678417204144764</v>
      </c>
      <c r="T125" t="str">
        <f>Scenarioanalyse!E9</f>
        <v>ja</v>
      </c>
      <c r="V125" s="268">
        <f t="shared" si="45"/>
        <v>51.500000000000036</v>
      </c>
      <c r="W125" s="269">
        <f t="shared" si="42"/>
        <v>0.51500000000000035</v>
      </c>
      <c r="X125" s="97">
        <f t="shared" si="46"/>
        <v>257.50000000000017</v>
      </c>
      <c r="Y125" s="118"/>
      <c r="Z125" s="124"/>
      <c r="AA125" s="205">
        <f t="shared" si="43"/>
        <v>257.50000000000017</v>
      </c>
      <c r="AB125" s="128"/>
      <c r="AC125" s="118"/>
      <c r="AD125" s="205">
        <f t="shared" si="44"/>
        <v>257.5</v>
      </c>
      <c r="AE125" s="138">
        <f t="shared" si="32"/>
        <v>397000</v>
      </c>
      <c r="AF125" s="138">
        <f t="shared" si="33"/>
        <v>397000</v>
      </c>
      <c r="AG125" s="138">
        <f t="shared" si="34"/>
        <v>397000</v>
      </c>
      <c r="AH125" s="118"/>
      <c r="AI125" s="118"/>
      <c r="AJ125" s="205">
        <f t="shared" si="35"/>
        <v>18.5</v>
      </c>
      <c r="AK125" s="205">
        <f t="shared" si="36"/>
        <v>28.499999999999996</v>
      </c>
      <c r="AL125" s="205">
        <f t="shared" si="37"/>
        <v>38.5</v>
      </c>
      <c r="AM125" s="205">
        <f t="shared" si="38"/>
        <v>48.5</v>
      </c>
      <c r="AN125" s="205">
        <f t="shared" si="39"/>
        <v>58.5</v>
      </c>
      <c r="AO125" s="205">
        <f t="shared" si="40"/>
        <v>68.5</v>
      </c>
      <c r="AP125" s="205">
        <f t="shared" si="41"/>
        <v>78.5</v>
      </c>
    </row>
    <row r="126" spans="1:46" ht="15" x14ac:dyDescent="0.25">
      <c r="A126" s="279">
        <f t="shared" si="49"/>
        <v>10</v>
      </c>
      <c r="B126" s="185" t="s">
        <v>32</v>
      </c>
      <c r="C126" s="248" t="str">
        <f>+Scenarioanalyse!D10</f>
        <v>Combinatie P/Q (3)</v>
      </c>
      <c r="D126" s="32">
        <f t="shared" ref="D126:D135" si="57">IF(T126="nee","",Q126)</f>
        <v>463636.36363636365</v>
      </c>
      <c r="E126" s="32">
        <f>+Scenarioanalyse!G10</f>
        <v>0</v>
      </c>
      <c r="F126" s="32">
        <f>IF(Scenarioanalyse!E10="nee","",IF(E126&lt;&gt;0,E126,D126))</f>
        <v>463636.36363636365</v>
      </c>
      <c r="G126" s="153">
        <f>IF(Scenarioanalyse!E10="nee","",ROUND(P126,2))</f>
        <v>397.73</v>
      </c>
      <c r="H126" s="153">
        <f>+Scenarioanalyse!I10</f>
        <v>0</v>
      </c>
      <c r="I126" s="254">
        <f t="shared" si="50"/>
        <v>397.73</v>
      </c>
      <c r="J126" s="206" t="str">
        <f t="shared" si="51"/>
        <v>n.v.t.</v>
      </c>
      <c r="K126" s="332">
        <f t="shared" si="52"/>
        <v>488.6</v>
      </c>
      <c r="L126" s="433">
        <f t="shared" si="53"/>
        <v>79.546000000000006</v>
      </c>
      <c r="M126" s="152" t="str">
        <f t="shared" si="54"/>
        <v/>
      </c>
      <c r="N126" s="220">
        <f t="shared" si="47"/>
        <v>10</v>
      </c>
      <c r="O126" s="249">
        <f t="shared" si="55"/>
        <v>0.79545454545454541</v>
      </c>
      <c r="P126" s="313">
        <f t="shared" si="48"/>
        <v>397.72727272727269</v>
      </c>
      <c r="Q126" s="312">
        <f t="shared" si="56"/>
        <v>463636.36363636365</v>
      </c>
      <c r="R126" s="432">
        <f t="shared" ref="R126:R135" si="58">+R125-$S$118</f>
        <v>22.727272727272734</v>
      </c>
      <c r="S126" s="34">
        <v>0.74007330032723806</v>
      </c>
      <c r="T126" t="str">
        <f>Scenarioanalyse!E10</f>
        <v>ja</v>
      </c>
      <c r="V126" s="268">
        <f t="shared" si="45"/>
        <v>52.000000000000036</v>
      </c>
      <c r="W126" s="269">
        <f t="shared" si="42"/>
        <v>0.52000000000000035</v>
      </c>
      <c r="X126" s="97">
        <f t="shared" si="46"/>
        <v>260.00000000000017</v>
      </c>
      <c r="Y126" s="118"/>
      <c r="Z126" s="124"/>
      <c r="AA126" s="205">
        <f t="shared" si="43"/>
        <v>260.00000000000017</v>
      </c>
      <c r="AB126" s="128"/>
      <c r="AC126" s="118"/>
      <c r="AD126" s="205">
        <f t="shared" si="44"/>
        <v>260</v>
      </c>
      <c r="AE126" s="138">
        <f t="shared" si="32"/>
        <v>396000</v>
      </c>
      <c r="AF126" s="138">
        <f t="shared" si="33"/>
        <v>396000</v>
      </c>
      <c r="AG126" s="138">
        <f t="shared" si="34"/>
        <v>396000</v>
      </c>
      <c r="AH126" s="118"/>
      <c r="AI126" s="118"/>
      <c r="AJ126" s="205">
        <f t="shared" si="35"/>
        <v>18</v>
      </c>
      <c r="AK126" s="205">
        <f t="shared" si="36"/>
        <v>28.000000000000004</v>
      </c>
      <c r="AL126" s="205">
        <f t="shared" si="37"/>
        <v>38</v>
      </c>
      <c r="AM126" s="205">
        <f t="shared" si="38"/>
        <v>48</v>
      </c>
      <c r="AN126" s="205">
        <f t="shared" si="39"/>
        <v>57.999999999999993</v>
      </c>
      <c r="AO126" s="205">
        <f t="shared" si="40"/>
        <v>68</v>
      </c>
      <c r="AP126" s="205">
        <f t="shared" si="41"/>
        <v>78</v>
      </c>
      <c r="AT126" s="385" t="s">
        <v>330</v>
      </c>
    </row>
    <row r="127" spans="1:46" ht="15" x14ac:dyDescent="0.25">
      <c r="A127" s="279">
        <f t="shared" si="49"/>
        <v>9</v>
      </c>
      <c r="B127" s="185" t="s">
        <v>33</v>
      </c>
      <c r="C127" s="248" t="str">
        <f>+Scenarioanalyse!D11</f>
        <v>Combinatie P/Q (4)</v>
      </c>
      <c r="D127" s="32">
        <f t="shared" si="57"/>
        <v>445454.54545454547</v>
      </c>
      <c r="E127" s="32">
        <f>+Scenarioanalyse!G11</f>
        <v>0</v>
      </c>
      <c r="F127" s="32">
        <f>IF(Scenarioanalyse!E11="nee","",IF(E127&lt;&gt;0,E127,D127))</f>
        <v>445454.54545454547</v>
      </c>
      <c r="G127" s="153">
        <f>IF(Scenarioanalyse!E11="nee","",ROUND(P127,2))</f>
        <v>359.09</v>
      </c>
      <c r="H127" s="153">
        <f>+Scenarioanalyse!I11</f>
        <v>0</v>
      </c>
      <c r="I127" s="254">
        <f t="shared" si="50"/>
        <v>359.09</v>
      </c>
      <c r="J127" s="206" t="str">
        <f t="shared" si="51"/>
        <v>n.v.t.</v>
      </c>
      <c r="K127" s="332">
        <f t="shared" si="52"/>
        <v>495.5</v>
      </c>
      <c r="L127" s="433">
        <f t="shared" si="53"/>
        <v>71.817999999999998</v>
      </c>
      <c r="M127" s="152" t="str">
        <f t="shared" si="54"/>
        <v/>
      </c>
      <c r="N127" s="220">
        <f t="shared" si="47"/>
        <v>9</v>
      </c>
      <c r="O127" s="249">
        <f t="shared" si="55"/>
        <v>0.71818181818181814</v>
      </c>
      <c r="P127" s="313">
        <f t="shared" si="48"/>
        <v>359.09090909090907</v>
      </c>
      <c r="Q127" s="312">
        <f t="shared" si="56"/>
        <v>445454.54545454547</v>
      </c>
      <c r="R127" s="432">
        <f t="shared" si="58"/>
        <v>-15.909090909090899</v>
      </c>
      <c r="S127" s="34">
        <v>0.62022026576177591</v>
      </c>
      <c r="T127" t="str">
        <f>Scenarioanalyse!E11</f>
        <v>ja</v>
      </c>
      <c r="V127" s="268">
        <f t="shared" si="45"/>
        <v>52.500000000000036</v>
      </c>
      <c r="W127" s="269">
        <f t="shared" si="42"/>
        <v>0.52500000000000036</v>
      </c>
      <c r="X127" s="97">
        <f t="shared" si="46"/>
        <v>262.50000000000017</v>
      </c>
      <c r="Y127" s="118"/>
      <c r="Z127" s="124"/>
      <c r="AA127" s="205">
        <f t="shared" si="43"/>
        <v>262.50000000000017</v>
      </c>
      <c r="AB127" s="128"/>
      <c r="AC127" s="118"/>
      <c r="AD127" s="205">
        <f t="shared" si="44"/>
        <v>262.5</v>
      </c>
      <c r="AE127" s="138">
        <f t="shared" si="32"/>
        <v>395000</v>
      </c>
      <c r="AF127" s="138">
        <f t="shared" si="33"/>
        <v>395000</v>
      </c>
      <c r="AG127" s="138">
        <f t="shared" si="34"/>
        <v>395000</v>
      </c>
      <c r="AH127" s="118"/>
      <c r="AI127" s="118"/>
      <c r="AJ127" s="205">
        <f t="shared" si="35"/>
        <v>17.5</v>
      </c>
      <c r="AK127" s="205">
        <f t="shared" si="36"/>
        <v>27.500000000000004</v>
      </c>
      <c r="AL127" s="205">
        <f t="shared" si="37"/>
        <v>37.5</v>
      </c>
      <c r="AM127" s="205">
        <f t="shared" si="38"/>
        <v>47.5</v>
      </c>
      <c r="AN127" s="205">
        <f t="shared" si="39"/>
        <v>57.499999999999993</v>
      </c>
      <c r="AO127" s="205">
        <f t="shared" si="40"/>
        <v>67.5</v>
      </c>
      <c r="AP127" s="205">
        <f t="shared" si="41"/>
        <v>77.5</v>
      </c>
      <c r="AT127" s="34" t="s">
        <v>346</v>
      </c>
    </row>
    <row r="128" spans="1:46" ht="15" x14ac:dyDescent="0.25">
      <c r="A128" s="279">
        <f t="shared" si="49"/>
        <v>8</v>
      </c>
      <c r="B128" s="185" t="s">
        <v>34</v>
      </c>
      <c r="C128" s="248" t="str">
        <f>+Scenarioanalyse!D12</f>
        <v>Combinatie P/Q (5)</v>
      </c>
      <c r="D128" s="32">
        <f t="shared" si="57"/>
        <v>427272.72727272729</v>
      </c>
      <c r="E128" s="32">
        <f>+Scenarioanalyse!G12</f>
        <v>0</v>
      </c>
      <c r="F128" s="32">
        <f>IF(Scenarioanalyse!E12="nee","",IF(E128&lt;&gt;0,E128,D128))</f>
        <v>427272.72727272729</v>
      </c>
      <c r="G128" s="153">
        <f>IF(Scenarioanalyse!E12="nee","",ROUND(P128,2))</f>
        <v>320.45</v>
      </c>
      <c r="H128" s="153">
        <f>+Scenarioanalyse!I12</f>
        <v>0</v>
      </c>
      <c r="I128" s="254">
        <f t="shared" si="50"/>
        <v>320.45</v>
      </c>
      <c r="J128" s="206" t="str">
        <f t="shared" si="51"/>
        <v>n.v.t.</v>
      </c>
      <c r="K128" s="332">
        <f t="shared" si="52"/>
        <v>502.3</v>
      </c>
      <c r="L128" s="433">
        <f t="shared" si="53"/>
        <v>64.09</v>
      </c>
      <c r="M128" s="152" t="str">
        <f t="shared" si="54"/>
        <v/>
      </c>
      <c r="N128" s="220">
        <f t="shared" si="47"/>
        <v>8</v>
      </c>
      <c r="O128" s="249">
        <f t="shared" si="55"/>
        <v>0.64090909090909087</v>
      </c>
      <c r="P128" s="313">
        <f t="shared" si="48"/>
        <v>320.45454545454544</v>
      </c>
      <c r="Q128" s="312">
        <f t="shared" si="56"/>
        <v>427272.72727272729</v>
      </c>
      <c r="R128" s="432">
        <f t="shared" si="58"/>
        <v>-54.545454545454533</v>
      </c>
      <c r="S128" s="34">
        <v>0.50764256786565998</v>
      </c>
      <c r="T128" t="str">
        <f>Scenarioanalyse!E12</f>
        <v>ja</v>
      </c>
      <c r="V128" s="268">
        <f t="shared" si="45"/>
        <v>53.000000000000036</v>
      </c>
      <c r="W128" s="269">
        <f t="shared" si="42"/>
        <v>0.53000000000000036</v>
      </c>
      <c r="X128" s="97">
        <f t="shared" si="46"/>
        <v>265.00000000000017</v>
      </c>
      <c r="Y128" s="118"/>
      <c r="Z128" s="124"/>
      <c r="AA128" s="205">
        <f t="shared" si="43"/>
        <v>265.00000000000017</v>
      </c>
      <c r="AB128" s="128"/>
      <c r="AC128" s="118"/>
      <c r="AD128" s="205">
        <f t="shared" si="44"/>
        <v>265</v>
      </c>
      <c r="AE128" s="138">
        <f t="shared" si="32"/>
        <v>394000</v>
      </c>
      <c r="AF128" s="138">
        <f t="shared" si="33"/>
        <v>394000</v>
      </c>
      <c r="AG128" s="138">
        <f t="shared" si="34"/>
        <v>394000</v>
      </c>
      <c r="AH128" s="118"/>
      <c r="AI128" s="118"/>
      <c r="AJ128" s="205">
        <f t="shared" si="35"/>
        <v>17</v>
      </c>
      <c r="AK128" s="205">
        <f t="shared" si="36"/>
        <v>27</v>
      </c>
      <c r="AL128" s="205">
        <f t="shared" si="37"/>
        <v>37</v>
      </c>
      <c r="AM128" s="205">
        <f t="shared" si="38"/>
        <v>47</v>
      </c>
      <c r="AN128" s="205">
        <f t="shared" si="39"/>
        <v>56.999999999999993</v>
      </c>
      <c r="AO128" s="205">
        <f t="shared" si="40"/>
        <v>67</v>
      </c>
      <c r="AP128" s="205">
        <f t="shared" si="41"/>
        <v>77</v>
      </c>
    </row>
    <row r="129" spans="1:46" ht="15" x14ac:dyDescent="0.25">
      <c r="A129" s="279">
        <f t="shared" si="49"/>
        <v>7</v>
      </c>
      <c r="B129" s="185" t="s">
        <v>35</v>
      </c>
      <c r="C129" s="248" t="str">
        <f>+Scenarioanalyse!D13</f>
        <v>Combinatie P/Q (6)</v>
      </c>
      <c r="D129" s="32">
        <f t="shared" si="57"/>
        <v>409090.90909090912</v>
      </c>
      <c r="E129" s="32">
        <f>+Scenarioanalyse!G13</f>
        <v>0</v>
      </c>
      <c r="F129" s="32">
        <f>IF(Scenarioanalyse!E13="nee","",IF(E129&lt;&gt;0,E129,D129))</f>
        <v>409090.90909090912</v>
      </c>
      <c r="G129" s="153">
        <f>IF(Scenarioanalyse!E13="nee","",ROUND(P129,2))</f>
        <v>281.82</v>
      </c>
      <c r="H129" s="153">
        <f>+Scenarioanalyse!I13</f>
        <v>0</v>
      </c>
      <c r="I129" s="254">
        <f t="shared" si="50"/>
        <v>281.82</v>
      </c>
      <c r="J129" s="206" t="str">
        <f t="shared" si="51"/>
        <v>n.v.t.</v>
      </c>
      <c r="K129" s="332">
        <f t="shared" si="52"/>
        <v>509.1</v>
      </c>
      <c r="L129" s="433">
        <f t="shared" si="53"/>
        <v>56.364000000000004</v>
      </c>
      <c r="M129" s="152" t="str">
        <f t="shared" si="54"/>
        <v/>
      </c>
      <c r="N129" s="220">
        <f t="shared" si="47"/>
        <v>7</v>
      </c>
      <c r="O129" s="249">
        <f t="shared" si="55"/>
        <v>0.5636363636363636</v>
      </c>
      <c r="P129" s="313">
        <f t="shared" si="48"/>
        <v>281.81818181818181</v>
      </c>
      <c r="Q129" s="312">
        <f t="shared" si="56"/>
        <v>409090.90909090912</v>
      </c>
      <c r="R129" s="432">
        <f t="shared" si="58"/>
        <v>-93.181818181818159</v>
      </c>
      <c r="S129" s="34">
        <v>0.40284487956872561</v>
      </c>
      <c r="T129" t="str">
        <f>Scenarioanalyse!E13</f>
        <v>ja</v>
      </c>
      <c r="V129" s="268">
        <f t="shared" si="45"/>
        <v>53.500000000000036</v>
      </c>
      <c r="W129" s="269">
        <f t="shared" si="42"/>
        <v>0.53500000000000036</v>
      </c>
      <c r="X129" s="97">
        <f t="shared" si="46"/>
        <v>267.50000000000017</v>
      </c>
      <c r="Y129" s="118"/>
      <c r="Z129" s="124"/>
      <c r="AA129" s="205">
        <f t="shared" si="43"/>
        <v>267.50000000000017</v>
      </c>
      <c r="AB129" s="128"/>
      <c r="AC129" s="118"/>
      <c r="AD129" s="205">
        <f t="shared" si="44"/>
        <v>267.5</v>
      </c>
      <c r="AE129" s="138">
        <f t="shared" si="32"/>
        <v>393000</v>
      </c>
      <c r="AF129" s="138">
        <f t="shared" si="33"/>
        <v>393000</v>
      </c>
      <c r="AG129" s="138">
        <f t="shared" si="34"/>
        <v>393000</v>
      </c>
      <c r="AH129" s="118"/>
      <c r="AI129" s="118"/>
      <c r="AJ129" s="205">
        <f t="shared" si="35"/>
        <v>16.5</v>
      </c>
      <c r="AK129" s="205">
        <f t="shared" si="36"/>
        <v>26.5</v>
      </c>
      <c r="AL129" s="205">
        <f t="shared" si="37"/>
        <v>36.5</v>
      </c>
      <c r="AM129" s="205">
        <f t="shared" si="38"/>
        <v>46.5</v>
      </c>
      <c r="AN129" s="205">
        <f t="shared" si="39"/>
        <v>56.499999999999993</v>
      </c>
      <c r="AO129" s="205">
        <f t="shared" si="40"/>
        <v>66.5</v>
      </c>
      <c r="AP129" s="205">
        <f t="shared" si="41"/>
        <v>76.5</v>
      </c>
      <c r="AT129" s="34" t="str">
        <f>"Bij "&amp;AX3&amp;" punten voor de Qwensen en een P/Q-verhouding van: "&amp;AX7&amp;" (P) / "&amp;AX6&amp;" (Q), geeft dit een gebroken getal voor het aantal punten voor Prijs: "&amp;BM11&amp;" punten."</f>
        <v>Bij 500 punten voor de Qwensen en een P/Q-verhouding van: 50% (P) / 50% (Q), geeft dit een gebroken getal voor het aantal punten voor Prijs: 500,00 punten.</v>
      </c>
    </row>
    <row r="130" spans="1:46" ht="15" x14ac:dyDescent="0.25">
      <c r="A130" s="279">
        <f t="shared" si="49"/>
        <v>6</v>
      </c>
      <c r="B130" s="185" t="s">
        <v>36</v>
      </c>
      <c r="C130" s="248" t="str">
        <f>+Scenarioanalyse!D14</f>
        <v>Combinatie P/Q (7)</v>
      </c>
      <c r="D130" s="32">
        <f t="shared" si="57"/>
        <v>390909.09090909094</v>
      </c>
      <c r="E130" s="32">
        <f>+Scenarioanalyse!G14</f>
        <v>0</v>
      </c>
      <c r="F130" s="32">
        <f>IF(Scenarioanalyse!E14="nee","",IF(E130&lt;&gt;0,E130,D130))</f>
        <v>390909.09090909094</v>
      </c>
      <c r="G130" s="153">
        <f>IF(Scenarioanalyse!E14="nee","",ROUND(P130,2))</f>
        <v>243.18</v>
      </c>
      <c r="H130" s="153">
        <f>+Scenarioanalyse!I14</f>
        <v>0</v>
      </c>
      <c r="I130" s="254">
        <f t="shared" si="50"/>
        <v>243.18</v>
      </c>
      <c r="J130" s="206" t="str">
        <f t="shared" si="51"/>
        <v>n.v.t.</v>
      </c>
      <c r="K130" s="332">
        <f t="shared" si="52"/>
        <v>515.9</v>
      </c>
      <c r="L130" s="433">
        <f t="shared" si="53"/>
        <v>48.636000000000003</v>
      </c>
      <c r="M130" s="152" t="str">
        <f t="shared" si="54"/>
        <v/>
      </c>
      <c r="N130" s="220">
        <f t="shared" si="47"/>
        <v>6</v>
      </c>
      <c r="O130" s="249">
        <f t="shared" si="55"/>
        <v>0.48636363636363633</v>
      </c>
      <c r="P130" s="313">
        <f t="shared" si="48"/>
        <v>243.18181818181816</v>
      </c>
      <c r="Q130" s="312">
        <f t="shared" si="56"/>
        <v>390909.09090909094</v>
      </c>
      <c r="R130" s="432">
        <f t="shared" si="58"/>
        <v>-131.81818181818178</v>
      </c>
      <c r="S130" s="34">
        <v>0.30645448293783761</v>
      </c>
      <c r="T130" t="str">
        <f>Scenarioanalyse!E14</f>
        <v>ja</v>
      </c>
      <c r="V130" s="268">
        <f t="shared" si="45"/>
        <v>54.000000000000036</v>
      </c>
      <c r="W130" s="269">
        <f t="shared" si="42"/>
        <v>0.54000000000000037</v>
      </c>
      <c r="X130" s="97">
        <f t="shared" si="46"/>
        <v>270.00000000000017</v>
      </c>
      <c r="Y130" s="118"/>
      <c r="Z130" s="124"/>
      <c r="AA130" s="205">
        <f t="shared" si="43"/>
        <v>270.00000000000017</v>
      </c>
      <c r="AB130" s="128"/>
      <c r="AC130" s="118"/>
      <c r="AD130" s="205">
        <f t="shared" si="44"/>
        <v>270</v>
      </c>
      <c r="AE130" s="138">
        <f t="shared" si="32"/>
        <v>392000</v>
      </c>
      <c r="AF130" s="138">
        <f t="shared" si="33"/>
        <v>392000</v>
      </c>
      <c r="AG130" s="138">
        <f t="shared" si="34"/>
        <v>392000</v>
      </c>
      <c r="AH130" s="118"/>
      <c r="AI130" s="118"/>
      <c r="AJ130" s="205">
        <f t="shared" si="35"/>
        <v>16</v>
      </c>
      <c r="AK130" s="205">
        <f t="shared" si="36"/>
        <v>26</v>
      </c>
      <c r="AL130" s="205">
        <f t="shared" si="37"/>
        <v>36</v>
      </c>
      <c r="AM130" s="205">
        <f t="shared" si="38"/>
        <v>46</v>
      </c>
      <c r="AN130" s="205">
        <f t="shared" si="39"/>
        <v>56.000000000000007</v>
      </c>
      <c r="AO130" s="205">
        <f t="shared" si="40"/>
        <v>66</v>
      </c>
      <c r="AP130" s="205">
        <f t="shared" si="41"/>
        <v>76</v>
      </c>
    </row>
    <row r="131" spans="1:46" ht="15" x14ac:dyDescent="0.25">
      <c r="A131" s="279">
        <f t="shared" si="49"/>
        <v>5</v>
      </c>
      <c r="B131" s="185" t="s">
        <v>37</v>
      </c>
      <c r="C131" s="248" t="str">
        <f>+Scenarioanalyse!D15</f>
        <v>Combinatie P/Q (8)</v>
      </c>
      <c r="D131" s="32">
        <f t="shared" si="57"/>
        <v>372727.27272727276</v>
      </c>
      <c r="E131" s="32">
        <f>+Scenarioanalyse!G15</f>
        <v>0</v>
      </c>
      <c r="F131" s="32">
        <f>IF(Scenarioanalyse!E15="nee","",IF(E131&lt;&gt;0,E131,D131))</f>
        <v>372727.27272727276</v>
      </c>
      <c r="G131" s="153">
        <f>IF(Scenarioanalyse!E15="nee","",ROUND(P131,2))</f>
        <v>204.55</v>
      </c>
      <c r="H131" s="153">
        <f>+Scenarioanalyse!I15</f>
        <v>0</v>
      </c>
      <c r="I131" s="254">
        <f t="shared" si="50"/>
        <v>204.55</v>
      </c>
      <c r="J131" s="206" t="str">
        <f t="shared" si="51"/>
        <v>n.v.t.</v>
      </c>
      <c r="K131" s="332">
        <f t="shared" si="52"/>
        <v>522.70000000000005</v>
      </c>
      <c r="L131" s="433">
        <f t="shared" si="53"/>
        <v>40.910000000000004</v>
      </c>
      <c r="M131" s="152" t="str">
        <f t="shared" si="54"/>
        <v/>
      </c>
      <c r="N131" s="220">
        <f t="shared" si="47"/>
        <v>5</v>
      </c>
      <c r="O131" s="249">
        <f t="shared" si="55"/>
        <v>0.40909090909090906</v>
      </c>
      <c r="P131" s="313">
        <f t="shared" si="48"/>
        <v>204.54545454545453</v>
      </c>
      <c r="Q131" s="312">
        <f t="shared" si="56"/>
        <v>372727.27272727276</v>
      </c>
      <c r="R131" s="432">
        <f t="shared" si="58"/>
        <v>-170.45454545454541</v>
      </c>
      <c r="S131" s="34">
        <v>0.21928097787473758</v>
      </c>
      <c r="T131" t="str">
        <f>Scenarioanalyse!E15</f>
        <v>ja</v>
      </c>
      <c r="V131" s="268">
        <f t="shared" si="45"/>
        <v>54.500000000000036</v>
      </c>
      <c r="W131" s="269">
        <f t="shared" si="42"/>
        <v>0.54500000000000037</v>
      </c>
      <c r="X131" s="97">
        <f t="shared" si="46"/>
        <v>272.50000000000017</v>
      </c>
      <c r="Y131" s="118"/>
      <c r="Z131" s="124"/>
      <c r="AA131" s="205">
        <f t="shared" si="43"/>
        <v>272.50000000000017</v>
      </c>
      <c r="AB131" s="128"/>
      <c r="AC131" s="118"/>
      <c r="AD131" s="205">
        <f t="shared" si="44"/>
        <v>272.5</v>
      </c>
      <c r="AE131" s="138">
        <f t="shared" si="32"/>
        <v>391000</v>
      </c>
      <c r="AF131" s="138">
        <f t="shared" si="33"/>
        <v>391000</v>
      </c>
      <c r="AG131" s="138">
        <f t="shared" si="34"/>
        <v>391000</v>
      </c>
      <c r="AH131" s="118"/>
      <c r="AI131" s="118"/>
      <c r="AJ131" s="205">
        <f t="shared" si="35"/>
        <v>15.5</v>
      </c>
      <c r="AK131" s="205">
        <f t="shared" si="36"/>
        <v>25.5</v>
      </c>
      <c r="AL131" s="205">
        <f t="shared" si="37"/>
        <v>35.5</v>
      </c>
      <c r="AM131" s="205">
        <f t="shared" si="38"/>
        <v>45.5</v>
      </c>
      <c r="AN131" s="205">
        <f t="shared" si="39"/>
        <v>55.500000000000007</v>
      </c>
      <c r="AO131" s="205">
        <f t="shared" si="40"/>
        <v>65.5</v>
      </c>
      <c r="AP131" s="205">
        <f t="shared" si="41"/>
        <v>75.5</v>
      </c>
      <c r="AT131" s="34" t="str">
        <f>"Dit kan eenvoudig worden door het totaal punten aantal van de wensen bij stap 1 aan te passen naar bijvoorbeeld: "&amp;AW6*1000&amp;" punten. "</f>
        <v xml:space="preserve">Dit kan eenvoudig worden door het totaal punten aantal van de wensen bij stap 1 aan te passen naar bijvoorbeeld: 500 punten. </v>
      </c>
    </row>
    <row r="132" spans="1:46" ht="15" x14ac:dyDescent="0.25">
      <c r="A132" s="279">
        <f t="shared" si="49"/>
        <v>4</v>
      </c>
      <c r="B132" s="185" t="s">
        <v>38</v>
      </c>
      <c r="C132" s="248" t="str">
        <f>+Scenarioanalyse!D16</f>
        <v>Combinatie P/Q (9)</v>
      </c>
      <c r="D132" s="32">
        <f t="shared" si="57"/>
        <v>354545.45454545459</v>
      </c>
      <c r="E132" s="32">
        <f>+Scenarioanalyse!G16</f>
        <v>0</v>
      </c>
      <c r="F132" s="32">
        <f>IF(Scenarioanalyse!E16="nee","",IF(E132&lt;&gt;0,E132,D132))</f>
        <v>354545.45454545459</v>
      </c>
      <c r="G132" s="153">
        <f>IF(Scenarioanalyse!E16="nee","",ROUND(P132,2))</f>
        <v>165.91</v>
      </c>
      <c r="H132" s="153">
        <f>+Scenarioanalyse!I16</f>
        <v>0</v>
      </c>
      <c r="I132" s="254">
        <f t="shared" si="50"/>
        <v>165.91</v>
      </c>
      <c r="J132" s="206" t="str">
        <f t="shared" si="51"/>
        <v>n.v.t.</v>
      </c>
      <c r="K132" s="332">
        <f t="shared" si="52"/>
        <v>529.5</v>
      </c>
      <c r="L132" s="433">
        <f t="shared" si="53"/>
        <v>33.182000000000002</v>
      </c>
      <c r="M132" s="152" t="str">
        <f t="shared" si="54"/>
        <v/>
      </c>
      <c r="N132" s="220">
        <f t="shared" si="47"/>
        <v>4</v>
      </c>
      <c r="O132" s="249">
        <f t="shared" si="55"/>
        <v>0.33181818181818179</v>
      </c>
      <c r="P132" s="313">
        <f t="shared" si="48"/>
        <v>165.90909090909091</v>
      </c>
      <c r="Q132" s="312">
        <f t="shared" si="56"/>
        <v>354545.45454545459</v>
      </c>
      <c r="R132" s="432">
        <f t="shared" si="58"/>
        <v>-209.09090909090904</v>
      </c>
      <c r="S132" s="34">
        <v>0.14242717305466213</v>
      </c>
      <c r="T132" t="str">
        <f>Scenarioanalyse!E16</f>
        <v>ja</v>
      </c>
      <c r="V132" s="268">
        <f t="shared" si="45"/>
        <v>55.000000000000036</v>
      </c>
      <c r="W132" s="269">
        <f t="shared" si="42"/>
        <v>0.55000000000000038</v>
      </c>
      <c r="X132" s="97">
        <f t="shared" si="46"/>
        <v>275.00000000000017</v>
      </c>
      <c r="Y132" s="118"/>
      <c r="Z132" s="124"/>
      <c r="AA132" s="205">
        <f t="shared" si="43"/>
        <v>275.00000000000017</v>
      </c>
      <c r="AB132" s="128"/>
      <c r="AC132" s="118"/>
      <c r="AD132" s="205">
        <f t="shared" si="44"/>
        <v>275</v>
      </c>
      <c r="AE132" s="138">
        <f t="shared" si="32"/>
        <v>390000</v>
      </c>
      <c r="AF132" s="138">
        <f t="shared" si="33"/>
        <v>390000</v>
      </c>
      <c r="AG132" s="138">
        <f t="shared" si="34"/>
        <v>390000</v>
      </c>
      <c r="AH132" s="118"/>
      <c r="AI132" s="118"/>
      <c r="AJ132" s="205">
        <f t="shared" si="35"/>
        <v>15</v>
      </c>
      <c r="AK132" s="205">
        <f t="shared" si="36"/>
        <v>25</v>
      </c>
      <c r="AL132" s="205">
        <f t="shared" si="37"/>
        <v>35</v>
      </c>
      <c r="AM132" s="205">
        <f t="shared" si="38"/>
        <v>45</v>
      </c>
      <c r="AN132" s="205">
        <f t="shared" si="39"/>
        <v>55.000000000000007</v>
      </c>
      <c r="AO132" s="205">
        <f t="shared" si="40"/>
        <v>65</v>
      </c>
      <c r="AP132" s="205">
        <f t="shared" si="41"/>
        <v>75</v>
      </c>
    </row>
    <row r="133" spans="1:46" ht="15" x14ac:dyDescent="0.25">
      <c r="A133" s="279">
        <f t="shared" si="49"/>
        <v>3</v>
      </c>
      <c r="B133" s="185" t="s">
        <v>39</v>
      </c>
      <c r="C133" s="248" t="str">
        <f>+Scenarioanalyse!D17</f>
        <v>Combinatie P/Q (10)</v>
      </c>
      <c r="D133" s="32">
        <f t="shared" si="57"/>
        <v>336363.63636363641</v>
      </c>
      <c r="E133" s="32">
        <f>+Scenarioanalyse!G17</f>
        <v>0</v>
      </c>
      <c r="F133" s="32">
        <f>IF(Scenarioanalyse!E17="nee","",IF(E133&lt;&gt;0,E133,D133))</f>
        <v>336363.63636363641</v>
      </c>
      <c r="G133" s="153">
        <f>IF(Scenarioanalyse!E17="nee","",ROUND(P133,2))</f>
        <v>127.27</v>
      </c>
      <c r="H133" s="153">
        <f>+Scenarioanalyse!I17</f>
        <v>0</v>
      </c>
      <c r="I133" s="254">
        <f t="shared" si="50"/>
        <v>127.27</v>
      </c>
      <c r="J133" s="206" t="str">
        <f t="shared" si="51"/>
        <v>n.v.t.</v>
      </c>
      <c r="K133" s="332">
        <f t="shared" si="52"/>
        <v>536.4</v>
      </c>
      <c r="L133" s="433">
        <f t="shared" si="53"/>
        <v>25.454000000000001</v>
      </c>
      <c r="M133" s="152" t="str">
        <f t="shared" si="54"/>
        <v/>
      </c>
      <c r="N133" s="220">
        <f t="shared" si="47"/>
        <v>3</v>
      </c>
      <c r="O133" s="249">
        <f t="shared" si="55"/>
        <v>0.25454545454545452</v>
      </c>
      <c r="P133" s="313">
        <f t="shared" si="48"/>
        <v>127.27272727272727</v>
      </c>
      <c r="Q133" s="312">
        <f t="shared" si="56"/>
        <v>336363.63636363641</v>
      </c>
      <c r="R133" s="432">
        <f t="shared" si="58"/>
        <v>-247.72727272727266</v>
      </c>
      <c r="S133" s="34">
        <v>7.75275332202221E-2</v>
      </c>
      <c r="T133" t="str">
        <f>Scenarioanalyse!E17</f>
        <v>ja</v>
      </c>
      <c r="V133" s="268">
        <f t="shared" si="45"/>
        <v>55.500000000000036</v>
      </c>
      <c r="W133" s="269">
        <f t="shared" si="42"/>
        <v>0.55500000000000038</v>
      </c>
      <c r="X133" s="97">
        <f t="shared" si="46"/>
        <v>277.50000000000017</v>
      </c>
      <c r="Y133" s="118"/>
      <c r="Z133" s="124"/>
      <c r="AA133" s="205">
        <f t="shared" si="43"/>
        <v>277.50000000000017</v>
      </c>
      <c r="AB133" s="128"/>
      <c r="AC133" s="118"/>
      <c r="AD133" s="205">
        <f t="shared" si="44"/>
        <v>277.5</v>
      </c>
      <c r="AE133" s="138">
        <f t="shared" si="32"/>
        <v>389000</v>
      </c>
      <c r="AF133" s="138">
        <f t="shared" si="33"/>
        <v>389000</v>
      </c>
      <c r="AG133" s="138">
        <f t="shared" si="34"/>
        <v>389000</v>
      </c>
      <c r="AH133" s="118"/>
      <c r="AI133" s="118"/>
      <c r="AJ133" s="205">
        <f t="shared" si="35"/>
        <v>14.499999999999998</v>
      </c>
      <c r="AK133" s="205">
        <f t="shared" si="36"/>
        <v>24.5</v>
      </c>
      <c r="AL133" s="205">
        <f t="shared" si="37"/>
        <v>34.5</v>
      </c>
      <c r="AM133" s="205">
        <f t="shared" si="38"/>
        <v>44.5</v>
      </c>
      <c r="AN133" s="205">
        <f t="shared" si="39"/>
        <v>54.500000000000007</v>
      </c>
      <c r="AO133" s="205">
        <f t="shared" si="40"/>
        <v>64.5</v>
      </c>
      <c r="AP133" s="205">
        <f t="shared" si="41"/>
        <v>74.5</v>
      </c>
      <c r="AT133" s="34" t="s">
        <v>320</v>
      </c>
    </row>
    <row r="134" spans="1:46" ht="15" x14ac:dyDescent="0.25">
      <c r="A134" s="279">
        <f t="shared" si="49"/>
        <v>2</v>
      </c>
      <c r="B134" s="185" t="s">
        <v>40</v>
      </c>
      <c r="C134" s="248" t="str">
        <f>+Scenarioanalyse!D18</f>
        <v>Combinatie P/Q (11)</v>
      </c>
      <c r="D134" s="32">
        <f t="shared" si="57"/>
        <v>318181.81818181823</v>
      </c>
      <c r="E134" s="32">
        <f>+Scenarioanalyse!G18</f>
        <v>0</v>
      </c>
      <c r="F134" s="32">
        <f>IF(Scenarioanalyse!E18="nee","",IF(E134&lt;&gt;0,E134,D134))</f>
        <v>318181.81818181823</v>
      </c>
      <c r="G134" s="153">
        <f>IF(Scenarioanalyse!E18="nee","",ROUND(P134,2))</f>
        <v>88.64</v>
      </c>
      <c r="H134" s="153">
        <f>+Scenarioanalyse!I18</f>
        <v>0</v>
      </c>
      <c r="I134" s="254">
        <f t="shared" si="50"/>
        <v>88.64</v>
      </c>
      <c r="J134" s="206" t="str">
        <f t="shared" si="51"/>
        <v>n.v.t.</v>
      </c>
      <c r="K134" s="332">
        <f t="shared" si="52"/>
        <v>543.20000000000005</v>
      </c>
      <c r="L134" s="433">
        <f t="shared" si="53"/>
        <v>17.728000000000002</v>
      </c>
      <c r="M134" s="152" t="str">
        <f t="shared" si="54"/>
        <v/>
      </c>
      <c r="N134" s="220">
        <f t="shared" si="47"/>
        <v>2</v>
      </c>
      <c r="O134" s="249">
        <f t="shared" si="55"/>
        <v>0.17727272727272725</v>
      </c>
      <c r="P134" s="313">
        <f t="shared" si="48"/>
        <v>88.636363636363626</v>
      </c>
      <c r="Q134" s="312">
        <f t="shared" si="56"/>
        <v>318181.81818181823</v>
      </c>
      <c r="R134" s="432">
        <f t="shared" si="58"/>
        <v>-286.36363636363632</v>
      </c>
      <c r="S134" s="34">
        <v>2.7410122234342561E-2</v>
      </c>
      <c r="T134" t="str">
        <f>Scenarioanalyse!E18</f>
        <v>ja</v>
      </c>
      <c r="V134" s="268">
        <f t="shared" si="45"/>
        <v>56.000000000000036</v>
      </c>
      <c r="W134" s="269">
        <f t="shared" si="42"/>
        <v>0.56000000000000039</v>
      </c>
      <c r="X134" s="97">
        <f t="shared" si="46"/>
        <v>280.00000000000017</v>
      </c>
      <c r="Y134" s="118"/>
      <c r="Z134" s="124"/>
      <c r="AA134" s="205">
        <f t="shared" si="43"/>
        <v>280.00000000000017</v>
      </c>
      <c r="AB134" s="128"/>
      <c r="AC134" s="118"/>
      <c r="AD134" s="205">
        <f t="shared" si="44"/>
        <v>280</v>
      </c>
      <c r="AE134" s="138">
        <f t="shared" si="32"/>
        <v>388000</v>
      </c>
      <c r="AF134" s="138">
        <f t="shared" si="33"/>
        <v>388000</v>
      </c>
      <c r="AG134" s="138">
        <f t="shared" si="34"/>
        <v>388000</v>
      </c>
      <c r="AH134" s="118"/>
      <c r="AI134" s="118"/>
      <c r="AJ134" s="205">
        <f t="shared" si="35"/>
        <v>14.000000000000002</v>
      </c>
      <c r="AK134" s="205">
        <f t="shared" si="36"/>
        <v>24</v>
      </c>
      <c r="AL134" s="205">
        <f t="shared" si="37"/>
        <v>34</v>
      </c>
      <c r="AM134" s="205">
        <f t="shared" si="38"/>
        <v>44</v>
      </c>
      <c r="AN134" s="205">
        <f t="shared" si="39"/>
        <v>54</v>
      </c>
      <c r="AO134" s="205">
        <f t="shared" si="40"/>
        <v>64</v>
      </c>
      <c r="AP134" s="205">
        <f t="shared" si="41"/>
        <v>74</v>
      </c>
    </row>
    <row r="135" spans="1:46" ht="15" x14ac:dyDescent="0.25">
      <c r="A135" s="279">
        <f t="shared" si="49"/>
        <v>1</v>
      </c>
      <c r="B135" s="185" t="s">
        <v>41</v>
      </c>
      <c r="C135" s="248" t="str">
        <f>+Scenarioanalyse!D19</f>
        <v>Combinatie P/Q (12)</v>
      </c>
      <c r="D135" s="32">
        <f t="shared" si="57"/>
        <v>300000.00000000006</v>
      </c>
      <c r="E135" s="32">
        <f>+Scenarioanalyse!G19</f>
        <v>0</v>
      </c>
      <c r="F135" s="32">
        <f>IF(Scenarioanalyse!E19="nee","",IF(E135&lt;&gt;0,E135,D135))</f>
        <v>300000.00000000006</v>
      </c>
      <c r="G135" s="153">
        <f>IF(Scenarioanalyse!E19="nee","",ROUND(P135,2))</f>
        <v>50</v>
      </c>
      <c r="H135" s="153">
        <f>+Scenarioanalyse!I19</f>
        <v>0</v>
      </c>
      <c r="I135" s="254">
        <f t="shared" si="50"/>
        <v>50</v>
      </c>
      <c r="J135" s="206" t="str">
        <f t="shared" si="51"/>
        <v>n.v.t.</v>
      </c>
      <c r="K135" s="332">
        <f t="shared" si="52"/>
        <v>550</v>
      </c>
      <c r="L135" s="433">
        <f t="shared" si="53"/>
        <v>10</v>
      </c>
      <c r="M135" s="152" t="str">
        <f t="shared" si="54"/>
        <v/>
      </c>
      <c r="N135" s="220">
        <f t="shared" si="47"/>
        <v>1</v>
      </c>
      <c r="O135" s="249">
        <f t="shared" si="55"/>
        <v>9.9999999999999978E-2</v>
      </c>
      <c r="P135" s="313">
        <f t="shared" si="48"/>
        <v>49.999999999999986</v>
      </c>
      <c r="Q135" s="312">
        <f t="shared" si="56"/>
        <v>300000.00000000006</v>
      </c>
      <c r="R135" s="432">
        <f t="shared" si="58"/>
        <v>-324.99999999999994</v>
      </c>
      <c r="S135" s="34">
        <v>0</v>
      </c>
      <c r="T135" t="str">
        <f>Scenarioanalyse!E19</f>
        <v>ja</v>
      </c>
      <c r="V135" s="268">
        <f t="shared" si="45"/>
        <v>56.500000000000043</v>
      </c>
      <c r="W135" s="269">
        <f t="shared" si="42"/>
        <v>0.56500000000000039</v>
      </c>
      <c r="X135" s="97">
        <f t="shared" si="46"/>
        <v>282.50000000000017</v>
      </c>
      <c r="Y135" s="118"/>
      <c r="Z135" s="124"/>
      <c r="AA135" s="205">
        <f t="shared" si="43"/>
        <v>282.50000000000017</v>
      </c>
      <c r="AB135" s="128"/>
      <c r="AC135" s="118"/>
      <c r="AD135" s="205">
        <f t="shared" si="44"/>
        <v>282.5</v>
      </c>
      <c r="AE135" s="138">
        <f t="shared" si="32"/>
        <v>387000</v>
      </c>
      <c r="AF135" s="138">
        <f t="shared" si="33"/>
        <v>387000</v>
      </c>
      <c r="AG135" s="138">
        <f t="shared" si="34"/>
        <v>387000</v>
      </c>
      <c r="AH135" s="118"/>
      <c r="AI135" s="118"/>
      <c r="AJ135" s="205">
        <f t="shared" si="35"/>
        <v>13.5</v>
      </c>
      <c r="AK135" s="205">
        <f t="shared" si="36"/>
        <v>23.5</v>
      </c>
      <c r="AL135" s="205">
        <f t="shared" si="37"/>
        <v>33.5</v>
      </c>
      <c r="AM135" s="205">
        <f t="shared" si="38"/>
        <v>43.5</v>
      </c>
      <c r="AN135" s="205">
        <f t="shared" si="39"/>
        <v>53.5</v>
      </c>
      <c r="AO135" s="205">
        <f t="shared" si="40"/>
        <v>63.5</v>
      </c>
      <c r="AP135" s="205">
        <f t="shared" si="41"/>
        <v>73.5</v>
      </c>
      <c r="AT135" s="34" t="s">
        <v>6</v>
      </c>
    </row>
    <row r="136" spans="1:46" x14ac:dyDescent="0.2">
      <c r="B136" s="34" t="s">
        <v>6</v>
      </c>
      <c r="C136" s="153" t="s">
        <v>10</v>
      </c>
      <c r="D136" s="32">
        <f>IF(ISBLANK(Scenarioanalyse!D20),"",Scenarioanalyse!F20)</f>
        <v>400000</v>
      </c>
      <c r="F136" s="32">
        <f>IF(E136&lt;&gt;0,E136,D136)</f>
        <v>400000</v>
      </c>
      <c r="G136" s="153">
        <f>IF(Scenarioanalyse!E20="nee","",ROUND(P136,2))</f>
        <v>0</v>
      </c>
      <c r="I136" s="254">
        <f t="shared" si="50"/>
        <v>0</v>
      </c>
      <c r="J136" s="206" t="str">
        <f t="shared" si="51"/>
        <v>n.v.t.</v>
      </c>
      <c r="K136" s="332">
        <f>+H10</f>
        <v>500</v>
      </c>
      <c r="L136" s="433">
        <f t="shared" si="53"/>
        <v>0</v>
      </c>
      <c r="V136" s="268">
        <f t="shared" si="45"/>
        <v>57.000000000000043</v>
      </c>
      <c r="W136" s="269">
        <f t="shared" si="42"/>
        <v>0.5700000000000004</v>
      </c>
      <c r="X136" s="97">
        <f t="shared" si="46"/>
        <v>285.00000000000017</v>
      </c>
      <c r="Y136" s="118"/>
      <c r="Z136" s="124"/>
      <c r="AA136" s="205">
        <f t="shared" si="43"/>
        <v>285.00000000000017</v>
      </c>
      <c r="AB136" s="128"/>
      <c r="AC136" s="118"/>
      <c r="AD136" s="205">
        <f t="shared" si="44"/>
        <v>285</v>
      </c>
      <c r="AE136" s="138">
        <f t="shared" si="32"/>
        <v>386000</v>
      </c>
      <c r="AF136" s="138">
        <f t="shared" si="33"/>
        <v>386000</v>
      </c>
      <c r="AG136" s="138">
        <f t="shared" si="34"/>
        <v>386000</v>
      </c>
      <c r="AH136" s="118"/>
      <c r="AI136" s="118"/>
      <c r="AJ136" s="205">
        <f t="shared" si="35"/>
        <v>13</v>
      </c>
      <c r="AK136" s="205">
        <f t="shared" si="36"/>
        <v>23</v>
      </c>
      <c r="AL136" s="205">
        <f t="shared" si="37"/>
        <v>33</v>
      </c>
      <c r="AM136" s="205">
        <f t="shared" si="38"/>
        <v>43</v>
      </c>
      <c r="AN136" s="205">
        <f t="shared" si="39"/>
        <v>53</v>
      </c>
      <c r="AO136" s="205">
        <f t="shared" si="40"/>
        <v>63</v>
      </c>
      <c r="AP136" s="205">
        <f t="shared" si="41"/>
        <v>73</v>
      </c>
      <c r="AT136" s="385" t="s">
        <v>331</v>
      </c>
    </row>
    <row r="137" spans="1:46" x14ac:dyDescent="0.2">
      <c r="F137" s="24"/>
      <c r="J137" s="152" t="s">
        <v>183</v>
      </c>
      <c r="K137" s="152">
        <f>IF(COUNT(K124:K135)=0,"geen",COUNT(K124:K135))</f>
        <v>12</v>
      </c>
      <c r="V137" s="268">
        <f t="shared" si="45"/>
        <v>57.500000000000043</v>
      </c>
      <c r="W137" s="269">
        <f t="shared" si="42"/>
        <v>0.5750000000000004</v>
      </c>
      <c r="X137" s="97">
        <f t="shared" si="46"/>
        <v>287.50000000000023</v>
      </c>
      <c r="Y137" s="118"/>
      <c r="Z137" s="124"/>
      <c r="AA137" s="205">
        <f t="shared" si="43"/>
        <v>287.50000000000023</v>
      </c>
      <c r="AB137" s="128"/>
      <c r="AC137" s="118"/>
      <c r="AD137" s="205">
        <f t="shared" si="44"/>
        <v>287.5</v>
      </c>
      <c r="AE137" s="138">
        <f t="shared" si="32"/>
        <v>385000</v>
      </c>
      <c r="AF137" s="138">
        <f t="shared" si="33"/>
        <v>385000</v>
      </c>
      <c r="AG137" s="138">
        <f t="shared" si="34"/>
        <v>385000</v>
      </c>
      <c r="AH137" s="118"/>
      <c r="AI137" s="118"/>
      <c r="AJ137" s="205">
        <f t="shared" si="35"/>
        <v>12.5</v>
      </c>
      <c r="AK137" s="205">
        <f t="shared" si="36"/>
        <v>22.5</v>
      </c>
      <c r="AL137" s="205">
        <f t="shared" si="37"/>
        <v>32.5</v>
      </c>
      <c r="AM137" s="205">
        <f t="shared" si="38"/>
        <v>42.5</v>
      </c>
      <c r="AN137" s="205">
        <f t="shared" si="39"/>
        <v>52.5</v>
      </c>
      <c r="AO137" s="205">
        <f t="shared" si="40"/>
        <v>62.5</v>
      </c>
      <c r="AP137" s="205">
        <f t="shared" si="41"/>
        <v>72.5</v>
      </c>
    </row>
    <row r="138" spans="1:46" x14ac:dyDescent="0.2">
      <c r="E138" s="175"/>
      <c r="K138" s="34" t="s">
        <v>205</v>
      </c>
      <c r="L138" s="34">
        <f>Scenarioanalyse!H22</f>
        <v>50</v>
      </c>
      <c r="V138" s="268">
        <f t="shared" si="45"/>
        <v>58.000000000000043</v>
      </c>
      <c r="W138" s="269">
        <f t="shared" si="42"/>
        <v>0.5800000000000004</v>
      </c>
      <c r="X138" s="97">
        <f t="shared" si="46"/>
        <v>290.00000000000023</v>
      </c>
      <c r="Y138" s="118"/>
      <c r="Z138" s="124"/>
      <c r="AA138" s="205">
        <f t="shared" si="43"/>
        <v>290.00000000000023</v>
      </c>
      <c r="AB138" s="128"/>
      <c r="AC138" s="118"/>
      <c r="AD138" s="205">
        <f t="shared" si="44"/>
        <v>290</v>
      </c>
      <c r="AE138" s="138">
        <f t="shared" si="32"/>
        <v>384000</v>
      </c>
      <c r="AF138" s="138">
        <f t="shared" si="33"/>
        <v>384000</v>
      </c>
      <c r="AG138" s="138">
        <f t="shared" si="34"/>
        <v>384000</v>
      </c>
      <c r="AH138" s="118"/>
      <c r="AI138" s="118"/>
      <c r="AJ138" s="205">
        <f t="shared" si="35"/>
        <v>12</v>
      </c>
      <c r="AK138" s="205">
        <f t="shared" si="36"/>
        <v>22</v>
      </c>
      <c r="AL138" s="205">
        <f t="shared" si="37"/>
        <v>32</v>
      </c>
      <c r="AM138" s="205">
        <f t="shared" si="38"/>
        <v>42</v>
      </c>
      <c r="AN138" s="205">
        <f t="shared" si="39"/>
        <v>52</v>
      </c>
      <c r="AO138" s="205">
        <f t="shared" si="40"/>
        <v>62</v>
      </c>
      <c r="AP138" s="205">
        <f t="shared" si="41"/>
        <v>72</v>
      </c>
      <c r="AT138" s="34" t="s">
        <v>348</v>
      </c>
    </row>
    <row r="139" spans="1:46" x14ac:dyDescent="0.2">
      <c r="C139" s="104" t="s">
        <v>78</v>
      </c>
      <c r="D139" s="131" t="s">
        <v>204</v>
      </c>
      <c r="E139" s="175"/>
      <c r="K139" s="34" t="s">
        <v>206</v>
      </c>
      <c r="L139" s="188">
        <f>C6</f>
        <v>500</v>
      </c>
      <c r="V139" s="268">
        <f t="shared" si="45"/>
        <v>58.500000000000043</v>
      </c>
      <c r="W139" s="269">
        <f t="shared" si="42"/>
        <v>0.58500000000000041</v>
      </c>
      <c r="X139" s="97">
        <f t="shared" si="46"/>
        <v>292.50000000000023</v>
      </c>
      <c r="Y139" s="118"/>
      <c r="Z139" s="124"/>
      <c r="AA139" s="205">
        <f t="shared" si="43"/>
        <v>292.50000000000023</v>
      </c>
      <c r="AB139" s="128"/>
      <c r="AC139" s="118"/>
      <c r="AD139" s="205">
        <f t="shared" si="44"/>
        <v>292.5</v>
      </c>
      <c r="AE139" s="138">
        <f t="shared" si="32"/>
        <v>383000</v>
      </c>
      <c r="AF139" s="138">
        <f t="shared" si="33"/>
        <v>383000</v>
      </c>
      <c r="AG139" s="138">
        <f t="shared" si="34"/>
        <v>383000</v>
      </c>
      <c r="AH139" s="118"/>
      <c r="AI139" s="118"/>
      <c r="AJ139" s="205">
        <f t="shared" si="35"/>
        <v>11.5</v>
      </c>
      <c r="AK139" s="205">
        <f t="shared" si="36"/>
        <v>21.5</v>
      </c>
      <c r="AL139" s="205">
        <f t="shared" si="37"/>
        <v>31.5</v>
      </c>
      <c r="AM139" s="205">
        <f t="shared" si="38"/>
        <v>41.5</v>
      </c>
      <c r="AN139" s="205">
        <f t="shared" si="39"/>
        <v>51.5</v>
      </c>
      <c r="AO139" s="205">
        <f t="shared" si="40"/>
        <v>61.5</v>
      </c>
      <c r="AP139" s="205">
        <f t="shared" si="41"/>
        <v>71.5</v>
      </c>
      <c r="AT139" s="34" t="s">
        <v>349</v>
      </c>
    </row>
    <row r="140" spans="1:46" x14ac:dyDescent="0.2">
      <c r="C140" s="153" t="str">
        <f>IF(ISERROR(VLOOKUP(1,$A$124:$B$135,2,FALSE)),"geen",VLOOKUP(1,$A$124:$B$135,2,FALSE))</f>
        <v>12</v>
      </c>
      <c r="D140" s="251"/>
      <c r="E140" s="175"/>
      <c r="K140" s="34" t="s">
        <v>205</v>
      </c>
      <c r="L140" s="250">
        <f>+Dashboard!H15</f>
        <v>300000</v>
      </c>
      <c r="V140" s="268">
        <f t="shared" si="45"/>
        <v>59.000000000000043</v>
      </c>
      <c r="W140" s="269">
        <f t="shared" si="42"/>
        <v>0.59000000000000041</v>
      </c>
      <c r="X140" s="97">
        <f t="shared" si="46"/>
        <v>295.00000000000023</v>
      </c>
      <c r="Y140" s="118"/>
      <c r="Z140" s="124"/>
      <c r="AA140" s="205">
        <f t="shared" si="43"/>
        <v>295.00000000000023</v>
      </c>
      <c r="AB140" s="128"/>
      <c r="AC140" s="118"/>
      <c r="AD140" s="205">
        <f t="shared" si="44"/>
        <v>295</v>
      </c>
      <c r="AE140" s="138">
        <f t="shared" si="32"/>
        <v>382000</v>
      </c>
      <c r="AF140" s="138">
        <f t="shared" si="33"/>
        <v>382000</v>
      </c>
      <c r="AG140" s="138">
        <f t="shared" si="34"/>
        <v>382000</v>
      </c>
      <c r="AH140" s="118"/>
      <c r="AI140" s="118"/>
      <c r="AJ140" s="205">
        <f t="shared" si="35"/>
        <v>11</v>
      </c>
      <c r="AK140" s="205">
        <f t="shared" si="36"/>
        <v>21</v>
      </c>
      <c r="AL140" s="205">
        <f t="shared" si="37"/>
        <v>31</v>
      </c>
      <c r="AM140" s="205">
        <f t="shared" si="38"/>
        <v>41</v>
      </c>
      <c r="AN140" s="205">
        <f t="shared" si="39"/>
        <v>51</v>
      </c>
      <c r="AO140" s="205">
        <f t="shared" si="40"/>
        <v>61</v>
      </c>
      <c r="AP140" s="205">
        <f t="shared" si="41"/>
        <v>71</v>
      </c>
      <c r="AT140" s="34" t="s">
        <v>347</v>
      </c>
    </row>
    <row r="141" spans="1:46" x14ac:dyDescent="0.2">
      <c r="E141" s="175"/>
      <c r="K141" s="34" t="s">
        <v>206</v>
      </c>
      <c r="L141" s="250">
        <f>+Dashboard!H14</f>
        <v>500000</v>
      </c>
      <c r="M141" s="235">
        <f>(L141-L140)/11</f>
        <v>18181.81818181818</v>
      </c>
      <c r="V141" s="268">
        <f t="shared" si="45"/>
        <v>59.500000000000043</v>
      </c>
      <c r="W141" s="269">
        <f t="shared" si="42"/>
        <v>0.59500000000000042</v>
      </c>
      <c r="X141" s="97">
        <f t="shared" si="46"/>
        <v>297.50000000000023</v>
      </c>
      <c r="Y141" s="118"/>
      <c r="Z141" s="124"/>
      <c r="AA141" s="205">
        <f t="shared" si="43"/>
        <v>297.50000000000023</v>
      </c>
      <c r="AB141" s="128"/>
      <c r="AC141" s="118"/>
      <c r="AD141" s="205">
        <f t="shared" si="44"/>
        <v>297.5</v>
      </c>
      <c r="AE141" s="138">
        <f t="shared" si="32"/>
        <v>381000</v>
      </c>
      <c r="AF141" s="138">
        <f t="shared" si="33"/>
        <v>381000</v>
      </c>
      <c r="AG141" s="138">
        <f t="shared" si="34"/>
        <v>381000</v>
      </c>
      <c r="AH141" s="118"/>
      <c r="AI141" s="118"/>
      <c r="AJ141" s="205">
        <f t="shared" si="35"/>
        <v>10.5</v>
      </c>
      <c r="AK141" s="205">
        <f t="shared" si="36"/>
        <v>20.5</v>
      </c>
      <c r="AL141" s="205">
        <f t="shared" si="37"/>
        <v>30.5</v>
      </c>
      <c r="AM141" s="205">
        <f t="shared" si="38"/>
        <v>40.5</v>
      </c>
      <c r="AN141" s="205">
        <f t="shared" si="39"/>
        <v>50.5</v>
      </c>
      <c r="AO141" s="205">
        <f t="shared" si="40"/>
        <v>60.5</v>
      </c>
      <c r="AP141" s="205">
        <f t="shared" si="41"/>
        <v>70.5</v>
      </c>
    </row>
    <row r="142" spans="1:46" x14ac:dyDescent="0.2">
      <c r="E142" s="175"/>
      <c r="K142" s="34" t="s">
        <v>207</v>
      </c>
      <c r="L142" s="34">
        <v>2</v>
      </c>
      <c r="V142" s="268">
        <f t="shared" si="45"/>
        <v>60.000000000000043</v>
      </c>
      <c r="W142" s="269">
        <f t="shared" si="42"/>
        <v>0.60000000000000042</v>
      </c>
      <c r="X142" s="97">
        <f t="shared" si="46"/>
        <v>300.00000000000023</v>
      </c>
      <c r="Y142" s="118"/>
      <c r="Z142" s="124"/>
      <c r="AA142" s="205">
        <f t="shared" si="43"/>
        <v>300.00000000000023</v>
      </c>
      <c r="AB142" s="128"/>
      <c r="AC142" s="118"/>
      <c r="AD142" s="205">
        <f t="shared" si="44"/>
        <v>300</v>
      </c>
      <c r="AE142" s="138">
        <f t="shared" si="32"/>
        <v>380000</v>
      </c>
      <c r="AF142" s="138">
        <f t="shared" si="33"/>
        <v>380000</v>
      </c>
      <c r="AG142" s="138">
        <f t="shared" si="34"/>
        <v>380000</v>
      </c>
      <c r="AH142" s="118"/>
      <c r="AI142" s="118"/>
      <c r="AJ142" s="205">
        <f t="shared" si="35"/>
        <v>10</v>
      </c>
      <c r="AK142" s="205">
        <f t="shared" si="36"/>
        <v>20</v>
      </c>
      <c r="AL142" s="205">
        <f t="shared" si="37"/>
        <v>30</v>
      </c>
      <c r="AM142" s="205">
        <f t="shared" si="38"/>
        <v>40</v>
      </c>
      <c r="AN142" s="205">
        <f t="shared" si="39"/>
        <v>50</v>
      </c>
      <c r="AO142" s="205">
        <f t="shared" si="40"/>
        <v>60</v>
      </c>
      <c r="AP142" s="205">
        <f t="shared" si="41"/>
        <v>70</v>
      </c>
    </row>
    <row r="143" spans="1:46" x14ac:dyDescent="0.2">
      <c r="E143" s="175"/>
      <c r="V143" s="268">
        <f t="shared" si="45"/>
        <v>60.500000000000043</v>
      </c>
      <c r="W143" s="269">
        <f t="shared" si="42"/>
        <v>0.60500000000000043</v>
      </c>
      <c r="X143" s="97">
        <f t="shared" si="46"/>
        <v>302.50000000000023</v>
      </c>
      <c r="Y143" s="118"/>
      <c r="Z143" s="124"/>
      <c r="AA143" s="205">
        <f t="shared" si="43"/>
        <v>302.50000000000023</v>
      </c>
      <c r="AB143" s="128"/>
      <c r="AC143" s="118"/>
      <c r="AD143" s="205">
        <f t="shared" si="44"/>
        <v>302.5</v>
      </c>
      <c r="AE143" s="138">
        <f t="shared" si="32"/>
        <v>379000</v>
      </c>
      <c r="AF143" s="138">
        <f t="shared" si="33"/>
        <v>379000</v>
      </c>
      <c r="AG143" s="138">
        <f t="shared" si="34"/>
        <v>379000</v>
      </c>
      <c r="AH143" s="118"/>
      <c r="AI143" s="118"/>
      <c r="AJ143" s="205">
        <f t="shared" si="35"/>
        <v>9.5</v>
      </c>
      <c r="AK143" s="205">
        <f t="shared" si="36"/>
        <v>19.5</v>
      </c>
      <c r="AL143" s="205">
        <f t="shared" si="37"/>
        <v>29.5</v>
      </c>
      <c r="AM143" s="205">
        <f t="shared" si="38"/>
        <v>39.5</v>
      </c>
      <c r="AN143" s="205">
        <f t="shared" si="39"/>
        <v>49.5</v>
      </c>
      <c r="AO143" s="205">
        <f t="shared" si="40"/>
        <v>59.5</v>
      </c>
      <c r="AP143" s="205">
        <f t="shared" si="41"/>
        <v>69.5</v>
      </c>
    </row>
    <row r="144" spans="1:46" x14ac:dyDescent="0.2">
      <c r="E144" s="175"/>
      <c r="V144" s="268">
        <f t="shared" si="45"/>
        <v>61.000000000000043</v>
      </c>
      <c r="W144" s="269">
        <f t="shared" si="42"/>
        <v>0.61000000000000043</v>
      </c>
      <c r="X144" s="97">
        <f t="shared" si="46"/>
        <v>305.00000000000023</v>
      </c>
      <c r="Y144" s="118"/>
      <c r="Z144" s="124"/>
      <c r="AA144" s="205">
        <f t="shared" si="43"/>
        <v>305.00000000000023</v>
      </c>
      <c r="AB144" s="128"/>
      <c r="AC144" s="118"/>
      <c r="AD144" s="205">
        <f t="shared" si="44"/>
        <v>305</v>
      </c>
      <c r="AE144" s="138">
        <f t="shared" si="32"/>
        <v>378000</v>
      </c>
      <c r="AF144" s="138">
        <f t="shared" si="33"/>
        <v>378000</v>
      </c>
      <c r="AG144" s="138">
        <f t="shared" si="34"/>
        <v>378000</v>
      </c>
      <c r="AH144" s="118"/>
      <c r="AI144" s="118"/>
      <c r="AJ144" s="205">
        <f t="shared" si="35"/>
        <v>9</v>
      </c>
      <c r="AK144" s="205">
        <f t="shared" si="36"/>
        <v>19</v>
      </c>
      <c r="AL144" s="205">
        <f t="shared" si="37"/>
        <v>28.999999999999996</v>
      </c>
      <c r="AM144" s="205">
        <f t="shared" si="38"/>
        <v>39</v>
      </c>
      <c r="AN144" s="205">
        <f t="shared" si="39"/>
        <v>49</v>
      </c>
      <c r="AO144" s="205">
        <f t="shared" si="40"/>
        <v>59</v>
      </c>
      <c r="AP144" s="205">
        <f t="shared" si="41"/>
        <v>69</v>
      </c>
    </row>
    <row r="145" spans="2:42" x14ac:dyDescent="0.2">
      <c r="E145" s="175"/>
      <c r="V145" s="268">
        <f t="shared" si="45"/>
        <v>61.500000000000043</v>
      </c>
      <c r="W145" s="269">
        <f t="shared" si="42"/>
        <v>0.61500000000000044</v>
      </c>
      <c r="X145" s="97">
        <f t="shared" si="46"/>
        <v>307.50000000000023</v>
      </c>
      <c r="Y145" s="118"/>
      <c r="Z145" s="124"/>
      <c r="AA145" s="205">
        <f t="shared" si="43"/>
        <v>307.50000000000023</v>
      </c>
      <c r="AB145" s="128"/>
      <c r="AC145" s="118"/>
      <c r="AD145" s="205">
        <f t="shared" si="44"/>
        <v>307.5</v>
      </c>
      <c r="AE145" s="138">
        <f t="shared" si="32"/>
        <v>377000</v>
      </c>
      <c r="AF145" s="138">
        <f t="shared" si="33"/>
        <v>377000</v>
      </c>
      <c r="AG145" s="138">
        <f t="shared" si="34"/>
        <v>377000</v>
      </c>
      <c r="AH145" s="118"/>
      <c r="AI145" s="118"/>
      <c r="AJ145" s="205">
        <f t="shared" si="35"/>
        <v>8.5</v>
      </c>
      <c r="AK145" s="205">
        <f t="shared" si="36"/>
        <v>18.5</v>
      </c>
      <c r="AL145" s="205">
        <f t="shared" si="37"/>
        <v>28.499999999999996</v>
      </c>
      <c r="AM145" s="205">
        <f t="shared" si="38"/>
        <v>38.5</v>
      </c>
      <c r="AN145" s="205">
        <f t="shared" si="39"/>
        <v>48.5</v>
      </c>
      <c r="AO145" s="205">
        <f t="shared" si="40"/>
        <v>58.5</v>
      </c>
      <c r="AP145" s="205">
        <f t="shared" si="41"/>
        <v>68.5</v>
      </c>
    </row>
    <row r="146" spans="2:42" x14ac:dyDescent="0.2">
      <c r="B146" s="104"/>
      <c r="C146" s="104"/>
      <c r="D146" s="104"/>
      <c r="E146" s="104"/>
      <c r="F146" s="104"/>
      <c r="V146" s="268">
        <f t="shared" si="45"/>
        <v>62.000000000000043</v>
      </c>
      <c r="W146" s="269">
        <f t="shared" si="42"/>
        <v>0.62000000000000044</v>
      </c>
      <c r="X146" s="97">
        <f t="shared" si="46"/>
        <v>310.00000000000023</v>
      </c>
      <c r="Y146" s="118"/>
      <c r="Z146" s="124"/>
      <c r="AA146" s="205">
        <f t="shared" si="43"/>
        <v>310.00000000000023</v>
      </c>
      <c r="AB146" s="128"/>
      <c r="AC146" s="118"/>
      <c r="AD146" s="205">
        <f t="shared" si="44"/>
        <v>310</v>
      </c>
      <c r="AE146" s="138">
        <f t="shared" si="32"/>
        <v>376000</v>
      </c>
      <c r="AF146" s="138">
        <f t="shared" si="33"/>
        <v>376000</v>
      </c>
      <c r="AG146" s="138">
        <f t="shared" si="34"/>
        <v>376000</v>
      </c>
      <c r="AH146" s="118"/>
      <c r="AI146" s="118"/>
      <c r="AJ146" s="205">
        <f t="shared" si="35"/>
        <v>8</v>
      </c>
      <c r="AK146" s="205">
        <f t="shared" si="36"/>
        <v>18</v>
      </c>
      <c r="AL146" s="205">
        <f t="shared" si="37"/>
        <v>28.000000000000004</v>
      </c>
      <c r="AM146" s="205">
        <f t="shared" si="38"/>
        <v>38</v>
      </c>
      <c r="AN146" s="205">
        <f t="shared" si="39"/>
        <v>48</v>
      </c>
      <c r="AO146" s="205">
        <f t="shared" si="40"/>
        <v>57.999999999999993</v>
      </c>
      <c r="AP146" s="205">
        <f t="shared" si="41"/>
        <v>68</v>
      </c>
    </row>
    <row r="147" spans="2:42" x14ac:dyDescent="0.2">
      <c r="E147" s="175"/>
      <c r="V147" s="268">
        <f t="shared" si="45"/>
        <v>62.500000000000043</v>
      </c>
      <c r="W147" s="269">
        <f t="shared" si="42"/>
        <v>0.62500000000000044</v>
      </c>
      <c r="X147" s="97">
        <f t="shared" si="46"/>
        <v>312.50000000000023</v>
      </c>
      <c r="Y147" s="118"/>
      <c r="Z147" s="124"/>
      <c r="AA147" s="205">
        <f t="shared" si="43"/>
        <v>312.50000000000023</v>
      </c>
      <c r="AB147" s="128"/>
      <c r="AC147" s="118"/>
      <c r="AD147" s="205">
        <f t="shared" si="44"/>
        <v>312.5</v>
      </c>
      <c r="AE147" s="138">
        <f t="shared" si="32"/>
        <v>375000</v>
      </c>
      <c r="AF147" s="138">
        <f t="shared" si="33"/>
        <v>375000</v>
      </c>
      <c r="AG147" s="138">
        <f t="shared" si="34"/>
        <v>375000</v>
      </c>
      <c r="AH147" s="118"/>
      <c r="AI147" s="118"/>
      <c r="AJ147" s="205">
        <f t="shared" si="35"/>
        <v>7.5</v>
      </c>
      <c r="AK147" s="205">
        <f t="shared" si="36"/>
        <v>17.5</v>
      </c>
      <c r="AL147" s="205">
        <f t="shared" si="37"/>
        <v>27.500000000000004</v>
      </c>
      <c r="AM147" s="205">
        <f t="shared" si="38"/>
        <v>37.5</v>
      </c>
      <c r="AN147" s="205">
        <f t="shared" si="39"/>
        <v>47.5</v>
      </c>
      <c r="AO147" s="205">
        <f t="shared" si="40"/>
        <v>57.499999999999993</v>
      </c>
      <c r="AP147" s="205">
        <f t="shared" si="41"/>
        <v>67.5</v>
      </c>
    </row>
    <row r="148" spans="2:42" x14ac:dyDescent="0.2">
      <c r="E148" s="175"/>
      <c r="V148" s="268">
        <f t="shared" si="45"/>
        <v>63.000000000000043</v>
      </c>
      <c r="W148" s="269">
        <f t="shared" si="42"/>
        <v>0.63000000000000045</v>
      </c>
      <c r="X148" s="97">
        <f t="shared" si="46"/>
        <v>315.00000000000023</v>
      </c>
      <c r="Y148" s="118"/>
      <c r="Z148" s="124"/>
      <c r="AA148" s="205">
        <f t="shared" si="43"/>
        <v>315.00000000000023</v>
      </c>
      <c r="AB148" s="128"/>
      <c r="AC148" s="118"/>
      <c r="AD148" s="205">
        <f t="shared" si="44"/>
        <v>315</v>
      </c>
      <c r="AE148" s="138">
        <f t="shared" si="32"/>
        <v>374000</v>
      </c>
      <c r="AF148" s="138">
        <f t="shared" si="33"/>
        <v>374000</v>
      </c>
      <c r="AG148" s="138">
        <f t="shared" si="34"/>
        <v>374000</v>
      </c>
      <c r="AH148" s="118"/>
      <c r="AI148" s="118"/>
      <c r="AJ148" s="205">
        <f t="shared" si="35"/>
        <v>7.0000000000000009</v>
      </c>
      <c r="AK148" s="205">
        <f t="shared" si="36"/>
        <v>17</v>
      </c>
      <c r="AL148" s="205">
        <f t="shared" si="37"/>
        <v>27</v>
      </c>
      <c r="AM148" s="205">
        <f t="shared" si="38"/>
        <v>37</v>
      </c>
      <c r="AN148" s="205">
        <f t="shared" si="39"/>
        <v>47</v>
      </c>
      <c r="AO148" s="205">
        <f t="shared" si="40"/>
        <v>56.999999999999993</v>
      </c>
      <c r="AP148" s="205">
        <f t="shared" si="41"/>
        <v>67</v>
      </c>
    </row>
    <row r="149" spans="2:42" x14ac:dyDescent="0.2">
      <c r="B149" s="264" t="s">
        <v>219</v>
      </c>
      <c r="C149" s="265" t="s">
        <v>277</v>
      </c>
      <c r="D149" s="265" t="s">
        <v>220</v>
      </c>
      <c r="E149" s="265" t="s">
        <v>275</v>
      </c>
      <c r="V149" s="268">
        <f t="shared" si="45"/>
        <v>63.500000000000043</v>
      </c>
      <c r="W149" s="269">
        <f t="shared" si="42"/>
        <v>0.63500000000000045</v>
      </c>
      <c r="X149" s="97">
        <f t="shared" si="46"/>
        <v>317.50000000000023</v>
      </c>
      <c r="Y149" s="118"/>
      <c r="Z149" s="124"/>
      <c r="AA149" s="205">
        <f t="shared" si="43"/>
        <v>317.50000000000023</v>
      </c>
      <c r="AB149" s="128"/>
      <c r="AC149" s="118"/>
      <c r="AD149" s="205">
        <f t="shared" si="44"/>
        <v>317.5</v>
      </c>
      <c r="AE149" s="138">
        <f t="shared" si="32"/>
        <v>373000</v>
      </c>
      <c r="AF149" s="138">
        <f t="shared" si="33"/>
        <v>373000</v>
      </c>
      <c r="AG149" s="138">
        <f t="shared" si="34"/>
        <v>373000</v>
      </c>
      <c r="AH149" s="118"/>
      <c r="AI149" s="118"/>
      <c r="AJ149" s="205">
        <f t="shared" si="35"/>
        <v>6.5</v>
      </c>
      <c r="AK149" s="205">
        <f t="shared" si="36"/>
        <v>16.5</v>
      </c>
      <c r="AL149" s="205">
        <f t="shared" si="37"/>
        <v>26.5</v>
      </c>
      <c r="AM149" s="205">
        <f t="shared" si="38"/>
        <v>36.5</v>
      </c>
      <c r="AN149" s="205">
        <f t="shared" si="39"/>
        <v>46.5</v>
      </c>
      <c r="AO149" s="205">
        <f t="shared" si="40"/>
        <v>56.499999999999993</v>
      </c>
      <c r="AP149" s="205">
        <f t="shared" si="41"/>
        <v>66.5</v>
      </c>
    </row>
    <row r="150" spans="2:42" x14ac:dyDescent="0.2">
      <c r="C150" s="321">
        <f>IF($E$6="Wortelformule",D150,E150)</f>
        <v>475</v>
      </c>
      <c r="D150" s="266">
        <f t="shared" ref="D150:D161" si="59">I124+$H$6*((($C$17-F124)/($C$17-$C$14))^(1/$H$7))</f>
        <v>475</v>
      </c>
      <c r="E150" s="192">
        <f t="shared" ref="E150:E161" si="60">ROUND(I124+$H$6-$H$6*(((F124-$C$14)/($C$17-$C$14))^$H$7),1)</f>
        <v>475</v>
      </c>
      <c r="V150" s="268">
        <f t="shared" ref="V150:V165" si="61">$V$223*W150</f>
        <v>64.000000000000043</v>
      </c>
      <c r="W150" s="269">
        <f t="shared" si="42"/>
        <v>0.64000000000000046</v>
      </c>
      <c r="X150" s="97">
        <f t="shared" si="46"/>
        <v>320.00000000000023</v>
      </c>
      <c r="Y150" s="118"/>
      <c r="Z150" s="124"/>
      <c r="AA150" s="205">
        <f t="shared" si="43"/>
        <v>320.00000000000023</v>
      </c>
      <c r="AB150" s="128"/>
      <c r="AC150" s="118"/>
      <c r="AD150" s="205">
        <f t="shared" si="44"/>
        <v>320</v>
      </c>
      <c r="AE150" s="138">
        <f t="shared" si="32"/>
        <v>372000</v>
      </c>
      <c r="AF150" s="138">
        <f t="shared" si="33"/>
        <v>372000</v>
      </c>
      <c r="AG150" s="138">
        <f t="shared" si="34"/>
        <v>372000</v>
      </c>
      <c r="AH150" s="118"/>
      <c r="AI150" s="118"/>
      <c r="AJ150" s="205">
        <f t="shared" si="35"/>
        <v>6</v>
      </c>
      <c r="AK150" s="205">
        <f t="shared" si="36"/>
        <v>16</v>
      </c>
      <c r="AL150" s="205">
        <f t="shared" si="37"/>
        <v>26</v>
      </c>
      <c r="AM150" s="205">
        <f t="shared" si="38"/>
        <v>36</v>
      </c>
      <c r="AN150" s="205">
        <f t="shared" si="39"/>
        <v>46</v>
      </c>
      <c r="AO150" s="205">
        <f t="shared" si="40"/>
        <v>56.000000000000007</v>
      </c>
      <c r="AP150" s="205">
        <f t="shared" si="41"/>
        <v>66</v>
      </c>
    </row>
    <row r="151" spans="2:42" x14ac:dyDescent="0.2">
      <c r="C151" s="321">
        <f>IF($E$6="Wortelformule",D151,E151)</f>
        <v>481.8</v>
      </c>
      <c r="D151" s="266">
        <f t="shared" si="59"/>
        <v>481.81454545454545</v>
      </c>
      <c r="E151" s="192">
        <f t="shared" si="60"/>
        <v>481.8</v>
      </c>
      <c r="V151" s="268">
        <f t="shared" si="61"/>
        <v>64.500000000000043</v>
      </c>
      <c r="W151" s="269">
        <f t="shared" si="42"/>
        <v>0.64500000000000046</v>
      </c>
      <c r="X151" s="97">
        <f t="shared" ref="X151:X165" si="62">+W151*($X$223-$F$14)+$X$22</f>
        <v>322.50000000000023</v>
      </c>
      <c r="Y151" s="118"/>
      <c r="Z151" s="124"/>
      <c r="AA151" s="205">
        <f t="shared" si="43"/>
        <v>322.50000000000023</v>
      </c>
      <c r="AB151" s="128"/>
      <c r="AC151" s="118"/>
      <c r="AD151" s="205">
        <f t="shared" si="44"/>
        <v>322.5</v>
      </c>
      <c r="AE151" s="138">
        <f t="shared" ref="AE151:AE215" si="63">IF($E$6="Wortelformule",AF151,AG151)</f>
        <v>371000</v>
      </c>
      <c r="AF151" s="138">
        <f t="shared" ref="AF151:AF215" si="64">$C$17-(AD151^$H$7)*($C$17-$C$14)/($H$6^$H$7)</f>
        <v>371000</v>
      </c>
      <c r="AG151" s="138">
        <f t="shared" ref="AG151:AG215" si="65">$C$14+($C$17-$C$14)*(($H$6-AD151)/$H$6)^(1/$H$7)</f>
        <v>371000</v>
      </c>
      <c r="AH151" s="118"/>
      <c r="AI151" s="118"/>
      <c r="AJ151" s="205">
        <f t="shared" ref="AJ151:AJ215" si="66">(($AJ$19-AD151)/$H$5)*100</f>
        <v>5.5</v>
      </c>
      <c r="AK151" s="205">
        <f t="shared" ref="AK151:AK215" si="67">(($AK$19-AD151)/$H$5)*100</f>
        <v>15.5</v>
      </c>
      <c r="AL151" s="205">
        <f t="shared" ref="AL151:AL215" si="68">(($AL$19-AD151)/$H$5)*100</f>
        <v>25.5</v>
      </c>
      <c r="AM151" s="205">
        <f t="shared" ref="AM151:AM215" si="69">(($AM$19-AD151)/$H$5)*100</f>
        <v>35.5</v>
      </c>
      <c r="AN151" s="205">
        <f t="shared" ref="AN151:AN215" si="70">(($AN$19-AD151)/$H$5)*100</f>
        <v>45.5</v>
      </c>
      <c r="AO151" s="205">
        <f t="shared" ref="AO151:AO215" si="71">(($AO$19-AD151)/$H$5)*100</f>
        <v>55.500000000000007</v>
      </c>
      <c r="AP151" s="205">
        <f t="shared" ref="AP151:AP215" si="72">(($AP$19-AD151)/$H$5)*100</f>
        <v>65.5</v>
      </c>
    </row>
    <row r="152" spans="2:42" x14ac:dyDescent="0.2">
      <c r="C152" s="321">
        <f t="shared" ref="C152:C165" si="73">IF($E$6="Wortelformule", D152,E152)</f>
        <v>488.6</v>
      </c>
      <c r="D152" s="266">
        <f t="shared" si="59"/>
        <v>488.6390909090909</v>
      </c>
      <c r="E152" s="192">
        <f t="shared" si="60"/>
        <v>488.6</v>
      </c>
      <c r="V152" s="268">
        <f t="shared" si="61"/>
        <v>65.000000000000043</v>
      </c>
      <c r="W152" s="269">
        <f t="shared" ref="W152:W216" si="74">+W151+0.005</f>
        <v>0.65000000000000047</v>
      </c>
      <c r="X152" s="97">
        <f t="shared" si="62"/>
        <v>325.00000000000023</v>
      </c>
      <c r="Y152" s="118"/>
      <c r="Z152" s="124"/>
      <c r="AA152" s="205">
        <f t="shared" ref="AA152:AA216" si="75">+X152</f>
        <v>325.00000000000023</v>
      </c>
      <c r="AB152" s="128"/>
      <c r="AC152" s="118"/>
      <c r="AD152" s="205">
        <f t="shared" ref="AD152:AD216" si="76">+AD151+($H$6/200)</f>
        <v>325</v>
      </c>
      <c r="AE152" s="138">
        <f t="shared" si="63"/>
        <v>370000</v>
      </c>
      <c r="AF152" s="138">
        <f t="shared" si="64"/>
        <v>370000</v>
      </c>
      <c r="AG152" s="138">
        <f t="shared" si="65"/>
        <v>370000</v>
      </c>
      <c r="AH152" s="118"/>
      <c r="AI152" s="118"/>
      <c r="AJ152" s="205">
        <f t="shared" si="66"/>
        <v>5</v>
      </c>
      <c r="AK152" s="205">
        <f t="shared" si="67"/>
        <v>15</v>
      </c>
      <c r="AL152" s="205">
        <f t="shared" si="68"/>
        <v>25</v>
      </c>
      <c r="AM152" s="205">
        <f t="shared" si="69"/>
        <v>35</v>
      </c>
      <c r="AN152" s="205">
        <f t="shared" si="70"/>
        <v>45</v>
      </c>
      <c r="AO152" s="205">
        <f t="shared" si="71"/>
        <v>55.000000000000007</v>
      </c>
      <c r="AP152" s="205">
        <f t="shared" si="72"/>
        <v>65</v>
      </c>
    </row>
    <row r="153" spans="2:42" x14ac:dyDescent="0.2">
      <c r="C153" s="321">
        <f t="shared" si="73"/>
        <v>495.5</v>
      </c>
      <c r="D153" s="266">
        <f t="shared" si="59"/>
        <v>495.45363636363629</v>
      </c>
      <c r="E153" s="192">
        <f t="shared" si="60"/>
        <v>495.5</v>
      </c>
      <c r="V153" s="268">
        <f t="shared" si="61"/>
        <v>65.500000000000043</v>
      </c>
      <c r="W153" s="269">
        <f t="shared" si="74"/>
        <v>0.65500000000000047</v>
      </c>
      <c r="X153" s="97">
        <f t="shared" si="62"/>
        <v>327.50000000000023</v>
      </c>
      <c r="Y153" s="118"/>
      <c r="Z153" s="124"/>
      <c r="AA153" s="205">
        <f t="shared" si="75"/>
        <v>327.50000000000023</v>
      </c>
      <c r="AB153" s="128"/>
      <c r="AC153" s="118"/>
      <c r="AD153" s="205">
        <f t="shared" si="76"/>
        <v>327.5</v>
      </c>
      <c r="AE153" s="138">
        <f t="shared" si="63"/>
        <v>369000</v>
      </c>
      <c r="AF153" s="138">
        <f t="shared" si="64"/>
        <v>369000</v>
      </c>
      <c r="AG153" s="138">
        <f t="shared" si="65"/>
        <v>369000</v>
      </c>
      <c r="AH153" s="118"/>
      <c r="AI153" s="118"/>
      <c r="AJ153" s="205">
        <f t="shared" si="66"/>
        <v>4.5</v>
      </c>
      <c r="AK153" s="205">
        <f t="shared" si="67"/>
        <v>14.499999999999998</v>
      </c>
      <c r="AL153" s="205">
        <f t="shared" si="68"/>
        <v>24.5</v>
      </c>
      <c r="AM153" s="205">
        <f t="shared" si="69"/>
        <v>34.5</v>
      </c>
      <c r="AN153" s="205">
        <f t="shared" si="70"/>
        <v>44.5</v>
      </c>
      <c r="AO153" s="205">
        <f t="shared" si="71"/>
        <v>54.500000000000007</v>
      </c>
      <c r="AP153" s="205">
        <f t="shared" si="72"/>
        <v>64.5</v>
      </c>
    </row>
    <row r="154" spans="2:42" x14ac:dyDescent="0.2">
      <c r="C154" s="321">
        <f t="shared" si="73"/>
        <v>502.3</v>
      </c>
      <c r="D154" s="266">
        <f t="shared" si="59"/>
        <v>502.26818181818174</v>
      </c>
      <c r="E154" s="192">
        <f t="shared" si="60"/>
        <v>502.3</v>
      </c>
      <c r="V154" s="268">
        <f t="shared" si="61"/>
        <v>66.000000000000043</v>
      </c>
      <c r="W154" s="269">
        <f t="shared" si="74"/>
        <v>0.66000000000000048</v>
      </c>
      <c r="X154" s="97">
        <f t="shared" si="62"/>
        <v>330.00000000000023</v>
      </c>
      <c r="Y154" s="118"/>
      <c r="Z154" s="124"/>
      <c r="AA154" s="205">
        <f t="shared" si="75"/>
        <v>330.00000000000023</v>
      </c>
      <c r="AB154" s="128"/>
      <c r="AC154" s="118"/>
      <c r="AD154" s="205">
        <f t="shared" si="76"/>
        <v>330</v>
      </c>
      <c r="AE154" s="138">
        <f t="shared" si="63"/>
        <v>368000</v>
      </c>
      <c r="AF154" s="138">
        <f t="shared" si="64"/>
        <v>368000</v>
      </c>
      <c r="AG154" s="138">
        <f t="shared" si="65"/>
        <v>368000</v>
      </c>
      <c r="AH154" s="118"/>
      <c r="AI154" s="118"/>
      <c r="AJ154" s="205">
        <f t="shared" si="66"/>
        <v>4</v>
      </c>
      <c r="AK154" s="205">
        <f t="shared" si="67"/>
        <v>14.000000000000002</v>
      </c>
      <c r="AL154" s="205">
        <f t="shared" si="68"/>
        <v>24</v>
      </c>
      <c r="AM154" s="205">
        <f t="shared" si="69"/>
        <v>34</v>
      </c>
      <c r="AN154" s="205">
        <f t="shared" si="70"/>
        <v>44</v>
      </c>
      <c r="AO154" s="205">
        <f t="shared" si="71"/>
        <v>54</v>
      </c>
      <c r="AP154" s="205">
        <f t="shared" si="72"/>
        <v>64</v>
      </c>
    </row>
    <row r="155" spans="2:42" x14ac:dyDescent="0.2">
      <c r="C155" s="321">
        <f t="shared" si="73"/>
        <v>509.1</v>
      </c>
      <c r="D155" s="266">
        <f t="shared" si="59"/>
        <v>509.09272727272719</v>
      </c>
      <c r="E155" s="192">
        <f t="shared" si="60"/>
        <v>509.1</v>
      </c>
      <c r="V155" s="268">
        <f t="shared" si="61"/>
        <v>66.500000000000043</v>
      </c>
      <c r="W155" s="269">
        <f t="shared" si="74"/>
        <v>0.66500000000000048</v>
      </c>
      <c r="X155" s="97">
        <f t="shared" si="62"/>
        <v>332.50000000000023</v>
      </c>
      <c r="Y155" s="118"/>
      <c r="Z155" s="124"/>
      <c r="AA155" s="205">
        <f t="shared" si="75"/>
        <v>332.50000000000023</v>
      </c>
      <c r="AB155" s="128"/>
      <c r="AC155" s="118"/>
      <c r="AD155" s="205">
        <f t="shared" si="76"/>
        <v>332.5</v>
      </c>
      <c r="AE155" s="138">
        <f t="shared" si="63"/>
        <v>367000</v>
      </c>
      <c r="AF155" s="138">
        <f t="shared" si="64"/>
        <v>367000</v>
      </c>
      <c r="AG155" s="138">
        <f t="shared" si="65"/>
        <v>367000</v>
      </c>
      <c r="AH155" s="118"/>
      <c r="AI155" s="118"/>
      <c r="AJ155" s="205">
        <f t="shared" si="66"/>
        <v>3.5000000000000004</v>
      </c>
      <c r="AK155" s="205">
        <f t="shared" si="67"/>
        <v>13.5</v>
      </c>
      <c r="AL155" s="205">
        <f t="shared" si="68"/>
        <v>23.5</v>
      </c>
      <c r="AM155" s="205">
        <f t="shared" si="69"/>
        <v>33.5</v>
      </c>
      <c r="AN155" s="205">
        <f t="shared" si="70"/>
        <v>43.5</v>
      </c>
      <c r="AO155" s="205">
        <f t="shared" si="71"/>
        <v>53.5</v>
      </c>
      <c r="AP155" s="205">
        <f t="shared" si="72"/>
        <v>63.5</v>
      </c>
    </row>
    <row r="156" spans="2:42" x14ac:dyDescent="0.2">
      <c r="C156" s="321">
        <f t="shared" si="73"/>
        <v>515.9</v>
      </c>
      <c r="D156" s="266">
        <f t="shared" si="59"/>
        <v>515.90727272727258</v>
      </c>
      <c r="E156" s="192">
        <f t="shared" si="60"/>
        <v>515.9</v>
      </c>
      <c r="V156" s="268">
        <f t="shared" si="61"/>
        <v>67.000000000000043</v>
      </c>
      <c r="W156" s="269">
        <f t="shared" si="74"/>
        <v>0.67000000000000048</v>
      </c>
      <c r="X156" s="97">
        <f t="shared" si="62"/>
        <v>335.00000000000023</v>
      </c>
      <c r="Y156" s="118"/>
      <c r="Z156" s="124"/>
      <c r="AA156" s="205">
        <f t="shared" si="75"/>
        <v>335.00000000000023</v>
      </c>
      <c r="AB156" s="128"/>
      <c r="AC156" s="118"/>
      <c r="AD156" s="205">
        <f t="shared" si="76"/>
        <v>335</v>
      </c>
      <c r="AE156" s="138">
        <f t="shared" si="63"/>
        <v>366000</v>
      </c>
      <c r="AF156" s="138">
        <f t="shared" si="64"/>
        <v>366000</v>
      </c>
      <c r="AG156" s="138">
        <f t="shared" si="65"/>
        <v>366000</v>
      </c>
      <c r="AH156" s="118"/>
      <c r="AI156" s="118"/>
      <c r="AJ156" s="205">
        <f t="shared" si="66"/>
        <v>3</v>
      </c>
      <c r="AK156" s="205">
        <f t="shared" si="67"/>
        <v>13</v>
      </c>
      <c r="AL156" s="205">
        <f t="shared" si="68"/>
        <v>23</v>
      </c>
      <c r="AM156" s="205">
        <f t="shared" si="69"/>
        <v>33</v>
      </c>
      <c r="AN156" s="205">
        <f t="shared" si="70"/>
        <v>43</v>
      </c>
      <c r="AO156" s="205">
        <f t="shared" si="71"/>
        <v>53</v>
      </c>
      <c r="AP156" s="205">
        <f t="shared" si="72"/>
        <v>63</v>
      </c>
    </row>
    <row r="157" spans="2:42" x14ac:dyDescent="0.2">
      <c r="C157" s="321">
        <f t="shared" si="73"/>
        <v>522.70000000000005</v>
      </c>
      <c r="D157" s="266">
        <f t="shared" si="59"/>
        <v>522.73181818181808</v>
      </c>
      <c r="E157" s="192">
        <f t="shared" si="60"/>
        <v>522.70000000000005</v>
      </c>
      <c r="V157" s="268">
        <f t="shared" si="61"/>
        <v>67.500000000000043</v>
      </c>
      <c r="W157" s="269">
        <f t="shared" si="74"/>
        <v>0.67500000000000049</v>
      </c>
      <c r="X157" s="97">
        <f t="shared" si="62"/>
        <v>337.50000000000023</v>
      </c>
      <c r="Y157" s="118"/>
      <c r="Z157" s="124"/>
      <c r="AA157" s="205">
        <f t="shared" si="75"/>
        <v>337.50000000000023</v>
      </c>
      <c r="AB157" s="128"/>
      <c r="AC157" s="118"/>
      <c r="AD157" s="205">
        <f t="shared" si="76"/>
        <v>337.5</v>
      </c>
      <c r="AE157" s="138">
        <f t="shared" si="63"/>
        <v>365000</v>
      </c>
      <c r="AF157" s="138">
        <f t="shared" si="64"/>
        <v>365000</v>
      </c>
      <c r="AG157" s="138">
        <f t="shared" si="65"/>
        <v>365000</v>
      </c>
      <c r="AH157" s="118"/>
      <c r="AI157" s="118"/>
      <c r="AJ157" s="205">
        <f t="shared" si="66"/>
        <v>2.5</v>
      </c>
      <c r="AK157" s="205">
        <f t="shared" si="67"/>
        <v>12.5</v>
      </c>
      <c r="AL157" s="205">
        <f t="shared" si="68"/>
        <v>22.5</v>
      </c>
      <c r="AM157" s="205">
        <f t="shared" si="69"/>
        <v>32.5</v>
      </c>
      <c r="AN157" s="205">
        <f t="shared" si="70"/>
        <v>42.5</v>
      </c>
      <c r="AO157" s="205">
        <f t="shared" si="71"/>
        <v>52.5</v>
      </c>
      <c r="AP157" s="205">
        <f t="shared" si="72"/>
        <v>62.5</v>
      </c>
    </row>
    <row r="158" spans="2:42" x14ac:dyDescent="0.2">
      <c r="C158" s="321">
        <f t="shared" si="73"/>
        <v>529.5</v>
      </c>
      <c r="D158" s="266">
        <f t="shared" si="59"/>
        <v>529.54636363636348</v>
      </c>
      <c r="E158" s="192">
        <f t="shared" si="60"/>
        <v>529.5</v>
      </c>
      <c r="V158" s="268">
        <f t="shared" si="61"/>
        <v>68.000000000000043</v>
      </c>
      <c r="W158" s="269">
        <f t="shared" si="74"/>
        <v>0.68000000000000049</v>
      </c>
      <c r="X158" s="97">
        <f t="shared" si="62"/>
        <v>340.00000000000023</v>
      </c>
      <c r="Y158" s="118"/>
      <c r="Z158" s="124"/>
      <c r="AA158" s="205">
        <f t="shared" si="75"/>
        <v>340.00000000000023</v>
      </c>
      <c r="AB158" s="128"/>
      <c r="AC158" s="118"/>
      <c r="AD158" s="205">
        <f t="shared" si="76"/>
        <v>340</v>
      </c>
      <c r="AE158" s="138">
        <f t="shared" si="63"/>
        <v>364000</v>
      </c>
      <c r="AF158" s="138">
        <f t="shared" si="64"/>
        <v>364000</v>
      </c>
      <c r="AG158" s="138">
        <f t="shared" si="65"/>
        <v>364000</v>
      </c>
      <c r="AH158" s="118"/>
      <c r="AI158" s="118"/>
      <c r="AJ158" s="205">
        <f t="shared" si="66"/>
        <v>2</v>
      </c>
      <c r="AK158" s="205">
        <f t="shared" si="67"/>
        <v>12</v>
      </c>
      <c r="AL158" s="205">
        <f t="shared" si="68"/>
        <v>22</v>
      </c>
      <c r="AM158" s="205">
        <f t="shared" si="69"/>
        <v>32</v>
      </c>
      <c r="AN158" s="205">
        <f t="shared" si="70"/>
        <v>42</v>
      </c>
      <c r="AO158" s="205">
        <f t="shared" si="71"/>
        <v>52</v>
      </c>
      <c r="AP158" s="205">
        <f t="shared" si="72"/>
        <v>62</v>
      </c>
    </row>
    <row r="159" spans="2:42" x14ac:dyDescent="0.2">
      <c r="C159" s="321">
        <f t="shared" si="73"/>
        <v>536.4</v>
      </c>
      <c r="D159" s="266">
        <f t="shared" si="59"/>
        <v>536.36090909090899</v>
      </c>
      <c r="E159" s="192">
        <f t="shared" si="60"/>
        <v>536.4</v>
      </c>
      <c r="V159" s="268">
        <f t="shared" si="61"/>
        <v>68.500000000000057</v>
      </c>
      <c r="W159" s="269">
        <f t="shared" si="74"/>
        <v>0.6850000000000005</v>
      </c>
      <c r="X159" s="97">
        <f t="shared" si="62"/>
        <v>342.50000000000023</v>
      </c>
      <c r="Y159" s="118"/>
      <c r="Z159" s="124"/>
      <c r="AA159" s="205">
        <f t="shared" si="75"/>
        <v>342.50000000000023</v>
      </c>
      <c r="AB159" s="128"/>
      <c r="AC159" s="118"/>
      <c r="AD159" s="205">
        <f t="shared" si="76"/>
        <v>342.5</v>
      </c>
      <c r="AE159" s="138">
        <f t="shared" si="63"/>
        <v>363000</v>
      </c>
      <c r="AF159" s="138">
        <f t="shared" si="64"/>
        <v>363000</v>
      </c>
      <c r="AG159" s="138">
        <f t="shared" si="65"/>
        <v>363000</v>
      </c>
      <c r="AH159" s="118"/>
      <c r="AI159" s="118"/>
      <c r="AJ159" s="205">
        <f t="shared" si="66"/>
        <v>1.5</v>
      </c>
      <c r="AK159" s="205">
        <f t="shared" si="67"/>
        <v>11.5</v>
      </c>
      <c r="AL159" s="205">
        <f t="shared" si="68"/>
        <v>21.5</v>
      </c>
      <c r="AM159" s="205">
        <f t="shared" si="69"/>
        <v>31.5</v>
      </c>
      <c r="AN159" s="205">
        <f t="shared" si="70"/>
        <v>41.5</v>
      </c>
      <c r="AO159" s="205">
        <f t="shared" si="71"/>
        <v>51.5</v>
      </c>
      <c r="AP159" s="205">
        <f t="shared" si="72"/>
        <v>61.5</v>
      </c>
    </row>
    <row r="160" spans="2:42" x14ac:dyDescent="0.2">
      <c r="C160" s="321">
        <f>IF($E$6="Wortelformule", D160,E160)</f>
        <v>543.20000000000005</v>
      </c>
      <c r="D160" s="266">
        <f>I134+$H$6*((($C$17-F134)/($C$17-$C$14))^(1/$H$7))</f>
        <v>543.18545454545449</v>
      </c>
      <c r="E160" s="192">
        <f>ROUND(I134+$H$6-$H$6*(((F134-$C$14)/($C$17-$C$14))^$H$7),1)</f>
        <v>543.20000000000005</v>
      </c>
      <c r="V160" s="268">
        <f t="shared" si="61"/>
        <v>69.000000000000057</v>
      </c>
      <c r="W160" s="269">
        <f t="shared" si="74"/>
        <v>0.6900000000000005</v>
      </c>
      <c r="X160" s="97">
        <f t="shared" si="62"/>
        <v>345.00000000000023</v>
      </c>
      <c r="Y160" s="118"/>
      <c r="Z160" s="124"/>
      <c r="AA160" s="205">
        <f t="shared" si="75"/>
        <v>345.00000000000023</v>
      </c>
      <c r="AB160" s="128"/>
      <c r="AC160" s="118"/>
      <c r="AD160" s="205">
        <f t="shared" si="76"/>
        <v>345</v>
      </c>
      <c r="AE160" s="138">
        <f t="shared" si="63"/>
        <v>362000</v>
      </c>
      <c r="AF160" s="138">
        <f t="shared" si="64"/>
        <v>362000</v>
      </c>
      <c r="AG160" s="138">
        <f t="shared" si="65"/>
        <v>362000</v>
      </c>
      <c r="AH160" s="118"/>
      <c r="AI160" s="118"/>
      <c r="AJ160" s="205">
        <f t="shared" si="66"/>
        <v>1</v>
      </c>
      <c r="AK160" s="205">
        <f t="shared" si="67"/>
        <v>11</v>
      </c>
      <c r="AL160" s="205">
        <f t="shared" si="68"/>
        <v>21</v>
      </c>
      <c r="AM160" s="205">
        <f t="shared" si="69"/>
        <v>31</v>
      </c>
      <c r="AN160" s="205">
        <f t="shared" si="70"/>
        <v>41</v>
      </c>
      <c r="AO160" s="205">
        <f t="shared" si="71"/>
        <v>51</v>
      </c>
      <c r="AP160" s="205">
        <f t="shared" si="72"/>
        <v>61</v>
      </c>
    </row>
    <row r="161" spans="2:42" x14ac:dyDescent="0.2">
      <c r="C161" s="321">
        <f t="shared" si="73"/>
        <v>550</v>
      </c>
      <c r="D161" s="266">
        <f t="shared" si="59"/>
        <v>549.99999999999977</v>
      </c>
      <c r="E161" s="192">
        <f t="shared" si="60"/>
        <v>550</v>
      </c>
      <c r="V161" s="268">
        <f t="shared" si="61"/>
        <v>69.500000000000057</v>
      </c>
      <c r="W161" s="269">
        <f t="shared" si="74"/>
        <v>0.69500000000000051</v>
      </c>
      <c r="X161" s="97">
        <f t="shared" si="62"/>
        <v>347.50000000000023</v>
      </c>
      <c r="Y161" s="118"/>
      <c r="Z161" s="124"/>
      <c r="AA161" s="205">
        <f t="shared" si="75"/>
        <v>347.50000000000023</v>
      </c>
      <c r="AB161" s="128"/>
      <c r="AC161" s="118"/>
      <c r="AD161" s="205">
        <f t="shared" si="76"/>
        <v>347.5</v>
      </c>
      <c r="AE161" s="138">
        <f t="shared" si="63"/>
        <v>361000</v>
      </c>
      <c r="AF161" s="138">
        <f t="shared" si="64"/>
        <v>361000</v>
      </c>
      <c r="AG161" s="138">
        <f t="shared" si="65"/>
        <v>361000</v>
      </c>
      <c r="AH161" s="118"/>
      <c r="AI161" s="118"/>
      <c r="AJ161" s="205">
        <f t="shared" si="66"/>
        <v>0.5</v>
      </c>
      <c r="AK161" s="205">
        <f t="shared" si="67"/>
        <v>10.5</v>
      </c>
      <c r="AL161" s="205">
        <f t="shared" si="68"/>
        <v>20.5</v>
      </c>
      <c r="AM161" s="205">
        <f t="shared" si="69"/>
        <v>30.5</v>
      </c>
      <c r="AN161" s="205">
        <f t="shared" si="70"/>
        <v>40.5</v>
      </c>
      <c r="AO161" s="205">
        <f t="shared" si="71"/>
        <v>50.5</v>
      </c>
      <c r="AP161" s="205">
        <f t="shared" si="72"/>
        <v>60.5</v>
      </c>
    </row>
    <row r="162" spans="2:42" x14ac:dyDescent="0.2">
      <c r="B162" s="264" t="s">
        <v>155</v>
      </c>
      <c r="E162" s="175"/>
      <c r="V162" s="268">
        <f t="shared" si="61"/>
        <v>70.000000000000057</v>
      </c>
      <c r="W162" s="269">
        <f t="shared" si="74"/>
        <v>0.70000000000000051</v>
      </c>
      <c r="X162" s="97">
        <f t="shared" si="62"/>
        <v>350.00000000000023</v>
      </c>
      <c r="Y162" s="118"/>
      <c r="Z162" s="124"/>
      <c r="AA162" s="205">
        <f t="shared" si="75"/>
        <v>350.00000000000023</v>
      </c>
      <c r="AB162" s="128"/>
      <c r="AC162" s="118"/>
      <c r="AD162" s="205">
        <f t="shared" si="76"/>
        <v>350</v>
      </c>
      <c r="AE162" s="138">
        <f t="shared" si="63"/>
        <v>360000</v>
      </c>
      <c r="AF162" s="138">
        <f t="shared" si="64"/>
        <v>360000</v>
      </c>
      <c r="AG162" s="138">
        <f t="shared" si="65"/>
        <v>360000</v>
      </c>
      <c r="AH162" s="118"/>
      <c r="AI162" s="118"/>
      <c r="AJ162" s="205">
        <f t="shared" si="66"/>
        <v>0</v>
      </c>
      <c r="AK162" s="205">
        <f t="shared" si="67"/>
        <v>10</v>
      </c>
      <c r="AL162" s="205">
        <f t="shared" si="68"/>
        <v>20</v>
      </c>
      <c r="AM162" s="205">
        <f t="shared" si="69"/>
        <v>30</v>
      </c>
      <c r="AN162" s="205">
        <f t="shared" si="70"/>
        <v>40</v>
      </c>
      <c r="AO162" s="205">
        <f t="shared" si="71"/>
        <v>50</v>
      </c>
      <c r="AP162" s="205">
        <f t="shared" si="72"/>
        <v>60</v>
      </c>
    </row>
    <row r="163" spans="2:42" x14ac:dyDescent="0.2">
      <c r="B163" s="176" t="s">
        <v>278</v>
      </c>
      <c r="C163" s="321">
        <f t="shared" si="73"/>
        <v>500</v>
      </c>
      <c r="D163" s="144">
        <f>ROUND($M$15+$H$6*((($C$17-$C$8)/($C$17-$C$14))^(1/$H$7)),2)</f>
        <v>500</v>
      </c>
      <c r="E163" s="144">
        <f>ROUND($C$12+($H$6-$H$6*((($M$14-$C$14)/($C$17-$C$14))^$H$7)),1)</f>
        <v>500</v>
      </c>
      <c r="V163" s="268">
        <f t="shared" si="61"/>
        <v>70.500000000000057</v>
      </c>
      <c r="W163" s="269">
        <f t="shared" si="74"/>
        <v>0.70500000000000052</v>
      </c>
      <c r="X163" s="97">
        <f t="shared" si="62"/>
        <v>352.50000000000028</v>
      </c>
      <c r="Y163" s="118"/>
      <c r="Z163" s="124"/>
      <c r="AA163" s="205">
        <f t="shared" si="75"/>
        <v>352.50000000000028</v>
      </c>
      <c r="AB163" s="128"/>
      <c r="AC163" s="118"/>
      <c r="AD163" s="205">
        <f t="shared" si="76"/>
        <v>352.5</v>
      </c>
      <c r="AE163" s="138">
        <f t="shared" si="63"/>
        <v>359000</v>
      </c>
      <c r="AF163" s="138">
        <f t="shared" si="64"/>
        <v>359000</v>
      </c>
      <c r="AG163" s="138">
        <f t="shared" si="65"/>
        <v>359000</v>
      </c>
      <c r="AH163" s="118"/>
      <c r="AI163" s="118"/>
      <c r="AJ163" s="205">
        <f t="shared" si="66"/>
        <v>-0.5</v>
      </c>
      <c r="AK163" s="205">
        <f t="shared" si="67"/>
        <v>9.5</v>
      </c>
      <c r="AL163" s="205">
        <f t="shared" si="68"/>
        <v>19.5</v>
      </c>
      <c r="AM163" s="205">
        <f t="shared" si="69"/>
        <v>29.5</v>
      </c>
      <c r="AN163" s="205">
        <f t="shared" si="70"/>
        <v>39.5</v>
      </c>
      <c r="AO163" s="205">
        <f t="shared" si="71"/>
        <v>49.5</v>
      </c>
      <c r="AP163" s="205">
        <f t="shared" si="72"/>
        <v>59.5</v>
      </c>
    </row>
    <row r="164" spans="2:42" x14ac:dyDescent="0.2">
      <c r="B164" s="176" t="s">
        <v>245</v>
      </c>
      <c r="C164" s="321">
        <f t="shared" si="73"/>
        <v>250</v>
      </c>
      <c r="D164" s="144">
        <f>ROUND($H$6*((($C$17-$C$8)/($C$17-$C$14))^(1/$H$7)),2)</f>
        <v>250</v>
      </c>
      <c r="E164" s="144">
        <f>ROUND(($H$6-$H$6*((($M$14-$C$14)/($C$17-$C$14))^$H$7)),1)</f>
        <v>250</v>
      </c>
      <c r="F164" s="379"/>
      <c r="V164" s="268">
        <f t="shared" si="61"/>
        <v>71.000000000000057</v>
      </c>
      <c r="W164" s="269">
        <f t="shared" si="74"/>
        <v>0.71000000000000052</v>
      </c>
      <c r="X164" s="97">
        <f t="shared" si="62"/>
        <v>355.00000000000028</v>
      </c>
      <c r="Y164" s="118"/>
      <c r="Z164" s="124"/>
      <c r="AA164" s="205">
        <f t="shared" si="75"/>
        <v>355.00000000000028</v>
      </c>
      <c r="AB164" s="128"/>
      <c r="AC164" s="118"/>
      <c r="AD164" s="205">
        <f t="shared" si="76"/>
        <v>355</v>
      </c>
      <c r="AE164" s="138">
        <f t="shared" si="63"/>
        <v>358000</v>
      </c>
      <c r="AF164" s="138">
        <f t="shared" si="64"/>
        <v>358000</v>
      </c>
      <c r="AG164" s="138">
        <f t="shared" si="65"/>
        <v>358000</v>
      </c>
      <c r="AH164" s="118"/>
      <c r="AI164" s="118"/>
      <c r="AJ164" s="205">
        <f t="shared" si="66"/>
        <v>-1</v>
      </c>
      <c r="AK164" s="205">
        <f t="shared" si="67"/>
        <v>9</v>
      </c>
      <c r="AL164" s="205">
        <f t="shared" si="68"/>
        <v>19</v>
      </c>
      <c r="AM164" s="205">
        <f t="shared" si="69"/>
        <v>28.999999999999996</v>
      </c>
      <c r="AN164" s="205">
        <f t="shared" si="70"/>
        <v>39</v>
      </c>
      <c r="AO164" s="205">
        <f t="shared" si="71"/>
        <v>49</v>
      </c>
      <c r="AP164" s="205">
        <f t="shared" si="72"/>
        <v>59</v>
      </c>
    </row>
    <row r="165" spans="2:42" x14ac:dyDescent="0.2">
      <c r="B165" s="176" t="s">
        <v>323</v>
      </c>
      <c r="C165" s="321">
        <f t="shared" si="73"/>
        <v>250</v>
      </c>
      <c r="D165" s="192">
        <f>D163-D164</f>
        <v>250</v>
      </c>
      <c r="E165" s="192">
        <f>E163-E164</f>
        <v>250</v>
      </c>
      <c r="V165" s="268">
        <f t="shared" si="61"/>
        <v>71.500000000000057</v>
      </c>
      <c r="W165" s="269">
        <f t="shared" si="74"/>
        <v>0.71500000000000052</v>
      </c>
      <c r="X165" s="97">
        <f t="shared" si="62"/>
        <v>357.50000000000028</v>
      </c>
      <c r="Y165" s="118"/>
      <c r="Z165" s="124"/>
      <c r="AA165" s="205">
        <f t="shared" si="75"/>
        <v>357.50000000000028</v>
      </c>
      <c r="AB165" s="128"/>
      <c r="AC165" s="118"/>
      <c r="AD165" s="205">
        <f t="shared" si="76"/>
        <v>357.5</v>
      </c>
      <c r="AE165" s="138">
        <f t="shared" si="63"/>
        <v>357000</v>
      </c>
      <c r="AF165" s="138">
        <f t="shared" si="64"/>
        <v>357000</v>
      </c>
      <c r="AG165" s="138">
        <f t="shared" si="65"/>
        <v>357000</v>
      </c>
      <c r="AH165" s="118"/>
      <c r="AI165" s="118"/>
      <c r="AJ165" s="205">
        <f t="shared" si="66"/>
        <v>-1.5</v>
      </c>
      <c r="AK165" s="205">
        <f t="shared" si="67"/>
        <v>8.5</v>
      </c>
      <c r="AL165" s="205">
        <f t="shared" si="68"/>
        <v>18.5</v>
      </c>
      <c r="AM165" s="205">
        <f t="shared" si="69"/>
        <v>28.499999999999996</v>
      </c>
      <c r="AN165" s="205">
        <f t="shared" si="70"/>
        <v>38.5</v>
      </c>
      <c r="AO165" s="205">
        <f t="shared" si="71"/>
        <v>48.5</v>
      </c>
      <c r="AP165" s="205">
        <f t="shared" si="72"/>
        <v>58.5</v>
      </c>
    </row>
    <row r="166" spans="2:42" x14ac:dyDescent="0.2">
      <c r="E166" s="175"/>
      <c r="V166" s="268"/>
      <c r="W166" s="269"/>
      <c r="X166" s="97"/>
      <c r="Y166" s="118"/>
      <c r="Z166" s="124"/>
      <c r="AA166" s="205"/>
      <c r="AB166" s="128"/>
      <c r="AC166" s="118"/>
      <c r="AD166" s="205"/>
      <c r="AE166" s="138"/>
      <c r="AF166" s="138"/>
      <c r="AG166" s="138"/>
      <c r="AH166" s="118"/>
      <c r="AI166" s="118"/>
      <c r="AJ166" s="205"/>
      <c r="AK166" s="205"/>
      <c r="AL166" s="205"/>
      <c r="AM166" s="205"/>
      <c r="AN166" s="205"/>
      <c r="AO166" s="205"/>
      <c r="AP166" s="205"/>
    </row>
    <row r="167" spans="2:42" x14ac:dyDescent="0.2">
      <c r="B167" s="34" t="s">
        <v>221</v>
      </c>
      <c r="C167" s="265" t="s">
        <v>277</v>
      </c>
      <c r="D167" s="265" t="s">
        <v>220</v>
      </c>
      <c r="E167" s="265" t="s">
        <v>275</v>
      </c>
      <c r="V167" s="268">
        <f t="shared" ref="V167:V182" si="77">$V$223*W167</f>
        <v>72.000000000000057</v>
      </c>
      <c r="W167" s="269">
        <f>+W165+0.005</f>
        <v>0.72000000000000053</v>
      </c>
      <c r="X167" s="97">
        <f t="shared" ref="X167:X198" si="78">+W167*($X$223-$F$14)+$X$22</f>
        <v>360.00000000000028</v>
      </c>
      <c r="Y167" s="118"/>
      <c r="Z167" s="124"/>
      <c r="AA167" s="205">
        <f t="shared" si="75"/>
        <v>360.00000000000028</v>
      </c>
      <c r="AB167" s="128"/>
      <c r="AC167" s="118"/>
      <c r="AD167" s="205">
        <f>+AD165+($H$6/200)</f>
        <v>360</v>
      </c>
      <c r="AE167" s="138">
        <f t="shared" si="63"/>
        <v>356000</v>
      </c>
      <c r="AF167" s="138">
        <f t="shared" si="64"/>
        <v>356000</v>
      </c>
      <c r="AG167" s="138">
        <f t="shared" si="65"/>
        <v>356000</v>
      </c>
      <c r="AH167" s="118"/>
      <c r="AI167" s="118"/>
      <c r="AJ167" s="205">
        <f t="shared" si="66"/>
        <v>-2</v>
      </c>
      <c r="AK167" s="205">
        <f t="shared" si="67"/>
        <v>8</v>
      </c>
      <c r="AL167" s="205">
        <f t="shared" si="68"/>
        <v>18</v>
      </c>
      <c r="AM167" s="205">
        <f t="shared" si="69"/>
        <v>28.000000000000004</v>
      </c>
      <c r="AN167" s="205">
        <f t="shared" si="70"/>
        <v>38</v>
      </c>
      <c r="AO167" s="205">
        <f t="shared" si="71"/>
        <v>48</v>
      </c>
      <c r="AP167" s="205">
        <f t="shared" si="72"/>
        <v>57.999999999999993</v>
      </c>
    </row>
    <row r="168" spans="2:42" x14ac:dyDescent="0.2">
      <c r="C168" s="321">
        <f>IF($E$6="Wortelformule", D168,E168)</f>
        <v>625.5</v>
      </c>
      <c r="D168" s="266">
        <f>D41+$H$6*((($C$17-C41)/($C$17-$C$14))^(1/$H$7))</f>
        <v>625.5</v>
      </c>
      <c r="E168" s="192">
        <f>ROUND(D41+$H$6-$H$6*(((C41-$C$14)/($C$17-$C$14))^$H$7),1)</f>
        <v>625.5</v>
      </c>
      <c r="V168" s="268">
        <f t="shared" si="77"/>
        <v>72.500000000000057</v>
      </c>
      <c r="W168" s="269">
        <f t="shared" si="74"/>
        <v>0.72500000000000053</v>
      </c>
      <c r="X168" s="97">
        <f t="shared" si="78"/>
        <v>362.50000000000028</v>
      </c>
      <c r="Y168" s="118"/>
      <c r="Z168" s="124"/>
      <c r="AA168" s="205">
        <f t="shared" si="75"/>
        <v>362.50000000000028</v>
      </c>
      <c r="AB168" s="128"/>
      <c r="AC168" s="118"/>
      <c r="AD168" s="205">
        <f t="shared" si="76"/>
        <v>362.5</v>
      </c>
      <c r="AE168" s="138">
        <f t="shared" si="63"/>
        <v>355000</v>
      </c>
      <c r="AF168" s="138">
        <f t="shared" si="64"/>
        <v>355000</v>
      </c>
      <c r="AG168" s="138">
        <f t="shared" si="65"/>
        <v>355000</v>
      </c>
      <c r="AH168" s="118"/>
      <c r="AI168" s="118"/>
      <c r="AJ168" s="205">
        <f t="shared" si="66"/>
        <v>-2.5</v>
      </c>
      <c r="AK168" s="205">
        <f t="shared" si="67"/>
        <v>7.5</v>
      </c>
      <c r="AL168" s="205">
        <f t="shared" si="68"/>
        <v>17.5</v>
      </c>
      <c r="AM168" s="205">
        <f t="shared" si="69"/>
        <v>27.500000000000004</v>
      </c>
      <c r="AN168" s="205">
        <f t="shared" si="70"/>
        <v>37.5</v>
      </c>
      <c r="AO168" s="205">
        <f t="shared" si="71"/>
        <v>47.5</v>
      </c>
      <c r="AP168" s="205">
        <f t="shared" si="72"/>
        <v>57.499999999999993</v>
      </c>
    </row>
    <row r="169" spans="2:42" x14ac:dyDescent="0.2">
      <c r="C169" s="321">
        <f>IF($E$6="Wortelformule", D169,E169)</f>
        <v>713</v>
      </c>
      <c r="D169" s="266">
        <f>D42+$H$6*((($C$17-C42)/($C$17-$C$14))^(1/$H$7))</f>
        <v>713</v>
      </c>
      <c r="E169" s="192">
        <f>ROUND(D42+$H$6-$H$6*(((C42-$C$14)/($C$17-$C$14))^$H$7),1)</f>
        <v>713</v>
      </c>
      <c r="V169" s="268">
        <f t="shared" si="77"/>
        <v>73.000000000000057</v>
      </c>
      <c r="W169" s="269">
        <f t="shared" si="74"/>
        <v>0.73000000000000054</v>
      </c>
      <c r="X169" s="97">
        <f t="shared" si="78"/>
        <v>365.00000000000028</v>
      </c>
      <c r="Y169" s="118"/>
      <c r="Z169" s="124"/>
      <c r="AA169" s="205">
        <f t="shared" si="75"/>
        <v>365.00000000000028</v>
      </c>
      <c r="AB169" s="128"/>
      <c r="AC169" s="118"/>
      <c r="AD169" s="205">
        <f t="shared" si="76"/>
        <v>365</v>
      </c>
      <c r="AE169" s="138">
        <f t="shared" si="63"/>
        <v>354000</v>
      </c>
      <c r="AF169" s="138">
        <f t="shared" si="64"/>
        <v>354000</v>
      </c>
      <c r="AG169" s="138">
        <f t="shared" si="65"/>
        <v>354000</v>
      </c>
      <c r="AH169" s="118"/>
      <c r="AI169" s="118"/>
      <c r="AJ169" s="205">
        <f t="shared" si="66"/>
        <v>-3</v>
      </c>
      <c r="AK169" s="205">
        <f t="shared" si="67"/>
        <v>7.0000000000000009</v>
      </c>
      <c r="AL169" s="205">
        <f t="shared" si="68"/>
        <v>17</v>
      </c>
      <c r="AM169" s="205">
        <f t="shared" si="69"/>
        <v>27</v>
      </c>
      <c r="AN169" s="205">
        <f t="shared" si="70"/>
        <v>37</v>
      </c>
      <c r="AO169" s="205">
        <f t="shared" si="71"/>
        <v>47</v>
      </c>
      <c r="AP169" s="205">
        <f t="shared" si="72"/>
        <v>56.999999999999993</v>
      </c>
    </row>
    <row r="170" spans="2:42" x14ac:dyDescent="0.2">
      <c r="C170" s="321">
        <f>IF($E$6="Wortelformule", D170,E170)</f>
        <v>687.5</v>
      </c>
      <c r="D170" s="266">
        <f>D43+$H$6*((($C$17-C43)/($C$17-$C$14))^(1/$H$7))</f>
        <v>687.5</v>
      </c>
      <c r="E170" s="192">
        <f>ROUND(D43+$H$6-$H$6*(((C43-$C$14)/($C$17-$C$14))^$H$7),1)</f>
        <v>687.5</v>
      </c>
      <c r="V170" s="268">
        <f t="shared" si="77"/>
        <v>73.500000000000057</v>
      </c>
      <c r="W170" s="269">
        <f t="shared" si="74"/>
        <v>0.73500000000000054</v>
      </c>
      <c r="X170" s="97">
        <f t="shared" si="78"/>
        <v>367.50000000000028</v>
      </c>
      <c r="Y170" s="118"/>
      <c r="Z170" s="124"/>
      <c r="AA170" s="205">
        <f t="shared" si="75"/>
        <v>367.50000000000028</v>
      </c>
      <c r="AB170" s="128"/>
      <c r="AC170" s="118"/>
      <c r="AD170" s="205">
        <f t="shared" si="76"/>
        <v>367.5</v>
      </c>
      <c r="AE170" s="138">
        <f t="shared" si="63"/>
        <v>353000</v>
      </c>
      <c r="AF170" s="138">
        <f t="shared" si="64"/>
        <v>353000</v>
      </c>
      <c r="AG170" s="138">
        <f t="shared" si="65"/>
        <v>353000</v>
      </c>
      <c r="AH170" s="118"/>
      <c r="AI170" s="118"/>
      <c r="AJ170" s="205">
        <f t="shared" si="66"/>
        <v>-3.5000000000000004</v>
      </c>
      <c r="AK170" s="205">
        <f t="shared" si="67"/>
        <v>6.5</v>
      </c>
      <c r="AL170" s="205">
        <f t="shared" si="68"/>
        <v>16.5</v>
      </c>
      <c r="AM170" s="205">
        <f t="shared" si="69"/>
        <v>26.5</v>
      </c>
      <c r="AN170" s="205">
        <f t="shared" si="70"/>
        <v>36.5</v>
      </c>
      <c r="AO170" s="205">
        <f t="shared" si="71"/>
        <v>46.5</v>
      </c>
      <c r="AP170" s="205">
        <f t="shared" si="72"/>
        <v>56.499999999999993</v>
      </c>
    </row>
    <row r="171" spans="2:42" x14ac:dyDescent="0.2">
      <c r="C171" s="321">
        <f>IF($E$6="Wortelformule", D171,E171)</f>
        <v>727.5</v>
      </c>
      <c r="D171" s="266">
        <f>D44+$H$6*((($C$17-C44)/($C$17-$C$14))^(1/$H$7))</f>
        <v>727.5</v>
      </c>
      <c r="E171" s="192">
        <f>ROUND(D44+$H$6-$H$6*(((C44-$C$14)/($C$17-$C$14))^$H$7),1)</f>
        <v>727.5</v>
      </c>
      <c r="V171" s="268">
        <f t="shared" si="77"/>
        <v>74.000000000000057</v>
      </c>
      <c r="W171" s="269">
        <f t="shared" si="74"/>
        <v>0.74000000000000055</v>
      </c>
      <c r="X171" s="97">
        <f t="shared" si="78"/>
        <v>370.00000000000028</v>
      </c>
      <c r="Y171" s="118"/>
      <c r="Z171" s="124"/>
      <c r="AA171" s="205">
        <f t="shared" si="75"/>
        <v>370.00000000000028</v>
      </c>
      <c r="AB171" s="128"/>
      <c r="AC171" s="118"/>
      <c r="AD171" s="205">
        <f t="shared" si="76"/>
        <v>370</v>
      </c>
      <c r="AE171" s="138">
        <f t="shared" si="63"/>
        <v>352000</v>
      </c>
      <c r="AF171" s="138">
        <f t="shared" si="64"/>
        <v>352000</v>
      </c>
      <c r="AG171" s="138">
        <f t="shared" si="65"/>
        <v>352000</v>
      </c>
      <c r="AH171" s="118"/>
      <c r="AI171" s="118"/>
      <c r="AJ171" s="205">
        <f t="shared" si="66"/>
        <v>-4</v>
      </c>
      <c r="AK171" s="205">
        <f t="shared" si="67"/>
        <v>6</v>
      </c>
      <c r="AL171" s="205">
        <f t="shared" si="68"/>
        <v>16</v>
      </c>
      <c r="AM171" s="205">
        <f t="shared" si="69"/>
        <v>26</v>
      </c>
      <c r="AN171" s="205">
        <f t="shared" si="70"/>
        <v>36</v>
      </c>
      <c r="AO171" s="205">
        <f t="shared" si="71"/>
        <v>46</v>
      </c>
      <c r="AP171" s="205">
        <f t="shared" si="72"/>
        <v>56.000000000000007</v>
      </c>
    </row>
    <row r="172" spans="2:42" x14ac:dyDescent="0.2">
      <c r="C172" s="321">
        <f>IF($E$6="Wortelformule", D172,E172)</f>
        <v>638</v>
      </c>
      <c r="D172" s="266">
        <f>D45+$H$6*((($C$17-C45)/($C$17-$C$14))^(1/$H$7))</f>
        <v>638</v>
      </c>
      <c r="E172" s="192">
        <f>ROUND(D45+$H$6-$H$6*(((C45-$C$14)/($C$17-$C$14))^$H$7),1)</f>
        <v>638</v>
      </c>
      <c r="V172" s="268">
        <f t="shared" si="77"/>
        <v>74.500000000000057</v>
      </c>
      <c r="W172" s="269">
        <f t="shared" si="74"/>
        <v>0.74500000000000055</v>
      </c>
      <c r="X172" s="97">
        <f t="shared" si="78"/>
        <v>372.50000000000028</v>
      </c>
      <c r="Y172" s="118"/>
      <c r="Z172" s="124"/>
      <c r="AA172" s="205">
        <f t="shared" si="75"/>
        <v>372.50000000000028</v>
      </c>
      <c r="AB172" s="128"/>
      <c r="AC172" s="118"/>
      <c r="AD172" s="205">
        <f t="shared" si="76"/>
        <v>372.5</v>
      </c>
      <c r="AE172" s="138">
        <f t="shared" si="63"/>
        <v>351000</v>
      </c>
      <c r="AF172" s="138">
        <f t="shared" si="64"/>
        <v>351000</v>
      </c>
      <c r="AG172" s="138">
        <f t="shared" si="65"/>
        <v>351000</v>
      </c>
      <c r="AH172" s="118"/>
      <c r="AI172" s="118"/>
      <c r="AJ172" s="205">
        <f t="shared" si="66"/>
        <v>-4.5</v>
      </c>
      <c r="AK172" s="205">
        <f t="shared" si="67"/>
        <v>5.5</v>
      </c>
      <c r="AL172" s="205">
        <f t="shared" si="68"/>
        <v>15.5</v>
      </c>
      <c r="AM172" s="205">
        <f t="shared" si="69"/>
        <v>25.5</v>
      </c>
      <c r="AN172" s="205">
        <f t="shared" si="70"/>
        <v>35.5</v>
      </c>
      <c r="AO172" s="205">
        <f t="shared" si="71"/>
        <v>45.5</v>
      </c>
      <c r="AP172" s="205">
        <f t="shared" si="72"/>
        <v>55.500000000000007</v>
      </c>
    </row>
    <row r="173" spans="2:42" x14ac:dyDescent="0.2">
      <c r="E173" s="175"/>
      <c r="V173" s="268">
        <f t="shared" si="77"/>
        <v>75.000000000000057</v>
      </c>
      <c r="W173" s="269">
        <f t="shared" si="74"/>
        <v>0.75000000000000056</v>
      </c>
      <c r="X173" s="97">
        <f t="shared" si="78"/>
        <v>375.00000000000028</v>
      </c>
      <c r="Y173" s="118"/>
      <c r="Z173" s="124"/>
      <c r="AA173" s="205">
        <f t="shared" si="75"/>
        <v>375.00000000000028</v>
      </c>
      <c r="AB173" s="128"/>
      <c r="AC173" s="118"/>
      <c r="AD173" s="205">
        <f t="shared" si="76"/>
        <v>375</v>
      </c>
      <c r="AE173" s="138">
        <f t="shared" si="63"/>
        <v>350000</v>
      </c>
      <c r="AF173" s="138">
        <f t="shared" si="64"/>
        <v>350000</v>
      </c>
      <c r="AG173" s="138">
        <f t="shared" si="65"/>
        <v>350000</v>
      </c>
      <c r="AH173" s="118"/>
      <c r="AI173" s="118"/>
      <c r="AJ173" s="205">
        <f t="shared" si="66"/>
        <v>-5</v>
      </c>
      <c r="AK173" s="205">
        <f t="shared" si="67"/>
        <v>5</v>
      </c>
      <c r="AL173" s="205">
        <f t="shared" si="68"/>
        <v>15</v>
      </c>
      <c r="AM173" s="205">
        <f t="shared" si="69"/>
        <v>25</v>
      </c>
      <c r="AN173" s="205">
        <f t="shared" si="70"/>
        <v>35</v>
      </c>
      <c r="AO173" s="205">
        <f t="shared" si="71"/>
        <v>45</v>
      </c>
      <c r="AP173" s="205">
        <f t="shared" si="72"/>
        <v>55.000000000000007</v>
      </c>
    </row>
    <row r="174" spans="2:42" x14ac:dyDescent="0.2">
      <c r="B174" s="264" t="s">
        <v>83</v>
      </c>
      <c r="C174" s="265" t="s">
        <v>277</v>
      </c>
      <c r="D174" s="265" t="s">
        <v>220</v>
      </c>
      <c r="E174" s="265" t="s">
        <v>275</v>
      </c>
      <c r="V174" s="268">
        <f t="shared" si="77"/>
        <v>75.500000000000057</v>
      </c>
      <c r="W174" s="269">
        <f t="shared" si="74"/>
        <v>0.75500000000000056</v>
      </c>
      <c r="X174" s="97">
        <f t="shared" si="78"/>
        <v>377.50000000000028</v>
      </c>
      <c r="Y174" s="118"/>
      <c r="Z174" s="124"/>
      <c r="AA174" s="205">
        <f t="shared" si="75"/>
        <v>377.50000000000028</v>
      </c>
      <c r="AB174" s="128"/>
      <c r="AC174" s="118"/>
      <c r="AD174" s="205">
        <f t="shared" si="76"/>
        <v>377.5</v>
      </c>
      <c r="AE174" s="138">
        <f t="shared" si="63"/>
        <v>349000</v>
      </c>
      <c r="AF174" s="138">
        <f t="shared" si="64"/>
        <v>349000</v>
      </c>
      <c r="AG174" s="138">
        <f t="shared" si="65"/>
        <v>349000</v>
      </c>
      <c r="AH174" s="118"/>
      <c r="AI174" s="118"/>
      <c r="AJ174" s="205">
        <f t="shared" si="66"/>
        <v>-5.5</v>
      </c>
      <c r="AK174" s="205">
        <f t="shared" si="67"/>
        <v>4.5</v>
      </c>
      <c r="AL174" s="205">
        <f t="shared" si="68"/>
        <v>14.499999999999998</v>
      </c>
      <c r="AM174" s="205">
        <f t="shared" si="69"/>
        <v>24.5</v>
      </c>
      <c r="AN174" s="205">
        <f t="shared" si="70"/>
        <v>34.5</v>
      </c>
      <c r="AO174" s="205">
        <f t="shared" si="71"/>
        <v>44.5</v>
      </c>
      <c r="AP174" s="205">
        <f t="shared" si="72"/>
        <v>54.500000000000007</v>
      </c>
    </row>
    <row r="175" spans="2:42" x14ac:dyDescent="0.2">
      <c r="C175" s="321">
        <f t="shared" ref="C175:C186" si="79">IF($E$6="Wortelformule", D175,E175)</f>
        <v>1250</v>
      </c>
      <c r="D175" s="266">
        <f t="shared" ref="D175:D186" si="80">E87+$H$6*((($C$17-D87)/($C$17-$C$14))^(1/$H$7))</f>
        <v>1250</v>
      </c>
      <c r="E175" s="192">
        <f>ROUND(E87+($H$6-$H$6*(((D87-$C$14)/($C$17-$C$14))^$H$7)),1)</f>
        <v>1250</v>
      </c>
      <c r="V175" s="268">
        <f t="shared" si="77"/>
        <v>76.000000000000057</v>
      </c>
      <c r="W175" s="269">
        <f t="shared" si="74"/>
        <v>0.76000000000000056</v>
      </c>
      <c r="X175" s="97">
        <f t="shared" si="78"/>
        <v>380.00000000000028</v>
      </c>
      <c r="Y175" s="118"/>
      <c r="Z175" s="124"/>
      <c r="AA175" s="205">
        <f t="shared" si="75"/>
        <v>380.00000000000028</v>
      </c>
      <c r="AB175" s="128"/>
      <c r="AC175" s="118"/>
      <c r="AD175" s="205">
        <f t="shared" si="76"/>
        <v>380</v>
      </c>
      <c r="AE175" s="138">
        <f t="shared" si="63"/>
        <v>348000</v>
      </c>
      <c r="AF175" s="138">
        <f t="shared" si="64"/>
        <v>348000</v>
      </c>
      <c r="AG175" s="138">
        <f t="shared" si="65"/>
        <v>348000</v>
      </c>
      <c r="AH175" s="118"/>
      <c r="AI175" s="118"/>
      <c r="AJ175" s="205">
        <f t="shared" si="66"/>
        <v>-6</v>
      </c>
      <c r="AK175" s="205">
        <f t="shared" si="67"/>
        <v>4</v>
      </c>
      <c r="AL175" s="205">
        <f t="shared" si="68"/>
        <v>14.000000000000002</v>
      </c>
      <c r="AM175" s="205">
        <f t="shared" si="69"/>
        <v>24</v>
      </c>
      <c r="AN175" s="205">
        <f t="shared" si="70"/>
        <v>34</v>
      </c>
      <c r="AO175" s="205">
        <f t="shared" si="71"/>
        <v>44</v>
      </c>
      <c r="AP175" s="205">
        <f t="shared" si="72"/>
        <v>54</v>
      </c>
    </row>
    <row r="176" spans="2:42" x14ac:dyDescent="0.2">
      <c r="C176" s="321">
        <f t="shared" si="79"/>
        <v>1250</v>
      </c>
      <c r="D176" s="266">
        <f t="shared" si="80"/>
        <v>1250</v>
      </c>
      <c r="E176" s="192">
        <f t="shared" ref="E176:E186" si="81">ROUND(E88+$H$6-$H$6*(((D88-$C$14)/($C$17-$C$14))^$H$7),1)</f>
        <v>1250</v>
      </c>
      <c r="V176" s="268">
        <f t="shared" si="77"/>
        <v>76.500000000000057</v>
      </c>
      <c r="W176" s="269">
        <f t="shared" si="74"/>
        <v>0.76500000000000057</v>
      </c>
      <c r="X176" s="97">
        <f t="shared" si="78"/>
        <v>382.50000000000028</v>
      </c>
      <c r="Y176" s="118"/>
      <c r="Z176" s="124"/>
      <c r="AA176" s="205">
        <f t="shared" si="75"/>
        <v>382.50000000000028</v>
      </c>
      <c r="AB176" s="128"/>
      <c r="AC176" s="118"/>
      <c r="AD176" s="205">
        <f t="shared" si="76"/>
        <v>382.5</v>
      </c>
      <c r="AE176" s="138">
        <f t="shared" si="63"/>
        <v>347000</v>
      </c>
      <c r="AF176" s="138">
        <f t="shared" si="64"/>
        <v>347000</v>
      </c>
      <c r="AG176" s="138">
        <f t="shared" si="65"/>
        <v>347000</v>
      </c>
      <c r="AH176" s="118"/>
      <c r="AI176" s="118"/>
      <c r="AJ176" s="205">
        <f t="shared" si="66"/>
        <v>-6.5</v>
      </c>
      <c r="AK176" s="205">
        <f t="shared" si="67"/>
        <v>3.5000000000000004</v>
      </c>
      <c r="AL176" s="205">
        <f t="shared" si="68"/>
        <v>13.5</v>
      </c>
      <c r="AM176" s="205">
        <f t="shared" si="69"/>
        <v>23.5</v>
      </c>
      <c r="AN176" s="205">
        <f t="shared" si="70"/>
        <v>33.5</v>
      </c>
      <c r="AO176" s="205">
        <f t="shared" si="71"/>
        <v>43.5</v>
      </c>
      <c r="AP176" s="205">
        <f t="shared" si="72"/>
        <v>53.5</v>
      </c>
    </row>
    <row r="177" spans="2:42" x14ac:dyDescent="0.2">
      <c r="C177" s="321">
        <f t="shared" si="79"/>
        <v>1250</v>
      </c>
      <c r="D177" s="266">
        <f t="shared" si="80"/>
        <v>1250</v>
      </c>
      <c r="E177" s="192">
        <f t="shared" si="81"/>
        <v>1250</v>
      </c>
      <c r="V177" s="268">
        <f t="shared" si="77"/>
        <v>77.000000000000057</v>
      </c>
      <c r="W177" s="269">
        <f t="shared" si="74"/>
        <v>0.77000000000000057</v>
      </c>
      <c r="X177" s="97">
        <f t="shared" si="78"/>
        <v>385.00000000000028</v>
      </c>
      <c r="Y177" s="118"/>
      <c r="Z177" s="124"/>
      <c r="AA177" s="205">
        <f t="shared" si="75"/>
        <v>385.00000000000028</v>
      </c>
      <c r="AB177" s="128"/>
      <c r="AC177" s="118"/>
      <c r="AD177" s="205">
        <f t="shared" si="76"/>
        <v>385</v>
      </c>
      <c r="AE177" s="138">
        <f t="shared" si="63"/>
        <v>346000</v>
      </c>
      <c r="AF177" s="138">
        <f t="shared" si="64"/>
        <v>346000</v>
      </c>
      <c r="AG177" s="138">
        <f t="shared" si="65"/>
        <v>346000</v>
      </c>
      <c r="AH177" s="118"/>
      <c r="AI177" s="118"/>
      <c r="AJ177" s="205">
        <f t="shared" si="66"/>
        <v>-7.0000000000000009</v>
      </c>
      <c r="AK177" s="205">
        <f t="shared" si="67"/>
        <v>3</v>
      </c>
      <c r="AL177" s="205">
        <f t="shared" si="68"/>
        <v>13</v>
      </c>
      <c r="AM177" s="205">
        <f t="shared" si="69"/>
        <v>23</v>
      </c>
      <c r="AN177" s="205">
        <f t="shared" si="70"/>
        <v>33</v>
      </c>
      <c r="AO177" s="205">
        <f t="shared" si="71"/>
        <v>43</v>
      </c>
      <c r="AP177" s="205">
        <f t="shared" si="72"/>
        <v>53</v>
      </c>
    </row>
    <row r="178" spans="2:42" x14ac:dyDescent="0.2">
      <c r="C178" s="321">
        <f t="shared" si="79"/>
        <v>1250</v>
      </c>
      <c r="D178" s="266">
        <f t="shared" si="80"/>
        <v>1250</v>
      </c>
      <c r="E178" s="192">
        <f t="shared" si="81"/>
        <v>1250</v>
      </c>
      <c r="V178" s="268">
        <f t="shared" si="77"/>
        <v>77.500000000000057</v>
      </c>
      <c r="W178" s="269">
        <f t="shared" si="74"/>
        <v>0.77500000000000058</v>
      </c>
      <c r="X178" s="97">
        <f t="shared" si="78"/>
        <v>387.50000000000028</v>
      </c>
      <c r="Y178" s="118"/>
      <c r="Z178" s="124"/>
      <c r="AA178" s="205">
        <f t="shared" si="75"/>
        <v>387.50000000000028</v>
      </c>
      <c r="AB178" s="128"/>
      <c r="AC178" s="118"/>
      <c r="AD178" s="205">
        <f t="shared" si="76"/>
        <v>387.5</v>
      </c>
      <c r="AE178" s="138">
        <f t="shared" si="63"/>
        <v>345000</v>
      </c>
      <c r="AF178" s="138">
        <f t="shared" si="64"/>
        <v>345000</v>
      </c>
      <c r="AG178" s="138">
        <f t="shared" si="65"/>
        <v>345000</v>
      </c>
      <c r="AH178" s="118"/>
      <c r="AI178" s="118"/>
      <c r="AJ178" s="205">
        <f t="shared" si="66"/>
        <v>-7.5</v>
      </c>
      <c r="AK178" s="205">
        <f t="shared" si="67"/>
        <v>2.5</v>
      </c>
      <c r="AL178" s="205">
        <f t="shared" si="68"/>
        <v>12.5</v>
      </c>
      <c r="AM178" s="205">
        <f t="shared" si="69"/>
        <v>22.5</v>
      </c>
      <c r="AN178" s="205">
        <f t="shared" si="70"/>
        <v>32.5</v>
      </c>
      <c r="AO178" s="205">
        <f t="shared" si="71"/>
        <v>42.5</v>
      </c>
      <c r="AP178" s="205">
        <f t="shared" si="72"/>
        <v>52.5</v>
      </c>
    </row>
    <row r="179" spans="2:42" x14ac:dyDescent="0.2">
      <c r="C179" s="321">
        <f t="shared" si="79"/>
        <v>1250</v>
      </c>
      <c r="D179" s="266">
        <f t="shared" si="80"/>
        <v>1250</v>
      </c>
      <c r="E179" s="192">
        <f t="shared" si="81"/>
        <v>1250</v>
      </c>
      <c r="V179" s="268">
        <f t="shared" si="77"/>
        <v>78.000000000000057</v>
      </c>
      <c r="W179" s="269">
        <f t="shared" si="74"/>
        <v>0.78000000000000058</v>
      </c>
      <c r="X179" s="97">
        <f t="shared" si="78"/>
        <v>390.00000000000028</v>
      </c>
      <c r="Y179" s="118"/>
      <c r="Z179" s="124"/>
      <c r="AA179" s="205">
        <f t="shared" si="75"/>
        <v>390.00000000000028</v>
      </c>
      <c r="AB179" s="128"/>
      <c r="AC179" s="118"/>
      <c r="AD179" s="205">
        <f t="shared" si="76"/>
        <v>390</v>
      </c>
      <c r="AE179" s="138">
        <f t="shared" si="63"/>
        <v>344000</v>
      </c>
      <c r="AF179" s="138">
        <f t="shared" si="64"/>
        <v>344000</v>
      </c>
      <c r="AG179" s="138">
        <f t="shared" si="65"/>
        <v>344000</v>
      </c>
      <c r="AH179" s="118"/>
      <c r="AI179" s="118"/>
      <c r="AJ179" s="205">
        <f t="shared" si="66"/>
        <v>-8</v>
      </c>
      <c r="AK179" s="205">
        <f t="shared" si="67"/>
        <v>2</v>
      </c>
      <c r="AL179" s="205">
        <f t="shared" si="68"/>
        <v>12</v>
      </c>
      <c r="AM179" s="205">
        <f t="shared" si="69"/>
        <v>22</v>
      </c>
      <c r="AN179" s="205">
        <f t="shared" si="70"/>
        <v>32</v>
      </c>
      <c r="AO179" s="205">
        <f t="shared" si="71"/>
        <v>42</v>
      </c>
      <c r="AP179" s="205">
        <f t="shared" si="72"/>
        <v>52</v>
      </c>
    </row>
    <row r="180" spans="2:42" x14ac:dyDescent="0.2">
      <c r="C180" s="321">
        <f t="shared" si="79"/>
        <v>1250</v>
      </c>
      <c r="D180" s="266">
        <f t="shared" si="80"/>
        <v>1250</v>
      </c>
      <c r="E180" s="192">
        <f t="shared" si="81"/>
        <v>1250</v>
      </c>
      <c r="V180" s="268">
        <f t="shared" si="77"/>
        <v>78.500000000000057</v>
      </c>
      <c r="W180" s="269">
        <f t="shared" si="74"/>
        <v>0.78500000000000059</v>
      </c>
      <c r="X180" s="97">
        <f t="shared" si="78"/>
        <v>392.50000000000028</v>
      </c>
      <c r="Y180" s="118"/>
      <c r="Z180" s="124"/>
      <c r="AA180" s="205">
        <f t="shared" si="75"/>
        <v>392.50000000000028</v>
      </c>
      <c r="AB180" s="128"/>
      <c r="AC180" s="118"/>
      <c r="AD180" s="205">
        <f t="shared" si="76"/>
        <v>392.5</v>
      </c>
      <c r="AE180" s="138">
        <f t="shared" si="63"/>
        <v>343000</v>
      </c>
      <c r="AF180" s="138">
        <f t="shared" si="64"/>
        <v>343000</v>
      </c>
      <c r="AG180" s="138">
        <f t="shared" si="65"/>
        <v>343000</v>
      </c>
      <c r="AH180" s="118"/>
      <c r="AI180" s="118"/>
      <c r="AJ180" s="205">
        <f t="shared" si="66"/>
        <v>-8.5</v>
      </c>
      <c r="AK180" s="205">
        <f t="shared" si="67"/>
        <v>1.5</v>
      </c>
      <c r="AL180" s="205">
        <f t="shared" si="68"/>
        <v>11.5</v>
      </c>
      <c r="AM180" s="205">
        <f t="shared" si="69"/>
        <v>21.5</v>
      </c>
      <c r="AN180" s="205">
        <f t="shared" si="70"/>
        <v>31.5</v>
      </c>
      <c r="AO180" s="205">
        <f t="shared" si="71"/>
        <v>41.5</v>
      </c>
      <c r="AP180" s="205">
        <f t="shared" si="72"/>
        <v>51.5</v>
      </c>
    </row>
    <row r="181" spans="2:42" x14ac:dyDescent="0.2">
      <c r="C181" s="321">
        <f t="shared" si="79"/>
        <v>1250</v>
      </c>
      <c r="D181" s="266">
        <f t="shared" si="80"/>
        <v>1250</v>
      </c>
      <c r="E181" s="192">
        <f t="shared" si="81"/>
        <v>1250</v>
      </c>
      <c r="V181" s="268">
        <f t="shared" si="77"/>
        <v>79.000000000000057</v>
      </c>
      <c r="W181" s="269">
        <f t="shared" si="74"/>
        <v>0.79000000000000059</v>
      </c>
      <c r="X181" s="97">
        <f t="shared" si="78"/>
        <v>395.00000000000028</v>
      </c>
      <c r="Y181" s="118"/>
      <c r="Z181" s="124"/>
      <c r="AA181" s="205">
        <f t="shared" si="75"/>
        <v>395.00000000000028</v>
      </c>
      <c r="AB181" s="128"/>
      <c r="AC181" s="118"/>
      <c r="AD181" s="205">
        <f t="shared" si="76"/>
        <v>395</v>
      </c>
      <c r="AE181" s="138">
        <f t="shared" si="63"/>
        <v>342000</v>
      </c>
      <c r="AF181" s="138">
        <f t="shared" si="64"/>
        <v>342000</v>
      </c>
      <c r="AG181" s="138">
        <f t="shared" si="65"/>
        <v>342000</v>
      </c>
      <c r="AH181" s="118"/>
      <c r="AI181" s="118"/>
      <c r="AJ181" s="205">
        <f t="shared" si="66"/>
        <v>-9</v>
      </c>
      <c r="AK181" s="205">
        <f t="shared" si="67"/>
        <v>1</v>
      </c>
      <c r="AL181" s="205">
        <f t="shared" si="68"/>
        <v>11</v>
      </c>
      <c r="AM181" s="205">
        <f t="shared" si="69"/>
        <v>21</v>
      </c>
      <c r="AN181" s="205">
        <f t="shared" si="70"/>
        <v>31</v>
      </c>
      <c r="AO181" s="205">
        <f t="shared" si="71"/>
        <v>41</v>
      </c>
      <c r="AP181" s="205">
        <f t="shared" si="72"/>
        <v>51</v>
      </c>
    </row>
    <row r="182" spans="2:42" x14ac:dyDescent="0.2">
      <c r="C182" s="321">
        <f t="shared" si="79"/>
        <v>1250</v>
      </c>
      <c r="D182" s="266">
        <f t="shared" si="80"/>
        <v>1250</v>
      </c>
      <c r="E182" s="192">
        <f t="shared" si="81"/>
        <v>1250</v>
      </c>
      <c r="V182" s="268">
        <f t="shared" si="77"/>
        <v>79.500000000000057</v>
      </c>
      <c r="W182" s="269">
        <f t="shared" si="74"/>
        <v>0.7950000000000006</v>
      </c>
      <c r="X182" s="97">
        <f t="shared" si="78"/>
        <v>397.50000000000028</v>
      </c>
      <c r="Y182" s="118"/>
      <c r="Z182" s="124"/>
      <c r="AA182" s="205">
        <f t="shared" si="75"/>
        <v>397.50000000000028</v>
      </c>
      <c r="AB182" s="128"/>
      <c r="AC182" s="118"/>
      <c r="AD182" s="205">
        <f t="shared" si="76"/>
        <v>397.5</v>
      </c>
      <c r="AE182" s="138">
        <f t="shared" si="63"/>
        <v>341000</v>
      </c>
      <c r="AF182" s="138">
        <f t="shared" si="64"/>
        <v>341000</v>
      </c>
      <c r="AG182" s="138">
        <f t="shared" si="65"/>
        <v>341000</v>
      </c>
      <c r="AH182" s="118"/>
      <c r="AI182" s="118"/>
      <c r="AJ182" s="205">
        <f t="shared" si="66"/>
        <v>-9.5</v>
      </c>
      <c r="AK182" s="205">
        <f t="shared" si="67"/>
        <v>0.5</v>
      </c>
      <c r="AL182" s="205">
        <f t="shared" si="68"/>
        <v>10.5</v>
      </c>
      <c r="AM182" s="205">
        <f t="shared" si="69"/>
        <v>20.5</v>
      </c>
      <c r="AN182" s="205">
        <f t="shared" si="70"/>
        <v>30.5</v>
      </c>
      <c r="AO182" s="205">
        <f t="shared" si="71"/>
        <v>40.5</v>
      </c>
      <c r="AP182" s="205">
        <f t="shared" si="72"/>
        <v>50.5</v>
      </c>
    </row>
    <row r="183" spans="2:42" x14ac:dyDescent="0.2">
      <c r="C183" s="321">
        <f t="shared" si="79"/>
        <v>1250</v>
      </c>
      <c r="D183" s="266">
        <f t="shared" si="80"/>
        <v>1250</v>
      </c>
      <c r="E183" s="192">
        <f t="shared" si="81"/>
        <v>1250</v>
      </c>
      <c r="V183" s="268">
        <f t="shared" ref="V183:V214" si="82">$V$223*W183</f>
        <v>80.000000000000057</v>
      </c>
      <c r="W183" s="269">
        <f t="shared" si="74"/>
        <v>0.8000000000000006</v>
      </c>
      <c r="X183" s="97">
        <f t="shared" si="78"/>
        <v>400.00000000000028</v>
      </c>
      <c r="Y183" s="118"/>
      <c r="Z183" s="124"/>
      <c r="AA183" s="205">
        <f t="shared" si="75"/>
        <v>400.00000000000028</v>
      </c>
      <c r="AB183" s="128"/>
      <c r="AC183" s="118"/>
      <c r="AD183" s="205">
        <f t="shared" si="76"/>
        <v>400</v>
      </c>
      <c r="AE183" s="138">
        <f t="shared" si="63"/>
        <v>340000</v>
      </c>
      <c r="AF183" s="138">
        <f t="shared" si="64"/>
        <v>340000</v>
      </c>
      <c r="AG183" s="138">
        <f t="shared" si="65"/>
        <v>340000</v>
      </c>
      <c r="AH183" s="118"/>
      <c r="AI183" s="118"/>
      <c r="AJ183" s="205">
        <f t="shared" si="66"/>
        <v>-10</v>
      </c>
      <c r="AK183" s="205">
        <f t="shared" si="67"/>
        <v>0</v>
      </c>
      <c r="AL183" s="205">
        <f t="shared" si="68"/>
        <v>10</v>
      </c>
      <c r="AM183" s="205">
        <f t="shared" si="69"/>
        <v>20</v>
      </c>
      <c r="AN183" s="205">
        <f t="shared" si="70"/>
        <v>30</v>
      </c>
      <c r="AO183" s="205">
        <f t="shared" si="71"/>
        <v>40</v>
      </c>
      <c r="AP183" s="205">
        <f t="shared" si="72"/>
        <v>50</v>
      </c>
    </row>
    <row r="184" spans="2:42" x14ac:dyDescent="0.2">
      <c r="C184" s="321">
        <f t="shared" si="79"/>
        <v>1250</v>
      </c>
      <c r="D184" s="266">
        <f t="shared" si="80"/>
        <v>1250</v>
      </c>
      <c r="E184" s="192">
        <f t="shared" si="81"/>
        <v>1250</v>
      </c>
      <c r="V184" s="268">
        <f t="shared" si="82"/>
        <v>80.500000000000057</v>
      </c>
      <c r="W184" s="269">
        <f t="shared" si="74"/>
        <v>0.8050000000000006</v>
      </c>
      <c r="X184" s="97">
        <f t="shared" si="78"/>
        <v>402.50000000000028</v>
      </c>
      <c r="Y184" s="118"/>
      <c r="Z184" s="124"/>
      <c r="AA184" s="205">
        <f t="shared" si="75"/>
        <v>402.50000000000028</v>
      </c>
      <c r="AB184" s="128"/>
      <c r="AC184" s="118"/>
      <c r="AD184" s="205">
        <f t="shared" si="76"/>
        <v>402.5</v>
      </c>
      <c r="AE184" s="138">
        <f t="shared" si="63"/>
        <v>339000</v>
      </c>
      <c r="AF184" s="138">
        <f t="shared" si="64"/>
        <v>339000</v>
      </c>
      <c r="AG184" s="138">
        <f t="shared" si="65"/>
        <v>339000</v>
      </c>
      <c r="AH184" s="118"/>
      <c r="AI184" s="118"/>
      <c r="AJ184" s="205">
        <f t="shared" si="66"/>
        <v>-10.5</v>
      </c>
      <c r="AK184" s="205">
        <f t="shared" si="67"/>
        <v>-0.5</v>
      </c>
      <c r="AL184" s="205">
        <f t="shared" si="68"/>
        <v>9.5</v>
      </c>
      <c r="AM184" s="205">
        <f t="shared" si="69"/>
        <v>19.5</v>
      </c>
      <c r="AN184" s="205">
        <f t="shared" si="70"/>
        <v>29.5</v>
      </c>
      <c r="AO184" s="205">
        <f t="shared" si="71"/>
        <v>39.5</v>
      </c>
      <c r="AP184" s="205">
        <f t="shared" si="72"/>
        <v>49.5</v>
      </c>
    </row>
    <row r="185" spans="2:42" x14ac:dyDescent="0.2">
      <c r="C185" s="321">
        <f t="shared" si="79"/>
        <v>1250</v>
      </c>
      <c r="D185" s="266">
        <f t="shared" si="80"/>
        <v>1250</v>
      </c>
      <c r="E185" s="192">
        <f t="shared" si="81"/>
        <v>1250</v>
      </c>
      <c r="V185" s="268">
        <f t="shared" si="82"/>
        <v>81.000000000000057</v>
      </c>
      <c r="W185" s="269">
        <f t="shared" si="74"/>
        <v>0.81000000000000061</v>
      </c>
      <c r="X185" s="97">
        <f t="shared" si="78"/>
        <v>405.00000000000028</v>
      </c>
      <c r="Y185" s="118"/>
      <c r="Z185" s="124"/>
      <c r="AA185" s="205">
        <f t="shared" si="75"/>
        <v>405.00000000000028</v>
      </c>
      <c r="AB185" s="128"/>
      <c r="AC185" s="118"/>
      <c r="AD185" s="205">
        <f t="shared" si="76"/>
        <v>405</v>
      </c>
      <c r="AE185" s="138">
        <f t="shared" si="63"/>
        <v>338000</v>
      </c>
      <c r="AF185" s="138">
        <f t="shared" si="64"/>
        <v>338000</v>
      </c>
      <c r="AG185" s="138">
        <f t="shared" si="65"/>
        <v>338000</v>
      </c>
      <c r="AH185" s="118"/>
      <c r="AI185" s="118"/>
      <c r="AJ185" s="205">
        <f t="shared" si="66"/>
        <v>-11</v>
      </c>
      <c r="AK185" s="205">
        <f t="shared" si="67"/>
        <v>-1</v>
      </c>
      <c r="AL185" s="205">
        <f t="shared" si="68"/>
        <v>9</v>
      </c>
      <c r="AM185" s="205">
        <f t="shared" si="69"/>
        <v>19</v>
      </c>
      <c r="AN185" s="205">
        <f t="shared" si="70"/>
        <v>28.999999999999996</v>
      </c>
      <c r="AO185" s="205">
        <f t="shared" si="71"/>
        <v>39</v>
      </c>
      <c r="AP185" s="205">
        <f t="shared" si="72"/>
        <v>49</v>
      </c>
    </row>
    <row r="186" spans="2:42" x14ac:dyDescent="0.2">
      <c r="C186" s="321">
        <f t="shared" si="79"/>
        <v>1250</v>
      </c>
      <c r="D186" s="266">
        <f t="shared" si="80"/>
        <v>1250</v>
      </c>
      <c r="E186" s="192">
        <f t="shared" si="81"/>
        <v>1250</v>
      </c>
      <c r="V186" s="268">
        <f t="shared" si="82"/>
        <v>81.500000000000057</v>
      </c>
      <c r="W186" s="269">
        <f t="shared" si="74"/>
        <v>0.81500000000000061</v>
      </c>
      <c r="X186" s="97">
        <f t="shared" si="78"/>
        <v>407.50000000000028</v>
      </c>
      <c r="Y186" s="118"/>
      <c r="Z186" s="124"/>
      <c r="AA186" s="205">
        <f t="shared" si="75"/>
        <v>407.50000000000028</v>
      </c>
      <c r="AB186" s="128"/>
      <c r="AC186" s="118"/>
      <c r="AD186" s="205">
        <f t="shared" si="76"/>
        <v>407.5</v>
      </c>
      <c r="AE186" s="138">
        <f t="shared" si="63"/>
        <v>337000</v>
      </c>
      <c r="AF186" s="138">
        <f t="shared" si="64"/>
        <v>337000</v>
      </c>
      <c r="AG186" s="138">
        <f t="shared" si="65"/>
        <v>337000</v>
      </c>
      <c r="AH186" s="118"/>
      <c r="AI186" s="118"/>
      <c r="AJ186" s="205">
        <f t="shared" si="66"/>
        <v>-11.5</v>
      </c>
      <c r="AK186" s="205">
        <f t="shared" si="67"/>
        <v>-1.5</v>
      </c>
      <c r="AL186" s="205">
        <f t="shared" si="68"/>
        <v>8.5</v>
      </c>
      <c r="AM186" s="205">
        <f t="shared" si="69"/>
        <v>18.5</v>
      </c>
      <c r="AN186" s="205">
        <f t="shared" si="70"/>
        <v>28.499999999999996</v>
      </c>
      <c r="AO186" s="205">
        <f t="shared" si="71"/>
        <v>38.5</v>
      </c>
      <c r="AP186" s="205">
        <f t="shared" si="72"/>
        <v>48.5</v>
      </c>
    </row>
    <row r="187" spans="2:42" x14ac:dyDescent="0.2">
      <c r="E187" s="175"/>
      <c r="V187" s="268">
        <f t="shared" si="82"/>
        <v>82.000000000000057</v>
      </c>
      <c r="W187" s="269">
        <f t="shared" si="74"/>
        <v>0.82000000000000062</v>
      </c>
      <c r="X187" s="97">
        <f t="shared" si="78"/>
        <v>410.00000000000028</v>
      </c>
      <c r="Y187" s="118"/>
      <c r="Z187" s="124"/>
      <c r="AA187" s="205">
        <f t="shared" si="75"/>
        <v>410.00000000000028</v>
      </c>
      <c r="AB187" s="128"/>
      <c r="AC187" s="118"/>
      <c r="AD187" s="205">
        <f t="shared" si="76"/>
        <v>410</v>
      </c>
      <c r="AE187" s="138">
        <f t="shared" si="63"/>
        <v>336000</v>
      </c>
      <c r="AF187" s="138">
        <f t="shared" si="64"/>
        <v>336000</v>
      </c>
      <c r="AG187" s="138">
        <f t="shared" si="65"/>
        <v>336000</v>
      </c>
      <c r="AH187" s="118"/>
      <c r="AI187" s="118"/>
      <c r="AJ187" s="205">
        <f t="shared" si="66"/>
        <v>-12</v>
      </c>
      <c r="AK187" s="205">
        <f t="shared" si="67"/>
        <v>-2</v>
      </c>
      <c r="AL187" s="205">
        <f t="shared" si="68"/>
        <v>8</v>
      </c>
      <c r="AM187" s="205">
        <f t="shared" si="69"/>
        <v>18</v>
      </c>
      <c r="AN187" s="205">
        <f t="shared" si="70"/>
        <v>28.000000000000004</v>
      </c>
      <c r="AO187" s="205">
        <f t="shared" si="71"/>
        <v>38</v>
      </c>
      <c r="AP187" s="205">
        <f t="shared" si="72"/>
        <v>48</v>
      </c>
    </row>
    <row r="188" spans="2:42" x14ac:dyDescent="0.2">
      <c r="E188" s="175"/>
      <c r="V188" s="268">
        <f t="shared" si="82"/>
        <v>82.500000000000057</v>
      </c>
      <c r="W188" s="269">
        <f t="shared" si="74"/>
        <v>0.82500000000000062</v>
      </c>
      <c r="X188" s="97">
        <f t="shared" si="78"/>
        <v>412.50000000000028</v>
      </c>
      <c r="Y188" s="118"/>
      <c r="Z188" s="124"/>
      <c r="AA188" s="205">
        <f t="shared" si="75"/>
        <v>412.50000000000028</v>
      </c>
      <c r="AB188" s="128"/>
      <c r="AC188" s="118"/>
      <c r="AD188" s="205">
        <f t="shared" si="76"/>
        <v>412.5</v>
      </c>
      <c r="AE188" s="138">
        <f t="shared" si="63"/>
        <v>335000</v>
      </c>
      <c r="AF188" s="138">
        <f t="shared" si="64"/>
        <v>335000</v>
      </c>
      <c r="AG188" s="138">
        <f t="shared" si="65"/>
        <v>335000</v>
      </c>
      <c r="AH188" s="118"/>
      <c r="AI188" s="118"/>
      <c r="AJ188" s="205">
        <f t="shared" si="66"/>
        <v>-12.5</v>
      </c>
      <c r="AK188" s="205">
        <f t="shared" si="67"/>
        <v>-2.5</v>
      </c>
      <c r="AL188" s="205">
        <f t="shared" si="68"/>
        <v>7.5</v>
      </c>
      <c r="AM188" s="205">
        <f t="shared" si="69"/>
        <v>17.5</v>
      </c>
      <c r="AN188" s="205">
        <f t="shared" si="70"/>
        <v>27.500000000000004</v>
      </c>
      <c r="AO188" s="205">
        <f t="shared" si="71"/>
        <v>37.5</v>
      </c>
      <c r="AP188" s="205">
        <f t="shared" si="72"/>
        <v>47.5</v>
      </c>
    </row>
    <row r="189" spans="2:42" x14ac:dyDescent="0.2">
      <c r="E189" s="175"/>
      <c r="V189" s="268">
        <f t="shared" si="82"/>
        <v>83.000000000000057</v>
      </c>
      <c r="W189" s="269">
        <f t="shared" si="74"/>
        <v>0.83000000000000063</v>
      </c>
      <c r="X189" s="97">
        <f t="shared" si="78"/>
        <v>415.00000000000034</v>
      </c>
      <c r="Y189" s="118"/>
      <c r="Z189" s="124"/>
      <c r="AA189" s="205">
        <f t="shared" si="75"/>
        <v>415.00000000000034</v>
      </c>
      <c r="AB189" s="128"/>
      <c r="AC189" s="118"/>
      <c r="AD189" s="205">
        <f t="shared" si="76"/>
        <v>415</v>
      </c>
      <c r="AE189" s="138">
        <f t="shared" si="63"/>
        <v>334000</v>
      </c>
      <c r="AF189" s="138">
        <f t="shared" si="64"/>
        <v>334000</v>
      </c>
      <c r="AG189" s="138">
        <f t="shared" si="65"/>
        <v>334000</v>
      </c>
      <c r="AH189" s="118"/>
      <c r="AI189" s="118"/>
      <c r="AJ189" s="205">
        <f t="shared" si="66"/>
        <v>-13</v>
      </c>
      <c r="AK189" s="205">
        <f t="shared" si="67"/>
        <v>-3</v>
      </c>
      <c r="AL189" s="205">
        <f t="shared" si="68"/>
        <v>7.0000000000000009</v>
      </c>
      <c r="AM189" s="205">
        <f t="shared" si="69"/>
        <v>17</v>
      </c>
      <c r="AN189" s="205">
        <f t="shared" si="70"/>
        <v>27</v>
      </c>
      <c r="AO189" s="205">
        <f t="shared" si="71"/>
        <v>37</v>
      </c>
      <c r="AP189" s="205">
        <f t="shared" si="72"/>
        <v>47</v>
      </c>
    </row>
    <row r="190" spans="2:42" x14ac:dyDescent="0.2">
      <c r="E190" s="175"/>
      <c r="V190" s="268">
        <f t="shared" si="82"/>
        <v>83.500000000000057</v>
      </c>
      <c r="W190" s="269">
        <f t="shared" si="74"/>
        <v>0.83500000000000063</v>
      </c>
      <c r="X190" s="97">
        <f t="shared" si="78"/>
        <v>417.50000000000034</v>
      </c>
      <c r="Y190" s="118"/>
      <c r="Z190" s="124"/>
      <c r="AA190" s="205">
        <f t="shared" si="75"/>
        <v>417.50000000000034</v>
      </c>
      <c r="AB190" s="128"/>
      <c r="AC190" s="118"/>
      <c r="AD190" s="205">
        <f t="shared" si="76"/>
        <v>417.5</v>
      </c>
      <c r="AE190" s="138">
        <f t="shared" si="63"/>
        <v>333000</v>
      </c>
      <c r="AF190" s="138">
        <f t="shared" si="64"/>
        <v>333000</v>
      </c>
      <c r="AG190" s="138">
        <f t="shared" si="65"/>
        <v>333000</v>
      </c>
      <c r="AH190" s="118"/>
      <c r="AI190" s="118"/>
      <c r="AJ190" s="205">
        <f t="shared" si="66"/>
        <v>-13.5</v>
      </c>
      <c r="AK190" s="205">
        <f t="shared" si="67"/>
        <v>-3.5000000000000004</v>
      </c>
      <c r="AL190" s="205">
        <f t="shared" si="68"/>
        <v>6.5</v>
      </c>
      <c r="AM190" s="205">
        <f t="shared" si="69"/>
        <v>16.5</v>
      </c>
      <c r="AN190" s="205">
        <f t="shared" si="70"/>
        <v>26.5</v>
      </c>
      <c r="AO190" s="205">
        <f t="shared" si="71"/>
        <v>36.5</v>
      </c>
      <c r="AP190" s="205">
        <f t="shared" si="72"/>
        <v>46.5</v>
      </c>
    </row>
    <row r="191" spans="2:42" x14ac:dyDescent="0.2">
      <c r="B191" s="104" t="s">
        <v>237</v>
      </c>
      <c r="E191" s="175"/>
      <c r="V191" s="268">
        <f t="shared" si="82"/>
        <v>84.000000000000057</v>
      </c>
      <c r="W191" s="269">
        <f t="shared" si="74"/>
        <v>0.84000000000000064</v>
      </c>
      <c r="X191" s="97">
        <f t="shared" si="78"/>
        <v>420.00000000000034</v>
      </c>
      <c r="Y191" s="118"/>
      <c r="Z191" s="124"/>
      <c r="AA191" s="205">
        <f t="shared" si="75"/>
        <v>420.00000000000034</v>
      </c>
      <c r="AB191" s="128"/>
      <c r="AC191" s="118"/>
      <c r="AD191" s="205">
        <f t="shared" si="76"/>
        <v>420</v>
      </c>
      <c r="AE191" s="138">
        <f t="shared" si="63"/>
        <v>332000</v>
      </c>
      <c r="AF191" s="138">
        <f t="shared" si="64"/>
        <v>332000</v>
      </c>
      <c r="AG191" s="138">
        <f t="shared" si="65"/>
        <v>332000</v>
      </c>
      <c r="AH191" s="118"/>
      <c r="AI191" s="118"/>
      <c r="AJ191" s="205">
        <f t="shared" si="66"/>
        <v>-14.000000000000002</v>
      </c>
      <c r="AK191" s="205">
        <f t="shared" si="67"/>
        <v>-4</v>
      </c>
      <c r="AL191" s="205">
        <f t="shared" si="68"/>
        <v>6</v>
      </c>
      <c r="AM191" s="205">
        <f t="shared" si="69"/>
        <v>16</v>
      </c>
      <c r="AN191" s="205">
        <f t="shared" si="70"/>
        <v>26</v>
      </c>
      <c r="AO191" s="205">
        <f t="shared" si="71"/>
        <v>36</v>
      </c>
      <c r="AP191" s="205">
        <f t="shared" si="72"/>
        <v>46</v>
      </c>
    </row>
    <row r="192" spans="2:42" x14ac:dyDescent="0.2">
      <c r="E192" s="175"/>
      <c r="V192" s="268">
        <f t="shared" si="82"/>
        <v>84.500000000000057</v>
      </c>
      <c r="W192" s="269">
        <f t="shared" si="74"/>
        <v>0.84500000000000064</v>
      </c>
      <c r="X192" s="97">
        <f t="shared" si="78"/>
        <v>422.50000000000034</v>
      </c>
      <c r="Y192" s="118"/>
      <c r="Z192" s="124"/>
      <c r="AA192" s="205">
        <f t="shared" si="75"/>
        <v>422.50000000000034</v>
      </c>
      <c r="AB192" s="128"/>
      <c r="AC192" s="118"/>
      <c r="AD192" s="205">
        <f t="shared" si="76"/>
        <v>422.5</v>
      </c>
      <c r="AE192" s="138">
        <f t="shared" si="63"/>
        <v>331000</v>
      </c>
      <c r="AF192" s="138">
        <f t="shared" si="64"/>
        <v>331000</v>
      </c>
      <c r="AG192" s="138">
        <f t="shared" si="65"/>
        <v>331000</v>
      </c>
      <c r="AH192" s="118"/>
      <c r="AI192" s="118"/>
      <c r="AJ192" s="205">
        <f t="shared" si="66"/>
        <v>-14.499999999999998</v>
      </c>
      <c r="AK192" s="205">
        <f t="shared" si="67"/>
        <v>-4.5</v>
      </c>
      <c r="AL192" s="205">
        <f t="shared" si="68"/>
        <v>5.5</v>
      </c>
      <c r="AM192" s="205">
        <f t="shared" si="69"/>
        <v>15.5</v>
      </c>
      <c r="AN192" s="205">
        <f t="shared" si="70"/>
        <v>25.5</v>
      </c>
      <c r="AO192" s="205">
        <f t="shared" si="71"/>
        <v>35.5</v>
      </c>
      <c r="AP192" s="205">
        <f t="shared" si="72"/>
        <v>45.5</v>
      </c>
    </row>
    <row r="193" spans="2:42" x14ac:dyDescent="0.2">
      <c r="B193" s="175" t="s">
        <v>241</v>
      </c>
      <c r="C193" s="175"/>
      <c r="D193" s="175"/>
      <c r="E193" s="175" t="s">
        <v>273</v>
      </c>
      <c r="F193" s="272">
        <f>Dashboard!H18</f>
        <v>400000</v>
      </c>
      <c r="V193" s="268">
        <f t="shared" si="82"/>
        <v>85.000000000000071</v>
      </c>
      <c r="W193" s="269">
        <f t="shared" si="74"/>
        <v>0.85000000000000064</v>
      </c>
      <c r="X193" s="97">
        <f t="shared" si="78"/>
        <v>425.00000000000034</v>
      </c>
      <c r="Y193" s="118"/>
      <c r="Z193" s="124"/>
      <c r="AA193" s="205">
        <f t="shared" si="75"/>
        <v>425.00000000000034</v>
      </c>
      <c r="AB193" s="128"/>
      <c r="AC193" s="118"/>
      <c r="AD193" s="205">
        <f t="shared" si="76"/>
        <v>425</v>
      </c>
      <c r="AE193" s="138">
        <f t="shared" si="63"/>
        <v>330000</v>
      </c>
      <c r="AF193" s="138">
        <f t="shared" si="64"/>
        <v>330000</v>
      </c>
      <c r="AG193" s="138">
        <f t="shared" si="65"/>
        <v>330000</v>
      </c>
      <c r="AH193" s="118"/>
      <c r="AI193" s="118"/>
      <c r="AJ193" s="205">
        <f t="shared" si="66"/>
        <v>-15</v>
      </c>
      <c r="AK193" s="205">
        <f t="shared" si="67"/>
        <v>-5</v>
      </c>
      <c r="AL193" s="205">
        <f t="shared" si="68"/>
        <v>5</v>
      </c>
      <c r="AM193" s="205">
        <f t="shared" si="69"/>
        <v>15</v>
      </c>
      <c r="AN193" s="205">
        <f t="shared" si="70"/>
        <v>25</v>
      </c>
      <c r="AO193" s="205">
        <f t="shared" si="71"/>
        <v>35</v>
      </c>
      <c r="AP193" s="205">
        <f t="shared" si="72"/>
        <v>45</v>
      </c>
    </row>
    <row r="194" spans="2:42" x14ac:dyDescent="0.2">
      <c r="B194" s="146"/>
      <c r="C194" s="275" t="s">
        <v>59</v>
      </c>
      <c r="D194" s="275" t="s">
        <v>61</v>
      </c>
      <c r="E194" s="175"/>
      <c r="F194" s="273">
        <f>$H$6*((($C$196-F193)/($C$17-$C$14))^(1/$H$7))</f>
        <v>250</v>
      </c>
      <c r="V194" s="268">
        <f t="shared" si="82"/>
        <v>85.500000000000071</v>
      </c>
      <c r="W194" s="269">
        <f>+W193+0.005</f>
        <v>0.85500000000000065</v>
      </c>
      <c r="X194" s="97">
        <f t="shared" si="78"/>
        <v>427.50000000000034</v>
      </c>
      <c r="Y194" s="118"/>
      <c r="Z194" s="124"/>
      <c r="AA194" s="205">
        <f t="shared" si="75"/>
        <v>427.50000000000034</v>
      </c>
      <c r="AB194" s="128"/>
      <c r="AC194" s="118"/>
      <c r="AD194" s="205">
        <f t="shared" si="76"/>
        <v>427.5</v>
      </c>
      <c r="AE194" s="138">
        <f t="shared" si="63"/>
        <v>329000</v>
      </c>
      <c r="AF194" s="138">
        <f t="shared" si="64"/>
        <v>329000</v>
      </c>
      <c r="AG194" s="138">
        <f t="shared" si="65"/>
        <v>329000</v>
      </c>
      <c r="AH194" s="118"/>
      <c r="AI194" s="118"/>
      <c r="AJ194" s="205">
        <f t="shared" si="66"/>
        <v>-15.5</v>
      </c>
      <c r="AK194" s="205">
        <f t="shared" si="67"/>
        <v>-5.5</v>
      </c>
      <c r="AL194" s="205">
        <f t="shared" si="68"/>
        <v>4.5</v>
      </c>
      <c r="AM194" s="205">
        <f t="shared" si="69"/>
        <v>14.499999999999998</v>
      </c>
      <c r="AN194" s="205">
        <f t="shared" si="70"/>
        <v>24.5</v>
      </c>
      <c r="AO194" s="205">
        <f t="shared" si="71"/>
        <v>34.5</v>
      </c>
      <c r="AP194" s="205">
        <f t="shared" si="72"/>
        <v>44.5</v>
      </c>
    </row>
    <row r="195" spans="2:42" x14ac:dyDescent="0.2">
      <c r="B195" s="277" t="s">
        <v>98</v>
      </c>
      <c r="C195" s="276">
        <f>+Dashboard!$H$15</f>
        <v>300000</v>
      </c>
      <c r="D195" s="153">
        <v>0</v>
      </c>
      <c r="E195" s="175"/>
      <c r="V195" s="268">
        <f t="shared" si="82"/>
        <v>86.000000000000071</v>
      </c>
      <c r="W195" s="269">
        <f t="shared" si="74"/>
        <v>0.86000000000000065</v>
      </c>
      <c r="X195" s="97">
        <f t="shared" si="78"/>
        <v>430.00000000000034</v>
      </c>
      <c r="Y195" s="118"/>
      <c r="Z195" s="124"/>
      <c r="AA195" s="205">
        <f t="shared" si="75"/>
        <v>430.00000000000034</v>
      </c>
      <c r="AB195" s="128"/>
      <c r="AC195" s="118"/>
      <c r="AD195" s="205">
        <f t="shared" si="76"/>
        <v>430</v>
      </c>
      <c r="AE195" s="138">
        <f t="shared" si="63"/>
        <v>328000</v>
      </c>
      <c r="AF195" s="138">
        <f t="shared" si="64"/>
        <v>328000</v>
      </c>
      <c r="AG195" s="138">
        <f t="shared" si="65"/>
        <v>328000</v>
      </c>
      <c r="AH195" s="118"/>
      <c r="AI195" s="118"/>
      <c r="AJ195" s="205">
        <f t="shared" si="66"/>
        <v>-16</v>
      </c>
      <c r="AK195" s="205">
        <f t="shared" si="67"/>
        <v>-6</v>
      </c>
      <c r="AL195" s="205">
        <f t="shared" si="68"/>
        <v>4</v>
      </c>
      <c r="AM195" s="205">
        <f t="shared" si="69"/>
        <v>14.000000000000002</v>
      </c>
      <c r="AN195" s="205">
        <f t="shared" si="70"/>
        <v>24</v>
      </c>
      <c r="AO195" s="205">
        <f t="shared" si="71"/>
        <v>34</v>
      </c>
      <c r="AP195" s="205">
        <f t="shared" si="72"/>
        <v>44</v>
      </c>
    </row>
    <row r="196" spans="2:42" x14ac:dyDescent="0.2">
      <c r="B196" s="277" t="s">
        <v>99</v>
      </c>
      <c r="C196" s="276">
        <f>Dashboard!$H$14</f>
        <v>500000</v>
      </c>
      <c r="D196" s="153">
        <f>Dashboard!$H$11</f>
        <v>500</v>
      </c>
      <c r="E196" s="175"/>
      <c r="V196" s="268">
        <f t="shared" si="82"/>
        <v>86.500000000000071</v>
      </c>
      <c r="W196" s="269">
        <f t="shared" si="74"/>
        <v>0.86500000000000066</v>
      </c>
      <c r="X196" s="97">
        <f t="shared" si="78"/>
        <v>432.50000000000034</v>
      </c>
      <c r="Y196" s="118"/>
      <c r="Z196" s="124"/>
      <c r="AA196" s="205">
        <f t="shared" si="75"/>
        <v>432.50000000000034</v>
      </c>
      <c r="AB196" s="128"/>
      <c r="AC196" s="118"/>
      <c r="AD196" s="205">
        <f t="shared" si="76"/>
        <v>432.5</v>
      </c>
      <c r="AE196" s="138">
        <f t="shared" si="63"/>
        <v>327000</v>
      </c>
      <c r="AF196" s="138">
        <f t="shared" si="64"/>
        <v>327000</v>
      </c>
      <c r="AG196" s="138">
        <f t="shared" si="65"/>
        <v>327000</v>
      </c>
      <c r="AH196" s="118"/>
      <c r="AI196" s="118"/>
      <c r="AJ196" s="205">
        <f t="shared" si="66"/>
        <v>-16.5</v>
      </c>
      <c r="AK196" s="205">
        <f t="shared" si="67"/>
        <v>-6.5</v>
      </c>
      <c r="AL196" s="205">
        <f t="shared" si="68"/>
        <v>3.5000000000000004</v>
      </c>
      <c r="AM196" s="205">
        <f t="shared" si="69"/>
        <v>13.5</v>
      </c>
      <c r="AN196" s="205">
        <f t="shared" si="70"/>
        <v>23.5</v>
      </c>
      <c r="AO196" s="205">
        <f t="shared" si="71"/>
        <v>33.5</v>
      </c>
      <c r="AP196" s="205">
        <f t="shared" si="72"/>
        <v>43.5</v>
      </c>
    </row>
    <row r="197" spans="2:42" x14ac:dyDescent="0.2">
      <c r="B197" s="278" t="s">
        <v>100</v>
      </c>
      <c r="C197" s="276">
        <f>(C17-C14)/5</f>
        <v>40000</v>
      </c>
      <c r="D197" s="153">
        <f>D196/10</f>
        <v>50</v>
      </c>
      <c r="E197" s="175"/>
      <c r="V197" s="268">
        <f t="shared" si="82"/>
        <v>87.000000000000071</v>
      </c>
      <c r="W197" s="269">
        <f t="shared" si="74"/>
        <v>0.87000000000000066</v>
      </c>
      <c r="X197" s="97">
        <f t="shared" si="78"/>
        <v>435.00000000000034</v>
      </c>
      <c r="Y197" s="118"/>
      <c r="Z197" s="124"/>
      <c r="AA197" s="205">
        <f t="shared" si="75"/>
        <v>435.00000000000034</v>
      </c>
      <c r="AB197" s="128"/>
      <c r="AC197" s="118"/>
      <c r="AD197" s="205">
        <f t="shared" si="76"/>
        <v>435</v>
      </c>
      <c r="AE197" s="138">
        <f t="shared" si="63"/>
        <v>326000</v>
      </c>
      <c r="AF197" s="138">
        <f t="shared" si="64"/>
        <v>326000</v>
      </c>
      <c r="AG197" s="138">
        <f t="shared" si="65"/>
        <v>326000</v>
      </c>
      <c r="AH197" s="118"/>
      <c r="AI197" s="118"/>
      <c r="AJ197" s="205">
        <f t="shared" si="66"/>
        <v>-17</v>
      </c>
      <c r="AK197" s="205">
        <f t="shared" si="67"/>
        <v>-7.0000000000000009</v>
      </c>
      <c r="AL197" s="205">
        <f t="shared" si="68"/>
        <v>3</v>
      </c>
      <c r="AM197" s="205">
        <f t="shared" si="69"/>
        <v>13</v>
      </c>
      <c r="AN197" s="205">
        <f t="shared" si="70"/>
        <v>23</v>
      </c>
      <c r="AO197" s="205">
        <f t="shared" si="71"/>
        <v>33</v>
      </c>
      <c r="AP197" s="205">
        <f t="shared" si="72"/>
        <v>43</v>
      </c>
    </row>
    <row r="198" spans="2:42" x14ac:dyDescent="0.2">
      <c r="B198" s="34" t="s">
        <v>242</v>
      </c>
      <c r="C198" s="276">
        <f>(C17-C14)/100</f>
        <v>2000</v>
      </c>
      <c r="E198" s="175"/>
      <c r="V198" s="268">
        <f t="shared" si="82"/>
        <v>87.500000000000071</v>
      </c>
      <c r="W198" s="269">
        <f t="shared" si="74"/>
        <v>0.87500000000000067</v>
      </c>
      <c r="X198" s="97">
        <f t="shared" si="78"/>
        <v>437.50000000000034</v>
      </c>
      <c r="Y198" s="118"/>
      <c r="Z198" s="124"/>
      <c r="AA198" s="205">
        <f t="shared" si="75"/>
        <v>437.50000000000034</v>
      </c>
      <c r="AB198" s="128"/>
      <c r="AC198" s="118"/>
      <c r="AD198" s="205">
        <f t="shared" si="76"/>
        <v>437.5</v>
      </c>
      <c r="AE198" s="138">
        <f t="shared" si="63"/>
        <v>325000</v>
      </c>
      <c r="AF198" s="138">
        <f t="shared" si="64"/>
        <v>325000</v>
      </c>
      <c r="AG198" s="138">
        <f t="shared" si="65"/>
        <v>325000</v>
      </c>
      <c r="AH198" s="118"/>
      <c r="AI198" s="118"/>
      <c r="AJ198" s="205">
        <f t="shared" si="66"/>
        <v>-17.5</v>
      </c>
      <c r="AK198" s="205">
        <f t="shared" si="67"/>
        <v>-7.5</v>
      </c>
      <c r="AL198" s="205">
        <f t="shared" si="68"/>
        <v>2.5</v>
      </c>
      <c r="AM198" s="205">
        <f t="shared" si="69"/>
        <v>12.5</v>
      </c>
      <c r="AN198" s="205">
        <f t="shared" si="70"/>
        <v>22.5</v>
      </c>
      <c r="AO198" s="205">
        <f t="shared" si="71"/>
        <v>32.5</v>
      </c>
      <c r="AP198" s="205">
        <f t="shared" si="72"/>
        <v>42.5</v>
      </c>
    </row>
    <row r="199" spans="2:42" x14ac:dyDescent="0.2">
      <c r="E199" s="274" t="s">
        <v>277</v>
      </c>
      <c r="F199" s="176" t="s">
        <v>272</v>
      </c>
      <c r="G199" s="274" t="s">
        <v>271</v>
      </c>
      <c r="V199" s="268">
        <f t="shared" si="82"/>
        <v>88.000000000000071</v>
      </c>
      <c r="W199" s="269">
        <f>+W198+0.005</f>
        <v>0.88000000000000067</v>
      </c>
      <c r="X199" s="97">
        <f t="shared" ref="X199:X222" si="83">+W199*($X$223-$F$14)+$X$22</f>
        <v>440.00000000000034</v>
      </c>
      <c r="Y199" s="118"/>
      <c r="Z199" s="124"/>
      <c r="AA199" s="205">
        <f t="shared" si="75"/>
        <v>440.00000000000034</v>
      </c>
      <c r="AB199" s="128"/>
      <c r="AC199" s="118"/>
      <c r="AD199" s="205">
        <f t="shared" si="76"/>
        <v>440</v>
      </c>
      <c r="AE199" s="138">
        <f t="shared" si="63"/>
        <v>324000</v>
      </c>
      <c r="AF199" s="138">
        <f t="shared" si="64"/>
        <v>324000</v>
      </c>
      <c r="AG199" s="138">
        <f t="shared" si="65"/>
        <v>324000</v>
      </c>
      <c r="AH199" s="118"/>
      <c r="AI199" s="118"/>
      <c r="AJ199" s="205">
        <f t="shared" si="66"/>
        <v>-18</v>
      </c>
      <c r="AK199" s="205">
        <f t="shared" si="67"/>
        <v>-8</v>
      </c>
      <c r="AL199" s="205">
        <f t="shared" si="68"/>
        <v>2</v>
      </c>
      <c r="AM199" s="205">
        <f t="shared" si="69"/>
        <v>12</v>
      </c>
      <c r="AN199" s="205">
        <f t="shared" si="70"/>
        <v>22</v>
      </c>
      <c r="AO199" s="205">
        <f t="shared" si="71"/>
        <v>32</v>
      </c>
      <c r="AP199" s="205">
        <f t="shared" si="72"/>
        <v>42</v>
      </c>
    </row>
    <row r="200" spans="2:42" x14ac:dyDescent="0.2">
      <c r="B200" s="34" t="s">
        <v>92</v>
      </c>
      <c r="C200" s="176" t="s">
        <v>239</v>
      </c>
      <c r="D200" s="176" t="s">
        <v>238</v>
      </c>
      <c r="E200" s="274" t="s">
        <v>6</v>
      </c>
      <c r="F200" s="274" t="s">
        <v>240</v>
      </c>
      <c r="G200" s="274" t="s">
        <v>240</v>
      </c>
      <c r="V200" s="268">
        <f t="shared" si="82"/>
        <v>88.500000000000071</v>
      </c>
      <c r="W200" s="269">
        <f t="shared" si="74"/>
        <v>0.88500000000000068</v>
      </c>
      <c r="X200" s="97">
        <f t="shared" si="83"/>
        <v>442.50000000000034</v>
      </c>
      <c r="Y200" s="118"/>
      <c r="Z200" s="124"/>
      <c r="AA200" s="205">
        <f t="shared" si="75"/>
        <v>442.50000000000034</v>
      </c>
      <c r="AB200" s="128"/>
      <c r="AC200" s="118"/>
      <c r="AD200" s="205">
        <f t="shared" si="76"/>
        <v>442.5</v>
      </c>
      <c r="AE200" s="138">
        <f t="shared" si="63"/>
        <v>323000</v>
      </c>
      <c r="AF200" s="138">
        <f t="shared" si="64"/>
        <v>323000</v>
      </c>
      <c r="AG200" s="138">
        <f t="shared" si="65"/>
        <v>323000</v>
      </c>
      <c r="AH200" s="118"/>
      <c r="AI200" s="118"/>
      <c r="AJ200" s="205">
        <f t="shared" si="66"/>
        <v>-18.5</v>
      </c>
      <c r="AK200" s="205">
        <f t="shared" si="67"/>
        <v>-8.5</v>
      </c>
      <c r="AL200" s="205">
        <f t="shared" si="68"/>
        <v>1.5</v>
      </c>
      <c r="AM200" s="205">
        <f t="shared" si="69"/>
        <v>11.5</v>
      </c>
      <c r="AN200" s="205">
        <f t="shared" si="70"/>
        <v>21.5</v>
      </c>
      <c r="AO200" s="205">
        <f t="shared" si="71"/>
        <v>31.5</v>
      </c>
      <c r="AP200" s="205">
        <f t="shared" si="72"/>
        <v>41.5</v>
      </c>
    </row>
    <row r="201" spans="2:42" x14ac:dyDescent="0.2">
      <c r="B201" s="34">
        <v>0</v>
      </c>
      <c r="C201" s="34">
        <f>D195</f>
        <v>0</v>
      </c>
      <c r="D201" s="272">
        <f>C14</f>
        <v>300000</v>
      </c>
      <c r="E201" s="273">
        <f>IF($E$6="Wortelformule",F201,G201)</f>
        <v>500</v>
      </c>
      <c r="F201" s="273">
        <f t="shared" ref="F201:F232" si="84">$H$6*((($C$196-D201)/($C$17-$C$14))^(1/$H$7))</f>
        <v>500</v>
      </c>
      <c r="G201" s="273">
        <f>$H$6-$H$6*(((D201-$C$14)/($C$17-$C$14))^$H$7)</f>
        <v>500</v>
      </c>
      <c r="V201" s="268">
        <f t="shared" si="82"/>
        <v>89.000000000000071</v>
      </c>
      <c r="W201" s="269">
        <f t="shared" si="74"/>
        <v>0.89000000000000068</v>
      </c>
      <c r="X201" s="97">
        <f t="shared" si="83"/>
        <v>445.00000000000034</v>
      </c>
      <c r="Y201" s="118"/>
      <c r="Z201" s="124"/>
      <c r="AA201" s="205">
        <f t="shared" si="75"/>
        <v>445.00000000000034</v>
      </c>
      <c r="AB201" s="128"/>
      <c r="AC201" s="118"/>
      <c r="AD201" s="205">
        <f t="shared" si="76"/>
        <v>445</v>
      </c>
      <c r="AE201" s="138">
        <f t="shared" si="63"/>
        <v>322000</v>
      </c>
      <c r="AF201" s="138">
        <f t="shared" si="64"/>
        <v>322000</v>
      </c>
      <c r="AG201" s="138">
        <f t="shared" si="65"/>
        <v>322000</v>
      </c>
      <c r="AH201" s="118"/>
      <c r="AI201" s="118"/>
      <c r="AJ201" s="205">
        <f t="shared" si="66"/>
        <v>-19</v>
      </c>
      <c r="AK201" s="205">
        <f t="shared" si="67"/>
        <v>-9</v>
      </c>
      <c r="AL201" s="205">
        <f t="shared" si="68"/>
        <v>1</v>
      </c>
      <c r="AM201" s="205">
        <f t="shared" si="69"/>
        <v>11</v>
      </c>
      <c r="AN201" s="205">
        <f t="shared" si="70"/>
        <v>21</v>
      </c>
      <c r="AO201" s="205">
        <f t="shared" si="71"/>
        <v>31</v>
      </c>
      <c r="AP201" s="205">
        <f t="shared" si="72"/>
        <v>41</v>
      </c>
    </row>
    <row r="202" spans="2:42" x14ac:dyDescent="0.2">
      <c r="B202" s="34">
        <f>+B201+1</f>
        <v>1</v>
      </c>
      <c r="C202" s="34">
        <f t="shared" ref="C202:C233" si="85">+C201+$D$197</f>
        <v>50</v>
      </c>
      <c r="D202" s="272">
        <f>+D201+$C$198</f>
        <v>302000</v>
      </c>
      <c r="E202" s="273">
        <f t="shared" ref="E202:E265" si="86">IF($E$6="Wortelformule",F202,G202)</f>
        <v>495</v>
      </c>
      <c r="F202" s="273">
        <f t="shared" si="84"/>
        <v>495</v>
      </c>
      <c r="G202" s="273">
        <f t="shared" ref="G202:G265" si="87">$H$6-$H$6*(((D202-$C$14)/($C$17-$C$14))^$H$7)</f>
        <v>495</v>
      </c>
      <c r="V202" s="268">
        <f t="shared" si="82"/>
        <v>89.500000000000071</v>
      </c>
      <c r="W202" s="269">
        <f t="shared" si="74"/>
        <v>0.89500000000000068</v>
      </c>
      <c r="X202" s="97">
        <f t="shared" si="83"/>
        <v>447.50000000000034</v>
      </c>
      <c r="Y202" s="118"/>
      <c r="Z202" s="124"/>
      <c r="AA202" s="205">
        <f t="shared" si="75"/>
        <v>447.50000000000034</v>
      </c>
      <c r="AB202" s="128"/>
      <c r="AC202" s="118"/>
      <c r="AD202" s="205">
        <f t="shared" si="76"/>
        <v>447.5</v>
      </c>
      <c r="AE202" s="138">
        <f t="shared" si="63"/>
        <v>321000</v>
      </c>
      <c r="AF202" s="138">
        <f t="shared" si="64"/>
        <v>321000</v>
      </c>
      <c r="AG202" s="138">
        <f t="shared" si="65"/>
        <v>321000</v>
      </c>
      <c r="AH202" s="118"/>
      <c r="AI202" s="118"/>
      <c r="AJ202" s="205">
        <f t="shared" si="66"/>
        <v>-19.5</v>
      </c>
      <c r="AK202" s="205">
        <f t="shared" si="67"/>
        <v>-9.5</v>
      </c>
      <c r="AL202" s="205">
        <f t="shared" si="68"/>
        <v>0.5</v>
      </c>
      <c r="AM202" s="205">
        <f t="shared" si="69"/>
        <v>10.5</v>
      </c>
      <c r="AN202" s="205">
        <f t="shared" si="70"/>
        <v>20.5</v>
      </c>
      <c r="AO202" s="205">
        <f t="shared" si="71"/>
        <v>30.5</v>
      </c>
      <c r="AP202" s="205">
        <f t="shared" si="72"/>
        <v>40.5</v>
      </c>
    </row>
    <row r="203" spans="2:42" x14ac:dyDescent="0.2">
      <c r="B203" s="34">
        <f t="shared" ref="B203:B266" si="88">+B202+1</f>
        <v>2</v>
      </c>
      <c r="C203" s="34">
        <f t="shared" si="85"/>
        <v>100</v>
      </c>
      <c r="D203" s="272">
        <f t="shared" ref="D203:D266" si="89">+D202+$C$198</f>
        <v>304000</v>
      </c>
      <c r="E203" s="273">
        <f t="shared" si="86"/>
        <v>490</v>
      </c>
      <c r="F203" s="273">
        <f t="shared" si="84"/>
        <v>490</v>
      </c>
      <c r="G203" s="273">
        <f t="shared" si="87"/>
        <v>490</v>
      </c>
      <c r="V203" s="268">
        <f t="shared" si="82"/>
        <v>90.000000000000071</v>
      </c>
      <c r="W203" s="269">
        <f t="shared" si="74"/>
        <v>0.90000000000000069</v>
      </c>
      <c r="X203" s="97">
        <f t="shared" si="83"/>
        <v>450.00000000000034</v>
      </c>
      <c r="Y203" s="118"/>
      <c r="Z203" s="124"/>
      <c r="AA203" s="205">
        <f t="shared" si="75"/>
        <v>450.00000000000034</v>
      </c>
      <c r="AB203" s="128"/>
      <c r="AC203" s="118"/>
      <c r="AD203" s="205">
        <f t="shared" si="76"/>
        <v>450</v>
      </c>
      <c r="AE203" s="138">
        <f t="shared" si="63"/>
        <v>320000</v>
      </c>
      <c r="AF203" s="138">
        <f t="shared" si="64"/>
        <v>320000</v>
      </c>
      <c r="AG203" s="138">
        <f t="shared" si="65"/>
        <v>320000</v>
      </c>
      <c r="AH203" s="118"/>
      <c r="AI203" s="118"/>
      <c r="AJ203" s="205">
        <f t="shared" si="66"/>
        <v>-20</v>
      </c>
      <c r="AK203" s="205">
        <f t="shared" si="67"/>
        <v>-10</v>
      </c>
      <c r="AL203" s="205">
        <f t="shared" si="68"/>
        <v>0</v>
      </c>
      <c r="AM203" s="205">
        <f t="shared" si="69"/>
        <v>10</v>
      </c>
      <c r="AN203" s="205">
        <f t="shared" si="70"/>
        <v>20</v>
      </c>
      <c r="AO203" s="205">
        <f t="shared" si="71"/>
        <v>30</v>
      </c>
      <c r="AP203" s="205">
        <f t="shared" si="72"/>
        <v>40</v>
      </c>
    </row>
    <row r="204" spans="2:42" x14ac:dyDescent="0.2">
      <c r="B204" s="34">
        <f t="shared" si="88"/>
        <v>3</v>
      </c>
      <c r="C204" s="34">
        <f t="shared" si="85"/>
        <v>150</v>
      </c>
      <c r="D204" s="272">
        <f t="shared" si="89"/>
        <v>306000</v>
      </c>
      <c r="E204" s="273">
        <f t="shared" si="86"/>
        <v>485</v>
      </c>
      <c r="F204" s="273">
        <f t="shared" si="84"/>
        <v>485</v>
      </c>
      <c r="G204" s="273">
        <f t="shared" si="87"/>
        <v>485</v>
      </c>
      <c r="V204" s="268">
        <f t="shared" si="82"/>
        <v>90.500000000000071</v>
      </c>
      <c r="W204" s="269">
        <f t="shared" si="74"/>
        <v>0.90500000000000069</v>
      </c>
      <c r="X204" s="97">
        <f t="shared" si="83"/>
        <v>452.50000000000034</v>
      </c>
      <c r="Y204" s="118"/>
      <c r="Z204" s="124"/>
      <c r="AA204" s="205">
        <f t="shared" si="75"/>
        <v>452.50000000000034</v>
      </c>
      <c r="AB204" s="128"/>
      <c r="AC204" s="118"/>
      <c r="AD204" s="205">
        <f t="shared" si="76"/>
        <v>452.5</v>
      </c>
      <c r="AE204" s="138">
        <f t="shared" si="63"/>
        <v>319000</v>
      </c>
      <c r="AF204" s="138">
        <f t="shared" si="64"/>
        <v>319000</v>
      </c>
      <c r="AG204" s="138">
        <f t="shared" si="65"/>
        <v>319000</v>
      </c>
      <c r="AH204" s="118"/>
      <c r="AI204" s="118"/>
      <c r="AJ204" s="205">
        <f t="shared" si="66"/>
        <v>-20.5</v>
      </c>
      <c r="AK204" s="205">
        <f t="shared" si="67"/>
        <v>-10.5</v>
      </c>
      <c r="AL204" s="205">
        <f t="shared" si="68"/>
        <v>-0.5</v>
      </c>
      <c r="AM204" s="205">
        <f t="shared" si="69"/>
        <v>9.5</v>
      </c>
      <c r="AN204" s="205">
        <f t="shared" si="70"/>
        <v>19.5</v>
      </c>
      <c r="AO204" s="205">
        <f t="shared" si="71"/>
        <v>29.5</v>
      </c>
      <c r="AP204" s="205">
        <f t="shared" si="72"/>
        <v>39.5</v>
      </c>
    </row>
    <row r="205" spans="2:42" x14ac:dyDescent="0.2">
      <c r="B205" s="34">
        <f t="shared" si="88"/>
        <v>4</v>
      </c>
      <c r="C205" s="34">
        <f t="shared" si="85"/>
        <v>200</v>
      </c>
      <c r="D205" s="272">
        <f t="shared" si="89"/>
        <v>308000</v>
      </c>
      <c r="E205" s="273">
        <f t="shared" si="86"/>
        <v>480</v>
      </c>
      <c r="F205" s="273">
        <f t="shared" si="84"/>
        <v>480</v>
      </c>
      <c r="G205" s="273">
        <f t="shared" si="87"/>
        <v>480</v>
      </c>
      <c r="V205" s="268">
        <f t="shared" si="82"/>
        <v>91.000000000000071</v>
      </c>
      <c r="W205" s="269">
        <f t="shared" si="74"/>
        <v>0.9100000000000007</v>
      </c>
      <c r="X205" s="97">
        <f t="shared" si="83"/>
        <v>455.00000000000034</v>
      </c>
      <c r="Y205" s="118"/>
      <c r="Z205" s="124"/>
      <c r="AA205" s="205">
        <f t="shared" si="75"/>
        <v>455.00000000000034</v>
      </c>
      <c r="AB205" s="128"/>
      <c r="AC205" s="118"/>
      <c r="AD205" s="205">
        <f t="shared" si="76"/>
        <v>455</v>
      </c>
      <c r="AE205" s="138">
        <f t="shared" si="63"/>
        <v>318000</v>
      </c>
      <c r="AF205" s="138">
        <f t="shared" si="64"/>
        <v>318000</v>
      </c>
      <c r="AG205" s="138">
        <f t="shared" si="65"/>
        <v>318000</v>
      </c>
      <c r="AH205" s="118"/>
      <c r="AI205" s="118"/>
      <c r="AJ205" s="205">
        <f t="shared" si="66"/>
        <v>-21</v>
      </c>
      <c r="AK205" s="205">
        <f t="shared" si="67"/>
        <v>-11</v>
      </c>
      <c r="AL205" s="205">
        <f t="shared" si="68"/>
        <v>-1</v>
      </c>
      <c r="AM205" s="205">
        <f t="shared" si="69"/>
        <v>9</v>
      </c>
      <c r="AN205" s="205">
        <f t="shared" si="70"/>
        <v>19</v>
      </c>
      <c r="AO205" s="205">
        <f t="shared" si="71"/>
        <v>28.999999999999996</v>
      </c>
      <c r="AP205" s="205">
        <f t="shared" si="72"/>
        <v>39</v>
      </c>
    </row>
    <row r="206" spans="2:42" x14ac:dyDescent="0.2">
      <c r="B206" s="34">
        <f t="shared" si="88"/>
        <v>5</v>
      </c>
      <c r="C206" s="34">
        <f t="shared" si="85"/>
        <v>250</v>
      </c>
      <c r="D206" s="272">
        <f t="shared" si="89"/>
        <v>310000</v>
      </c>
      <c r="E206" s="273">
        <f t="shared" si="86"/>
        <v>475</v>
      </c>
      <c r="F206" s="273">
        <f t="shared" si="84"/>
        <v>475</v>
      </c>
      <c r="G206" s="273">
        <f t="shared" si="87"/>
        <v>475</v>
      </c>
      <c r="V206" s="268">
        <f t="shared" si="82"/>
        <v>91.500000000000071</v>
      </c>
      <c r="W206" s="269">
        <f t="shared" si="74"/>
        <v>0.9150000000000007</v>
      </c>
      <c r="X206" s="97">
        <f t="shared" si="83"/>
        <v>457.50000000000034</v>
      </c>
      <c r="Y206" s="118"/>
      <c r="Z206" s="124"/>
      <c r="AA206" s="205">
        <f t="shared" si="75"/>
        <v>457.50000000000034</v>
      </c>
      <c r="AB206" s="128"/>
      <c r="AC206" s="118"/>
      <c r="AD206" s="205">
        <f t="shared" si="76"/>
        <v>457.5</v>
      </c>
      <c r="AE206" s="138">
        <f t="shared" si="63"/>
        <v>317000</v>
      </c>
      <c r="AF206" s="138">
        <f t="shared" si="64"/>
        <v>317000</v>
      </c>
      <c r="AG206" s="138">
        <f t="shared" si="65"/>
        <v>317000</v>
      </c>
      <c r="AH206" s="118"/>
      <c r="AI206" s="118"/>
      <c r="AJ206" s="205">
        <f t="shared" si="66"/>
        <v>-21.5</v>
      </c>
      <c r="AK206" s="205">
        <f t="shared" si="67"/>
        <v>-11.5</v>
      </c>
      <c r="AL206" s="205">
        <f t="shared" si="68"/>
        <v>-1.5</v>
      </c>
      <c r="AM206" s="205">
        <f t="shared" si="69"/>
        <v>8.5</v>
      </c>
      <c r="AN206" s="205">
        <f t="shared" si="70"/>
        <v>18.5</v>
      </c>
      <c r="AO206" s="205">
        <f t="shared" si="71"/>
        <v>28.499999999999996</v>
      </c>
      <c r="AP206" s="205">
        <f t="shared" si="72"/>
        <v>38.5</v>
      </c>
    </row>
    <row r="207" spans="2:42" x14ac:dyDescent="0.2">
      <c r="B207" s="34">
        <f t="shared" si="88"/>
        <v>6</v>
      </c>
      <c r="C207" s="34">
        <f t="shared" si="85"/>
        <v>300</v>
      </c>
      <c r="D207" s="272">
        <f t="shared" si="89"/>
        <v>312000</v>
      </c>
      <c r="E207" s="273">
        <f t="shared" si="86"/>
        <v>470</v>
      </c>
      <c r="F207" s="273">
        <f t="shared" si="84"/>
        <v>470</v>
      </c>
      <c r="G207" s="273">
        <f t="shared" si="87"/>
        <v>470</v>
      </c>
      <c r="V207" s="268">
        <f t="shared" si="82"/>
        <v>92.000000000000071</v>
      </c>
      <c r="W207" s="269">
        <f t="shared" si="74"/>
        <v>0.92000000000000071</v>
      </c>
      <c r="X207" s="97">
        <f t="shared" si="83"/>
        <v>460.00000000000034</v>
      </c>
      <c r="Y207" s="118"/>
      <c r="Z207" s="124"/>
      <c r="AA207" s="205">
        <f t="shared" si="75"/>
        <v>460.00000000000034</v>
      </c>
      <c r="AB207" s="128"/>
      <c r="AC207" s="118"/>
      <c r="AD207" s="205">
        <f t="shared" si="76"/>
        <v>460</v>
      </c>
      <c r="AE207" s="138">
        <f t="shared" si="63"/>
        <v>316000</v>
      </c>
      <c r="AF207" s="138">
        <f t="shared" si="64"/>
        <v>316000</v>
      </c>
      <c r="AG207" s="138">
        <f t="shared" si="65"/>
        <v>316000</v>
      </c>
      <c r="AH207" s="118"/>
      <c r="AI207" s="118"/>
      <c r="AJ207" s="205">
        <f t="shared" si="66"/>
        <v>-22</v>
      </c>
      <c r="AK207" s="205">
        <f t="shared" si="67"/>
        <v>-12</v>
      </c>
      <c r="AL207" s="205">
        <f t="shared" si="68"/>
        <v>-2</v>
      </c>
      <c r="AM207" s="205">
        <f t="shared" si="69"/>
        <v>8</v>
      </c>
      <c r="AN207" s="205">
        <f t="shared" si="70"/>
        <v>18</v>
      </c>
      <c r="AO207" s="205">
        <f t="shared" si="71"/>
        <v>28.000000000000004</v>
      </c>
      <c r="AP207" s="205">
        <f t="shared" si="72"/>
        <v>38</v>
      </c>
    </row>
    <row r="208" spans="2:42" x14ac:dyDescent="0.2">
      <c r="B208" s="34">
        <f t="shared" si="88"/>
        <v>7</v>
      </c>
      <c r="C208" s="34">
        <f t="shared" si="85"/>
        <v>350</v>
      </c>
      <c r="D208" s="272">
        <f t="shared" si="89"/>
        <v>314000</v>
      </c>
      <c r="E208" s="273">
        <f t="shared" si="86"/>
        <v>465</v>
      </c>
      <c r="F208" s="273">
        <f t="shared" si="84"/>
        <v>465</v>
      </c>
      <c r="G208" s="273">
        <f t="shared" si="87"/>
        <v>465</v>
      </c>
      <c r="V208" s="268">
        <f t="shared" si="82"/>
        <v>92.500000000000071</v>
      </c>
      <c r="W208" s="269">
        <f t="shared" si="74"/>
        <v>0.92500000000000071</v>
      </c>
      <c r="X208" s="97">
        <f t="shared" si="83"/>
        <v>462.50000000000034</v>
      </c>
      <c r="Y208" s="118"/>
      <c r="Z208" s="124"/>
      <c r="AA208" s="205">
        <f t="shared" si="75"/>
        <v>462.50000000000034</v>
      </c>
      <c r="AB208" s="128"/>
      <c r="AC208" s="118"/>
      <c r="AD208" s="205">
        <f t="shared" si="76"/>
        <v>462.5</v>
      </c>
      <c r="AE208" s="138">
        <f t="shared" si="63"/>
        <v>315000</v>
      </c>
      <c r="AF208" s="138">
        <f t="shared" si="64"/>
        <v>315000</v>
      </c>
      <c r="AG208" s="138">
        <f t="shared" si="65"/>
        <v>315000</v>
      </c>
      <c r="AH208" s="118"/>
      <c r="AI208" s="118"/>
      <c r="AJ208" s="205">
        <f t="shared" si="66"/>
        <v>-22.5</v>
      </c>
      <c r="AK208" s="205">
        <f t="shared" si="67"/>
        <v>-12.5</v>
      </c>
      <c r="AL208" s="205">
        <f t="shared" si="68"/>
        <v>-2.5</v>
      </c>
      <c r="AM208" s="205">
        <f t="shared" si="69"/>
        <v>7.5</v>
      </c>
      <c r="AN208" s="205">
        <f t="shared" si="70"/>
        <v>17.5</v>
      </c>
      <c r="AO208" s="205">
        <f t="shared" si="71"/>
        <v>27.500000000000004</v>
      </c>
      <c r="AP208" s="205">
        <f t="shared" si="72"/>
        <v>37.5</v>
      </c>
    </row>
    <row r="209" spans="1:42" x14ac:dyDescent="0.2">
      <c r="B209" s="34">
        <f t="shared" si="88"/>
        <v>8</v>
      </c>
      <c r="C209" s="34">
        <f t="shared" si="85"/>
        <v>400</v>
      </c>
      <c r="D209" s="272">
        <f t="shared" si="89"/>
        <v>316000</v>
      </c>
      <c r="E209" s="273">
        <f t="shared" si="86"/>
        <v>460</v>
      </c>
      <c r="F209" s="273">
        <f t="shared" si="84"/>
        <v>460</v>
      </c>
      <c r="G209" s="273">
        <f t="shared" si="87"/>
        <v>460</v>
      </c>
      <c r="V209" s="268">
        <f t="shared" si="82"/>
        <v>93.000000000000071</v>
      </c>
      <c r="W209" s="269">
        <f t="shared" si="74"/>
        <v>0.93000000000000071</v>
      </c>
      <c r="X209" s="97">
        <f t="shared" si="83"/>
        <v>465.00000000000034</v>
      </c>
      <c r="Y209" s="118"/>
      <c r="Z209" s="124"/>
      <c r="AA209" s="205">
        <f t="shared" si="75"/>
        <v>465.00000000000034</v>
      </c>
      <c r="AB209" s="128"/>
      <c r="AC209" s="118"/>
      <c r="AD209" s="205">
        <f t="shared" si="76"/>
        <v>465</v>
      </c>
      <c r="AE209" s="138">
        <f t="shared" si="63"/>
        <v>314000</v>
      </c>
      <c r="AF209" s="138">
        <f t="shared" si="64"/>
        <v>314000</v>
      </c>
      <c r="AG209" s="138">
        <f t="shared" si="65"/>
        <v>314000</v>
      </c>
      <c r="AH209" s="118"/>
      <c r="AI209" s="118"/>
      <c r="AJ209" s="205">
        <f t="shared" si="66"/>
        <v>-23</v>
      </c>
      <c r="AK209" s="205">
        <f t="shared" si="67"/>
        <v>-13</v>
      </c>
      <c r="AL209" s="205">
        <f t="shared" si="68"/>
        <v>-3</v>
      </c>
      <c r="AM209" s="205">
        <f t="shared" si="69"/>
        <v>7.0000000000000009</v>
      </c>
      <c r="AN209" s="205">
        <f t="shared" si="70"/>
        <v>17</v>
      </c>
      <c r="AO209" s="205">
        <f t="shared" si="71"/>
        <v>27</v>
      </c>
      <c r="AP209" s="205">
        <f t="shared" si="72"/>
        <v>37</v>
      </c>
    </row>
    <row r="210" spans="1:42" x14ac:dyDescent="0.2">
      <c r="B210" s="34">
        <f t="shared" si="88"/>
        <v>9</v>
      </c>
      <c r="C210" s="34">
        <f t="shared" si="85"/>
        <v>450</v>
      </c>
      <c r="D210" s="272">
        <f t="shared" si="89"/>
        <v>318000</v>
      </c>
      <c r="E210" s="273">
        <f t="shared" si="86"/>
        <v>455</v>
      </c>
      <c r="F210" s="273">
        <f t="shared" si="84"/>
        <v>455</v>
      </c>
      <c r="G210" s="273">
        <f t="shared" si="87"/>
        <v>455</v>
      </c>
      <c r="V210" s="268">
        <f t="shared" si="82"/>
        <v>93.500000000000071</v>
      </c>
      <c r="W210" s="269">
        <f t="shared" si="74"/>
        <v>0.93500000000000072</v>
      </c>
      <c r="X210" s="97">
        <f t="shared" si="83"/>
        <v>467.50000000000034</v>
      </c>
      <c r="Y210" s="118"/>
      <c r="Z210" s="124"/>
      <c r="AA210" s="205">
        <f t="shared" si="75"/>
        <v>467.50000000000034</v>
      </c>
      <c r="AB210" s="128"/>
      <c r="AC210" s="118"/>
      <c r="AD210" s="205">
        <f t="shared" si="76"/>
        <v>467.5</v>
      </c>
      <c r="AE210" s="138">
        <f t="shared" si="63"/>
        <v>313000</v>
      </c>
      <c r="AF210" s="138">
        <f t="shared" si="64"/>
        <v>313000</v>
      </c>
      <c r="AG210" s="138">
        <f t="shared" si="65"/>
        <v>313000</v>
      </c>
      <c r="AH210" s="118"/>
      <c r="AI210" s="118"/>
      <c r="AJ210" s="205">
        <f t="shared" si="66"/>
        <v>-23.5</v>
      </c>
      <c r="AK210" s="205">
        <f t="shared" si="67"/>
        <v>-13.5</v>
      </c>
      <c r="AL210" s="205">
        <f t="shared" si="68"/>
        <v>-3.5000000000000004</v>
      </c>
      <c r="AM210" s="205">
        <f t="shared" si="69"/>
        <v>6.5</v>
      </c>
      <c r="AN210" s="205">
        <f t="shared" si="70"/>
        <v>16.5</v>
      </c>
      <c r="AO210" s="205">
        <f t="shared" si="71"/>
        <v>26.5</v>
      </c>
      <c r="AP210" s="205">
        <f t="shared" si="72"/>
        <v>36.5</v>
      </c>
    </row>
    <row r="211" spans="1:42" x14ac:dyDescent="0.2">
      <c r="A211" s="176"/>
      <c r="B211" s="34">
        <f t="shared" si="88"/>
        <v>10</v>
      </c>
      <c r="C211" s="34">
        <f t="shared" si="85"/>
        <v>500</v>
      </c>
      <c r="D211" s="272">
        <f t="shared" si="89"/>
        <v>320000</v>
      </c>
      <c r="E211" s="273">
        <f t="shared" si="86"/>
        <v>450</v>
      </c>
      <c r="F211" s="273">
        <f t="shared" si="84"/>
        <v>450</v>
      </c>
      <c r="G211" s="273">
        <f t="shared" si="87"/>
        <v>450</v>
      </c>
      <c r="V211" s="268">
        <f t="shared" si="82"/>
        <v>94.000000000000071</v>
      </c>
      <c r="W211" s="269">
        <f t="shared" si="74"/>
        <v>0.94000000000000072</v>
      </c>
      <c r="X211" s="97">
        <f t="shared" si="83"/>
        <v>470.00000000000034</v>
      </c>
      <c r="Y211" s="118"/>
      <c r="Z211" s="124"/>
      <c r="AA211" s="205">
        <f t="shared" si="75"/>
        <v>470.00000000000034</v>
      </c>
      <c r="AB211" s="128"/>
      <c r="AC211" s="118"/>
      <c r="AD211" s="205">
        <f t="shared" si="76"/>
        <v>470</v>
      </c>
      <c r="AE211" s="138">
        <f t="shared" si="63"/>
        <v>312000</v>
      </c>
      <c r="AF211" s="138">
        <f t="shared" si="64"/>
        <v>312000</v>
      </c>
      <c r="AG211" s="138">
        <f t="shared" si="65"/>
        <v>312000</v>
      </c>
      <c r="AH211" s="118"/>
      <c r="AI211" s="118"/>
      <c r="AJ211" s="205">
        <f t="shared" si="66"/>
        <v>-24</v>
      </c>
      <c r="AK211" s="205">
        <f t="shared" si="67"/>
        <v>-14.000000000000002</v>
      </c>
      <c r="AL211" s="205">
        <f t="shared" si="68"/>
        <v>-4</v>
      </c>
      <c r="AM211" s="205">
        <f t="shared" si="69"/>
        <v>6</v>
      </c>
      <c r="AN211" s="205">
        <f t="shared" si="70"/>
        <v>16</v>
      </c>
      <c r="AO211" s="205">
        <f t="shared" si="71"/>
        <v>26</v>
      </c>
      <c r="AP211" s="205">
        <f t="shared" si="72"/>
        <v>36</v>
      </c>
    </row>
    <row r="212" spans="1:42" x14ac:dyDescent="0.2">
      <c r="B212" s="34">
        <f t="shared" si="88"/>
        <v>11</v>
      </c>
      <c r="C212" s="34">
        <f t="shared" si="85"/>
        <v>550</v>
      </c>
      <c r="D212" s="272">
        <f t="shared" si="89"/>
        <v>322000</v>
      </c>
      <c r="E212" s="273">
        <f t="shared" si="86"/>
        <v>445</v>
      </c>
      <c r="F212" s="273">
        <f t="shared" si="84"/>
        <v>445</v>
      </c>
      <c r="G212" s="273">
        <f t="shared" si="87"/>
        <v>445</v>
      </c>
      <c r="V212" s="268">
        <f t="shared" si="82"/>
        <v>94.500000000000071</v>
      </c>
      <c r="W212" s="269">
        <f t="shared" si="74"/>
        <v>0.94500000000000073</v>
      </c>
      <c r="X212" s="97">
        <f t="shared" si="83"/>
        <v>472.50000000000034</v>
      </c>
      <c r="Y212" s="118"/>
      <c r="Z212" s="124"/>
      <c r="AA212" s="205">
        <f t="shared" si="75"/>
        <v>472.50000000000034</v>
      </c>
      <c r="AB212" s="128"/>
      <c r="AC212" s="118"/>
      <c r="AD212" s="205">
        <f t="shared" si="76"/>
        <v>472.5</v>
      </c>
      <c r="AE212" s="138">
        <f t="shared" si="63"/>
        <v>311000</v>
      </c>
      <c r="AF212" s="138">
        <f t="shared" si="64"/>
        <v>311000</v>
      </c>
      <c r="AG212" s="138">
        <f t="shared" si="65"/>
        <v>311000</v>
      </c>
      <c r="AH212" s="118"/>
      <c r="AI212" s="118"/>
      <c r="AJ212" s="205">
        <f t="shared" si="66"/>
        <v>-24.5</v>
      </c>
      <c r="AK212" s="205">
        <f t="shared" si="67"/>
        <v>-14.499999999999998</v>
      </c>
      <c r="AL212" s="205">
        <f t="shared" si="68"/>
        <v>-4.5</v>
      </c>
      <c r="AM212" s="205">
        <f t="shared" si="69"/>
        <v>5.5</v>
      </c>
      <c r="AN212" s="205">
        <f t="shared" si="70"/>
        <v>15.5</v>
      </c>
      <c r="AO212" s="205">
        <f t="shared" si="71"/>
        <v>25.5</v>
      </c>
      <c r="AP212" s="205">
        <f t="shared" si="72"/>
        <v>35.5</v>
      </c>
    </row>
    <row r="213" spans="1:42" x14ac:dyDescent="0.2">
      <c r="B213" s="34">
        <f t="shared" si="88"/>
        <v>12</v>
      </c>
      <c r="C213" s="34">
        <f t="shared" si="85"/>
        <v>600</v>
      </c>
      <c r="D213" s="272">
        <f t="shared" si="89"/>
        <v>324000</v>
      </c>
      <c r="E213" s="273">
        <f t="shared" si="86"/>
        <v>440</v>
      </c>
      <c r="F213" s="273">
        <f t="shared" si="84"/>
        <v>440</v>
      </c>
      <c r="G213" s="273">
        <f t="shared" si="87"/>
        <v>440</v>
      </c>
      <c r="V213" s="268">
        <f t="shared" si="82"/>
        <v>95.000000000000071</v>
      </c>
      <c r="W213" s="269">
        <f t="shared" si="74"/>
        <v>0.95000000000000073</v>
      </c>
      <c r="X213" s="97">
        <f t="shared" si="83"/>
        <v>475.00000000000034</v>
      </c>
      <c r="Y213" s="118"/>
      <c r="Z213" s="124"/>
      <c r="AA213" s="205">
        <f t="shared" si="75"/>
        <v>475.00000000000034</v>
      </c>
      <c r="AB213" s="128"/>
      <c r="AC213" s="118"/>
      <c r="AD213" s="205">
        <f t="shared" si="76"/>
        <v>475</v>
      </c>
      <c r="AE213" s="138">
        <f t="shared" si="63"/>
        <v>310000</v>
      </c>
      <c r="AF213" s="138">
        <f t="shared" si="64"/>
        <v>310000</v>
      </c>
      <c r="AG213" s="138">
        <f t="shared" si="65"/>
        <v>310000</v>
      </c>
      <c r="AH213" s="118"/>
      <c r="AI213" s="118"/>
      <c r="AJ213" s="205">
        <f t="shared" si="66"/>
        <v>-25</v>
      </c>
      <c r="AK213" s="205">
        <f t="shared" si="67"/>
        <v>-15</v>
      </c>
      <c r="AL213" s="205">
        <f t="shared" si="68"/>
        <v>-5</v>
      </c>
      <c r="AM213" s="205">
        <f t="shared" si="69"/>
        <v>5</v>
      </c>
      <c r="AN213" s="205">
        <f t="shared" si="70"/>
        <v>15</v>
      </c>
      <c r="AO213" s="205">
        <f t="shared" si="71"/>
        <v>25</v>
      </c>
      <c r="AP213" s="205">
        <f t="shared" si="72"/>
        <v>35</v>
      </c>
    </row>
    <row r="214" spans="1:42" x14ac:dyDescent="0.2">
      <c r="B214" s="34">
        <f t="shared" si="88"/>
        <v>13</v>
      </c>
      <c r="C214" s="34">
        <f t="shared" si="85"/>
        <v>650</v>
      </c>
      <c r="D214" s="272">
        <f t="shared" si="89"/>
        <v>326000</v>
      </c>
      <c r="E214" s="273">
        <f t="shared" si="86"/>
        <v>435</v>
      </c>
      <c r="F214" s="273">
        <f t="shared" si="84"/>
        <v>435</v>
      </c>
      <c r="G214" s="273">
        <f t="shared" si="87"/>
        <v>435</v>
      </c>
      <c r="V214" s="268">
        <f t="shared" si="82"/>
        <v>95.500000000000071</v>
      </c>
      <c r="W214" s="269">
        <f t="shared" si="74"/>
        <v>0.95500000000000074</v>
      </c>
      <c r="X214" s="97">
        <f t="shared" si="83"/>
        <v>477.50000000000034</v>
      </c>
      <c r="Y214" s="118"/>
      <c r="Z214" s="124"/>
      <c r="AA214" s="205">
        <f t="shared" si="75"/>
        <v>477.50000000000034</v>
      </c>
      <c r="AB214" s="128"/>
      <c r="AC214" s="118"/>
      <c r="AD214" s="205">
        <f t="shared" si="76"/>
        <v>477.5</v>
      </c>
      <c r="AE214" s="138">
        <f t="shared" si="63"/>
        <v>309000</v>
      </c>
      <c r="AF214" s="138">
        <f t="shared" si="64"/>
        <v>309000</v>
      </c>
      <c r="AG214" s="138">
        <f t="shared" si="65"/>
        <v>309000</v>
      </c>
      <c r="AH214" s="118"/>
      <c r="AI214" s="118"/>
      <c r="AJ214" s="205">
        <f t="shared" si="66"/>
        <v>-25.5</v>
      </c>
      <c r="AK214" s="205">
        <f t="shared" si="67"/>
        <v>-15.5</v>
      </c>
      <c r="AL214" s="205">
        <f t="shared" si="68"/>
        <v>-5.5</v>
      </c>
      <c r="AM214" s="205">
        <f t="shared" si="69"/>
        <v>4.5</v>
      </c>
      <c r="AN214" s="205">
        <f t="shared" si="70"/>
        <v>14.499999999999998</v>
      </c>
      <c r="AO214" s="205">
        <f t="shared" si="71"/>
        <v>24.5</v>
      </c>
      <c r="AP214" s="205">
        <f t="shared" si="72"/>
        <v>34.5</v>
      </c>
    </row>
    <row r="215" spans="1:42" x14ac:dyDescent="0.2">
      <c r="B215" s="34">
        <f t="shared" si="88"/>
        <v>14</v>
      </c>
      <c r="C215" s="34">
        <f t="shared" si="85"/>
        <v>700</v>
      </c>
      <c r="D215" s="272">
        <f t="shared" si="89"/>
        <v>328000</v>
      </c>
      <c r="E215" s="273">
        <f t="shared" si="86"/>
        <v>430</v>
      </c>
      <c r="F215" s="273">
        <f t="shared" si="84"/>
        <v>430</v>
      </c>
      <c r="G215" s="273">
        <f t="shared" si="87"/>
        <v>430</v>
      </c>
      <c r="V215" s="268">
        <f t="shared" ref="V215:V222" si="90">$V$223*W215</f>
        <v>96.000000000000071</v>
      </c>
      <c r="W215" s="269">
        <f t="shared" si="74"/>
        <v>0.96000000000000074</v>
      </c>
      <c r="X215" s="97">
        <f t="shared" si="83"/>
        <v>480.0000000000004</v>
      </c>
      <c r="Y215" s="118"/>
      <c r="Z215" s="124"/>
      <c r="AA215" s="205">
        <f t="shared" si="75"/>
        <v>480.0000000000004</v>
      </c>
      <c r="AB215" s="128"/>
      <c r="AC215" s="118"/>
      <c r="AD215" s="205">
        <f t="shared" si="76"/>
        <v>480</v>
      </c>
      <c r="AE215" s="138">
        <f t="shared" si="63"/>
        <v>308000</v>
      </c>
      <c r="AF215" s="138">
        <f t="shared" si="64"/>
        <v>308000</v>
      </c>
      <c r="AG215" s="138">
        <f t="shared" si="65"/>
        <v>308000</v>
      </c>
      <c r="AH215" s="118"/>
      <c r="AI215" s="118"/>
      <c r="AJ215" s="205">
        <f t="shared" si="66"/>
        <v>-26</v>
      </c>
      <c r="AK215" s="205">
        <f t="shared" si="67"/>
        <v>-16</v>
      </c>
      <c r="AL215" s="205">
        <f t="shared" si="68"/>
        <v>-6</v>
      </c>
      <c r="AM215" s="205">
        <f t="shared" si="69"/>
        <v>4</v>
      </c>
      <c r="AN215" s="205">
        <f t="shared" si="70"/>
        <v>14.000000000000002</v>
      </c>
      <c r="AO215" s="205">
        <f t="shared" si="71"/>
        <v>24</v>
      </c>
      <c r="AP215" s="205">
        <f t="shared" si="72"/>
        <v>34</v>
      </c>
    </row>
    <row r="216" spans="1:42" x14ac:dyDescent="0.2">
      <c r="B216" s="34">
        <f t="shared" si="88"/>
        <v>15</v>
      </c>
      <c r="C216" s="34">
        <f t="shared" si="85"/>
        <v>750</v>
      </c>
      <c r="D216" s="272">
        <f t="shared" si="89"/>
        <v>330000</v>
      </c>
      <c r="E216" s="273">
        <f t="shared" si="86"/>
        <v>425</v>
      </c>
      <c r="F216" s="273">
        <f t="shared" si="84"/>
        <v>425</v>
      </c>
      <c r="G216" s="273">
        <f t="shared" si="87"/>
        <v>425</v>
      </c>
      <c r="V216" s="268">
        <f t="shared" si="90"/>
        <v>96.500000000000071</v>
      </c>
      <c r="W216" s="269">
        <f t="shared" si="74"/>
        <v>0.96500000000000075</v>
      </c>
      <c r="X216" s="97">
        <f t="shared" si="83"/>
        <v>482.5000000000004</v>
      </c>
      <c r="Y216" s="118"/>
      <c r="Z216" s="124"/>
      <c r="AA216" s="205">
        <f t="shared" si="75"/>
        <v>482.5000000000004</v>
      </c>
      <c r="AB216" s="128"/>
      <c r="AC216" s="118"/>
      <c r="AD216" s="205">
        <f t="shared" si="76"/>
        <v>482.5</v>
      </c>
      <c r="AE216" s="138">
        <f t="shared" ref="AE216:AE223" si="91">IF($E$6="Wortelformule",AF216,AG216)</f>
        <v>307000</v>
      </c>
      <c r="AF216" s="138">
        <f t="shared" ref="AF216:AF223" si="92">$C$17-(AD216^$H$7)*($C$17-$C$14)/($H$6^$H$7)</f>
        <v>307000</v>
      </c>
      <c r="AG216" s="138">
        <f t="shared" ref="AG216:AG222" si="93">$C$14+($C$17-$C$14)*(($H$6-AD216)/$H$6)^(1/$H$7)</f>
        <v>307000</v>
      </c>
      <c r="AH216" s="118"/>
      <c r="AI216" s="118"/>
      <c r="AJ216" s="205">
        <f t="shared" ref="AJ216:AJ223" si="94">(($AJ$19-AD216)/$H$5)*100</f>
        <v>-26.5</v>
      </c>
      <c r="AK216" s="205">
        <f t="shared" ref="AK216:AK223" si="95">(($AK$19-AD216)/$H$5)*100</f>
        <v>-16.5</v>
      </c>
      <c r="AL216" s="205">
        <f t="shared" ref="AL216:AL223" si="96">(($AL$19-AD216)/$H$5)*100</f>
        <v>-6.5</v>
      </c>
      <c r="AM216" s="205">
        <f t="shared" ref="AM216:AM223" si="97">(($AM$19-AD216)/$H$5)*100</f>
        <v>3.5000000000000004</v>
      </c>
      <c r="AN216" s="205">
        <f t="shared" ref="AN216:AN223" si="98">(($AN$19-AD216)/$H$5)*100</f>
        <v>13.5</v>
      </c>
      <c r="AO216" s="205">
        <f t="shared" ref="AO216:AO223" si="99">(($AO$19-AD216)/$H$5)*100</f>
        <v>23.5</v>
      </c>
      <c r="AP216" s="205">
        <f t="shared" ref="AP216:AP223" si="100">(($AP$19-AD216)/$H$5)*100</f>
        <v>33.5</v>
      </c>
    </row>
    <row r="217" spans="1:42" x14ac:dyDescent="0.2">
      <c r="B217" s="34">
        <f t="shared" si="88"/>
        <v>16</v>
      </c>
      <c r="C217" s="34">
        <f t="shared" si="85"/>
        <v>800</v>
      </c>
      <c r="D217" s="272">
        <f t="shared" si="89"/>
        <v>332000</v>
      </c>
      <c r="E217" s="273">
        <f t="shared" si="86"/>
        <v>420</v>
      </c>
      <c r="F217" s="273">
        <f t="shared" si="84"/>
        <v>420</v>
      </c>
      <c r="G217" s="273">
        <f t="shared" si="87"/>
        <v>420</v>
      </c>
      <c r="V217" s="268">
        <f t="shared" si="90"/>
        <v>97.000000000000071</v>
      </c>
      <c r="W217" s="269">
        <f t="shared" ref="W217:W222" si="101">+W216+0.005</f>
        <v>0.97000000000000075</v>
      </c>
      <c r="X217" s="97">
        <f t="shared" si="83"/>
        <v>485.0000000000004</v>
      </c>
      <c r="Y217" s="118"/>
      <c r="Z217" s="124"/>
      <c r="AA217" s="205">
        <f t="shared" ref="AA217:AA222" si="102">+X217</f>
        <v>485.0000000000004</v>
      </c>
      <c r="AB217" s="128"/>
      <c r="AC217" s="118"/>
      <c r="AD217" s="205">
        <f t="shared" ref="AD217:AD223" si="103">+AD216+($H$6/200)</f>
        <v>485</v>
      </c>
      <c r="AE217" s="138">
        <f t="shared" si="91"/>
        <v>306000</v>
      </c>
      <c r="AF217" s="138">
        <f t="shared" si="92"/>
        <v>306000</v>
      </c>
      <c r="AG217" s="138">
        <f t="shared" si="93"/>
        <v>306000</v>
      </c>
      <c r="AH217" s="118"/>
      <c r="AI217" s="118"/>
      <c r="AJ217" s="205">
        <f t="shared" si="94"/>
        <v>-27</v>
      </c>
      <c r="AK217" s="205">
        <f t="shared" si="95"/>
        <v>-17</v>
      </c>
      <c r="AL217" s="205">
        <f t="shared" si="96"/>
        <v>-7.0000000000000009</v>
      </c>
      <c r="AM217" s="205">
        <f t="shared" si="97"/>
        <v>3</v>
      </c>
      <c r="AN217" s="205">
        <f t="shared" si="98"/>
        <v>13</v>
      </c>
      <c r="AO217" s="205">
        <f t="shared" si="99"/>
        <v>23</v>
      </c>
      <c r="AP217" s="205">
        <f t="shared" si="100"/>
        <v>33</v>
      </c>
    </row>
    <row r="218" spans="1:42" x14ac:dyDescent="0.2">
      <c r="B218" s="34">
        <f t="shared" si="88"/>
        <v>17</v>
      </c>
      <c r="C218" s="34">
        <f t="shared" si="85"/>
        <v>850</v>
      </c>
      <c r="D218" s="272">
        <f t="shared" si="89"/>
        <v>334000</v>
      </c>
      <c r="E218" s="273">
        <f t="shared" si="86"/>
        <v>415</v>
      </c>
      <c r="F218" s="273">
        <f t="shared" si="84"/>
        <v>415</v>
      </c>
      <c r="G218" s="273">
        <f t="shared" si="87"/>
        <v>415</v>
      </c>
      <c r="V218" s="268">
        <f t="shared" si="90"/>
        <v>97.500000000000071</v>
      </c>
      <c r="W218" s="269">
        <f t="shared" si="101"/>
        <v>0.97500000000000075</v>
      </c>
      <c r="X218" s="97">
        <f t="shared" si="83"/>
        <v>487.5000000000004</v>
      </c>
      <c r="Y218" s="118"/>
      <c r="Z218" s="124"/>
      <c r="AA218" s="205">
        <f t="shared" si="102"/>
        <v>487.5000000000004</v>
      </c>
      <c r="AB218" s="128"/>
      <c r="AC218" s="118"/>
      <c r="AD218" s="205">
        <f t="shared" si="103"/>
        <v>487.5</v>
      </c>
      <c r="AE218" s="138">
        <f t="shared" si="91"/>
        <v>305000</v>
      </c>
      <c r="AF218" s="138">
        <f t="shared" si="92"/>
        <v>305000</v>
      </c>
      <c r="AG218" s="138">
        <f t="shared" si="93"/>
        <v>305000</v>
      </c>
      <c r="AH218" s="118"/>
      <c r="AI218" s="118"/>
      <c r="AJ218" s="205">
        <f t="shared" si="94"/>
        <v>-27.500000000000004</v>
      </c>
      <c r="AK218" s="205">
        <f t="shared" si="95"/>
        <v>-17.5</v>
      </c>
      <c r="AL218" s="205">
        <f t="shared" si="96"/>
        <v>-7.5</v>
      </c>
      <c r="AM218" s="205">
        <f t="shared" si="97"/>
        <v>2.5</v>
      </c>
      <c r="AN218" s="205">
        <f t="shared" si="98"/>
        <v>12.5</v>
      </c>
      <c r="AO218" s="205">
        <f t="shared" si="99"/>
        <v>22.5</v>
      </c>
      <c r="AP218" s="205">
        <f t="shared" si="100"/>
        <v>32.5</v>
      </c>
    </row>
    <row r="219" spans="1:42" x14ac:dyDescent="0.2">
      <c r="B219" s="34">
        <f t="shared" si="88"/>
        <v>18</v>
      </c>
      <c r="C219" s="34">
        <f t="shared" si="85"/>
        <v>900</v>
      </c>
      <c r="D219" s="272">
        <f t="shared" si="89"/>
        <v>336000</v>
      </c>
      <c r="E219" s="273">
        <f t="shared" si="86"/>
        <v>410</v>
      </c>
      <c r="F219" s="273">
        <f t="shared" si="84"/>
        <v>410</v>
      </c>
      <c r="G219" s="273">
        <f t="shared" si="87"/>
        <v>410</v>
      </c>
      <c r="V219" s="268">
        <f t="shared" si="90"/>
        <v>98.000000000000071</v>
      </c>
      <c r="W219" s="269">
        <f t="shared" si="101"/>
        <v>0.98000000000000076</v>
      </c>
      <c r="X219" s="97">
        <f t="shared" si="83"/>
        <v>490.0000000000004</v>
      </c>
      <c r="Y219" s="118"/>
      <c r="Z219" s="124"/>
      <c r="AA219" s="205">
        <f t="shared" si="102"/>
        <v>490.0000000000004</v>
      </c>
      <c r="AB219" s="128"/>
      <c r="AC219" s="118"/>
      <c r="AD219" s="205">
        <f t="shared" si="103"/>
        <v>490</v>
      </c>
      <c r="AE219" s="138">
        <f t="shared" si="91"/>
        <v>304000</v>
      </c>
      <c r="AF219" s="138">
        <f t="shared" si="92"/>
        <v>304000</v>
      </c>
      <c r="AG219" s="138">
        <f t="shared" si="93"/>
        <v>304000</v>
      </c>
      <c r="AH219" s="118"/>
      <c r="AI219" s="118"/>
      <c r="AJ219" s="205">
        <f t="shared" si="94"/>
        <v>-28.000000000000004</v>
      </c>
      <c r="AK219" s="205">
        <f t="shared" si="95"/>
        <v>-18</v>
      </c>
      <c r="AL219" s="205">
        <f t="shared" si="96"/>
        <v>-8</v>
      </c>
      <c r="AM219" s="205">
        <f t="shared" si="97"/>
        <v>2</v>
      </c>
      <c r="AN219" s="205">
        <f t="shared" si="98"/>
        <v>12</v>
      </c>
      <c r="AO219" s="205">
        <f t="shared" si="99"/>
        <v>22</v>
      </c>
      <c r="AP219" s="205">
        <f t="shared" si="100"/>
        <v>32</v>
      </c>
    </row>
    <row r="220" spans="1:42" x14ac:dyDescent="0.2">
      <c r="B220" s="34">
        <f t="shared" si="88"/>
        <v>19</v>
      </c>
      <c r="C220" s="34">
        <f t="shared" si="85"/>
        <v>950</v>
      </c>
      <c r="D220" s="272">
        <f t="shared" si="89"/>
        <v>338000</v>
      </c>
      <c r="E220" s="273">
        <f t="shared" si="86"/>
        <v>405</v>
      </c>
      <c r="F220" s="273">
        <f t="shared" si="84"/>
        <v>405</v>
      </c>
      <c r="G220" s="273">
        <f t="shared" si="87"/>
        <v>405</v>
      </c>
      <c r="V220" s="268">
        <f t="shared" si="90"/>
        <v>98.500000000000071</v>
      </c>
      <c r="W220" s="269">
        <f t="shared" si="101"/>
        <v>0.98500000000000076</v>
      </c>
      <c r="X220" s="97">
        <f t="shared" si="83"/>
        <v>492.5000000000004</v>
      </c>
      <c r="Y220" s="118"/>
      <c r="Z220" s="124"/>
      <c r="AA220" s="205">
        <f t="shared" si="102"/>
        <v>492.5000000000004</v>
      </c>
      <c r="AB220" s="128"/>
      <c r="AC220" s="118"/>
      <c r="AD220" s="205">
        <f t="shared" si="103"/>
        <v>492.5</v>
      </c>
      <c r="AE220" s="138">
        <f t="shared" si="91"/>
        <v>303000</v>
      </c>
      <c r="AF220" s="138">
        <f t="shared" si="92"/>
        <v>303000</v>
      </c>
      <c r="AG220" s="138">
        <f t="shared" si="93"/>
        <v>303000</v>
      </c>
      <c r="AH220" s="118"/>
      <c r="AI220" s="118"/>
      <c r="AJ220" s="205">
        <f t="shared" si="94"/>
        <v>-28.499999999999996</v>
      </c>
      <c r="AK220" s="205">
        <f t="shared" si="95"/>
        <v>-18.5</v>
      </c>
      <c r="AL220" s="205">
        <f t="shared" si="96"/>
        <v>-8.5</v>
      </c>
      <c r="AM220" s="205">
        <f t="shared" si="97"/>
        <v>1.5</v>
      </c>
      <c r="AN220" s="205">
        <f t="shared" si="98"/>
        <v>11.5</v>
      </c>
      <c r="AO220" s="205">
        <f t="shared" si="99"/>
        <v>21.5</v>
      </c>
      <c r="AP220" s="205">
        <f t="shared" si="100"/>
        <v>31.5</v>
      </c>
    </row>
    <row r="221" spans="1:42" x14ac:dyDescent="0.2">
      <c r="B221" s="34">
        <f t="shared" si="88"/>
        <v>20</v>
      </c>
      <c r="C221" s="34">
        <f t="shared" si="85"/>
        <v>1000</v>
      </c>
      <c r="D221" s="272">
        <f t="shared" si="89"/>
        <v>340000</v>
      </c>
      <c r="E221" s="273">
        <f t="shared" si="86"/>
        <v>400</v>
      </c>
      <c r="F221" s="273">
        <f t="shared" si="84"/>
        <v>400</v>
      </c>
      <c r="G221" s="273">
        <f t="shared" si="87"/>
        <v>400</v>
      </c>
      <c r="V221" s="268">
        <f t="shared" si="90"/>
        <v>99.000000000000071</v>
      </c>
      <c r="W221" s="269">
        <f t="shared" si="101"/>
        <v>0.99000000000000077</v>
      </c>
      <c r="X221" s="97">
        <f t="shared" si="83"/>
        <v>495.0000000000004</v>
      </c>
      <c r="Y221" s="118"/>
      <c r="Z221" s="124"/>
      <c r="AA221" s="205">
        <f t="shared" si="102"/>
        <v>495.0000000000004</v>
      </c>
      <c r="AB221" s="128"/>
      <c r="AC221" s="118"/>
      <c r="AD221" s="205">
        <f t="shared" si="103"/>
        <v>495</v>
      </c>
      <c r="AE221" s="138">
        <f t="shared" si="91"/>
        <v>302000</v>
      </c>
      <c r="AF221" s="138">
        <f t="shared" si="92"/>
        <v>302000</v>
      </c>
      <c r="AG221" s="138">
        <f t="shared" si="93"/>
        <v>302000</v>
      </c>
      <c r="AH221" s="118"/>
      <c r="AI221" s="118"/>
      <c r="AJ221" s="205">
        <f t="shared" si="94"/>
        <v>-28.999999999999996</v>
      </c>
      <c r="AK221" s="205">
        <f t="shared" si="95"/>
        <v>-19</v>
      </c>
      <c r="AL221" s="205">
        <f t="shared" si="96"/>
        <v>-9</v>
      </c>
      <c r="AM221" s="205">
        <f t="shared" si="97"/>
        <v>1</v>
      </c>
      <c r="AN221" s="205">
        <f t="shared" si="98"/>
        <v>11</v>
      </c>
      <c r="AO221" s="205">
        <f t="shared" si="99"/>
        <v>21</v>
      </c>
      <c r="AP221" s="205">
        <f t="shared" si="100"/>
        <v>31</v>
      </c>
    </row>
    <row r="222" spans="1:42" x14ac:dyDescent="0.2">
      <c r="B222" s="34">
        <f t="shared" si="88"/>
        <v>21</v>
      </c>
      <c r="C222" s="34">
        <f t="shared" si="85"/>
        <v>1050</v>
      </c>
      <c r="D222" s="272">
        <f t="shared" si="89"/>
        <v>342000</v>
      </c>
      <c r="E222" s="273">
        <f t="shared" si="86"/>
        <v>395</v>
      </c>
      <c r="F222" s="273">
        <f t="shared" si="84"/>
        <v>395</v>
      </c>
      <c r="G222" s="273">
        <f t="shared" si="87"/>
        <v>395</v>
      </c>
      <c r="V222" s="268">
        <f t="shared" si="90"/>
        <v>99.500000000000071</v>
      </c>
      <c r="W222" s="269">
        <f t="shared" si="101"/>
        <v>0.99500000000000077</v>
      </c>
      <c r="X222" s="97">
        <f t="shared" si="83"/>
        <v>497.5000000000004</v>
      </c>
      <c r="Y222" s="118"/>
      <c r="Z222" s="124"/>
      <c r="AA222" s="205">
        <f t="shared" si="102"/>
        <v>497.5000000000004</v>
      </c>
      <c r="AB222" s="128"/>
      <c r="AC222" s="118"/>
      <c r="AD222" s="205">
        <f t="shared" si="103"/>
        <v>497.5</v>
      </c>
      <c r="AE222" s="138">
        <f t="shared" si="91"/>
        <v>301000</v>
      </c>
      <c r="AF222" s="138">
        <f t="shared" si="92"/>
        <v>301000</v>
      </c>
      <c r="AG222" s="138">
        <f t="shared" si="93"/>
        <v>301000</v>
      </c>
      <c r="AH222" s="118"/>
      <c r="AI222" s="118"/>
      <c r="AJ222" s="205">
        <f t="shared" si="94"/>
        <v>-29.5</v>
      </c>
      <c r="AK222" s="205">
        <f t="shared" si="95"/>
        <v>-19.5</v>
      </c>
      <c r="AL222" s="205">
        <f t="shared" si="96"/>
        <v>-9.5</v>
      </c>
      <c r="AM222" s="205">
        <f t="shared" si="97"/>
        <v>0.5</v>
      </c>
      <c r="AN222" s="205">
        <f t="shared" si="98"/>
        <v>10.5</v>
      </c>
      <c r="AO222" s="205">
        <f t="shared" si="99"/>
        <v>20.5</v>
      </c>
      <c r="AP222" s="205">
        <f t="shared" si="100"/>
        <v>30.5</v>
      </c>
    </row>
    <row r="223" spans="1:42" ht="17.25" x14ac:dyDescent="0.3">
      <c r="B223" s="34">
        <f t="shared" si="88"/>
        <v>22</v>
      </c>
      <c r="C223" s="34">
        <f t="shared" si="85"/>
        <v>1100</v>
      </c>
      <c r="D223" s="272">
        <f t="shared" si="89"/>
        <v>344000</v>
      </c>
      <c r="E223" s="273">
        <f t="shared" si="86"/>
        <v>390</v>
      </c>
      <c r="F223" s="273">
        <f t="shared" si="84"/>
        <v>390</v>
      </c>
      <c r="G223" s="273">
        <f t="shared" si="87"/>
        <v>390</v>
      </c>
      <c r="V223" s="93">
        <v>100</v>
      </c>
      <c r="W223" s="100">
        <v>1</v>
      </c>
      <c r="X223" s="100">
        <f>C6</f>
        <v>500</v>
      </c>
      <c r="Y223" s="134" t="s">
        <v>68</v>
      </c>
      <c r="Z223" s="98"/>
      <c r="AA223" s="205">
        <f>+X223</f>
        <v>500</v>
      </c>
      <c r="AB223" s="128"/>
      <c r="AC223" s="118"/>
      <c r="AD223" s="205">
        <f t="shared" si="103"/>
        <v>500</v>
      </c>
      <c r="AE223" s="138">
        <f t="shared" si="91"/>
        <v>300000</v>
      </c>
      <c r="AF223" s="138">
        <f t="shared" si="92"/>
        <v>300000</v>
      </c>
      <c r="AG223" s="138">
        <f>AF223</f>
        <v>300000</v>
      </c>
      <c r="AH223" s="134"/>
      <c r="AI223" s="134"/>
      <c r="AJ223" s="205">
        <f t="shared" si="94"/>
        <v>-30</v>
      </c>
      <c r="AK223" s="205">
        <f t="shared" si="95"/>
        <v>-20</v>
      </c>
      <c r="AL223" s="205">
        <f t="shared" si="96"/>
        <v>-10</v>
      </c>
      <c r="AM223" s="205">
        <f t="shared" si="97"/>
        <v>0</v>
      </c>
      <c r="AN223" s="205">
        <f t="shared" si="98"/>
        <v>10</v>
      </c>
      <c r="AO223" s="205">
        <f t="shared" si="99"/>
        <v>20</v>
      </c>
      <c r="AP223" s="205">
        <f t="shared" si="100"/>
        <v>30</v>
      </c>
    </row>
    <row r="224" spans="1:42" x14ac:dyDescent="0.2">
      <c r="B224" s="34">
        <f t="shared" si="88"/>
        <v>23</v>
      </c>
      <c r="C224" s="34">
        <f t="shared" si="85"/>
        <v>1150</v>
      </c>
      <c r="D224" s="272">
        <f t="shared" si="89"/>
        <v>346000</v>
      </c>
      <c r="E224" s="273">
        <f t="shared" si="86"/>
        <v>385</v>
      </c>
      <c r="F224" s="273">
        <f t="shared" si="84"/>
        <v>385</v>
      </c>
      <c r="G224" s="273">
        <f t="shared" si="87"/>
        <v>385</v>
      </c>
      <c r="AD224" s="134" t="s">
        <v>280</v>
      </c>
    </row>
    <row r="225" spans="2:7" x14ac:dyDescent="0.2">
      <c r="B225" s="34">
        <f t="shared" si="88"/>
        <v>24</v>
      </c>
      <c r="C225" s="34">
        <f t="shared" si="85"/>
        <v>1200</v>
      </c>
      <c r="D225" s="272">
        <f t="shared" si="89"/>
        <v>348000</v>
      </c>
      <c r="E225" s="273">
        <f t="shared" si="86"/>
        <v>380</v>
      </c>
      <c r="F225" s="273">
        <f t="shared" si="84"/>
        <v>380</v>
      </c>
      <c r="G225" s="273">
        <f t="shared" si="87"/>
        <v>380</v>
      </c>
    </row>
    <row r="226" spans="2:7" x14ac:dyDescent="0.2">
      <c r="B226" s="34">
        <f t="shared" si="88"/>
        <v>25</v>
      </c>
      <c r="C226" s="34">
        <f t="shared" si="85"/>
        <v>1250</v>
      </c>
      <c r="D226" s="272">
        <f t="shared" si="89"/>
        <v>350000</v>
      </c>
      <c r="E226" s="273">
        <f t="shared" si="86"/>
        <v>375</v>
      </c>
      <c r="F226" s="273">
        <f t="shared" si="84"/>
        <v>375</v>
      </c>
      <c r="G226" s="273">
        <f t="shared" si="87"/>
        <v>375</v>
      </c>
    </row>
    <row r="227" spans="2:7" x14ac:dyDescent="0.2">
      <c r="B227" s="34">
        <f t="shared" si="88"/>
        <v>26</v>
      </c>
      <c r="C227" s="34">
        <f t="shared" si="85"/>
        <v>1300</v>
      </c>
      <c r="D227" s="272">
        <f t="shared" si="89"/>
        <v>352000</v>
      </c>
      <c r="E227" s="273">
        <f t="shared" si="86"/>
        <v>370</v>
      </c>
      <c r="F227" s="273">
        <f t="shared" si="84"/>
        <v>370</v>
      </c>
      <c r="G227" s="273">
        <f t="shared" si="87"/>
        <v>370</v>
      </c>
    </row>
    <row r="228" spans="2:7" x14ac:dyDescent="0.2">
      <c r="B228" s="34">
        <f t="shared" si="88"/>
        <v>27</v>
      </c>
      <c r="C228" s="34">
        <f t="shared" si="85"/>
        <v>1350</v>
      </c>
      <c r="D228" s="272">
        <f t="shared" si="89"/>
        <v>354000</v>
      </c>
      <c r="E228" s="273">
        <f t="shared" si="86"/>
        <v>365</v>
      </c>
      <c r="F228" s="273">
        <f t="shared" si="84"/>
        <v>365</v>
      </c>
      <c r="G228" s="273">
        <f t="shared" si="87"/>
        <v>365</v>
      </c>
    </row>
    <row r="229" spans="2:7" x14ac:dyDescent="0.2">
      <c r="B229" s="34">
        <f t="shared" si="88"/>
        <v>28</v>
      </c>
      <c r="C229" s="34">
        <f t="shared" si="85"/>
        <v>1400</v>
      </c>
      <c r="D229" s="272">
        <f t="shared" si="89"/>
        <v>356000</v>
      </c>
      <c r="E229" s="273">
        <f t="shared" si="86"/>
        <v>360</v>
      </c>
      <c r="F229" s="273">
        <f t="shared" si="84"/>
        <v>360</v>
      </c>
      <c r="G229" s="273">
        <f t="shared" si="87"/>
        <v>360</v>
      </c>
    </row>
    <row r="230" spans="2:7" x14ac:dyDescent="0.2">
      <c r="B230" s="34">
        <f t="shared" si="88"/>
        <v>29</v>
      </c>
      <c r="C230" s="34">
        <f t="shared" si="85"/>
        <v>1450</v>
      </c>
      <c r="D230" s="272">
        <f t="shared" si="89"/>
        <v>358000</v>
      </c>
      <c r="E230" s="273">
        <f t="shared" si="86"/>
        <v>355</v>
      </c>
      <c r="F230" s="273">
        <f t="shared" si="84"/>
        <v>355</v>
      </c>
      <c r="G230" s="273">
        <f t="shared" si="87"/>
        <v>355</v>
      </c>
    </row>
    <row r="231" spans="2:7" x14ac:dyDescent="0.2">
      <c r="B231" s="34">
        <f t="shared" si="88"/>
        <v>30</v>
      </c>
      <c r="C231" s="34">
        <f t="shared" si="85"/>
        <v>1500</v>
      </c>
      <c r="D231" s="272">
        <f t="shared" si="89"/>
        <v>360000</v>
      </c>
      <c r="E231" s="273">
        <f t="shared" si="86"/>
        <v>350</v>
      </c>
      <c r="F231" s="273">
        <f t="shared" si="84"/>
        <v>350</v>
      </c>
      <c r="G231" s="273">
        <f t="shared" si="87"/>
        <v>350</v>
      </c>
    </row>
    <row r="232" spans="2:7" x14ac:dyDescent="0.2">
      <c r="B232" s="34">
        <f t="shared" si="88"/>
        <v>31</v>
      </c>
      <c r="C232" s="34">
        <f t="shared" si="85"/>
        <v>1550</v>
      </c>
      <c r="D232" s="272">
        <f t="shared" si="89"/>
        <v>362000</v>
      </c>
      <c r="E232" s="273">
        <f t="shared" si="86"/>
        <v>345</v>
      </c>
      <c r="F232" s="273">
        <f t="shared" si="84"/>
        <v>345</v>
      </c>
      <c r="G232" s="273">
        <f t="shared" si="87"/>
        <v>345</v>
      </c>
    </row>
    <row r="233" spans="2:7" x14ac:dyDescent="0.2">
      <c r="B233" s="34">
        <f t="shared" si="88"/>
        <v>32</v>
      </c>
      <c r="C233" s="34">
        <f t="shared" si="85"/>
        <v>1600</v>
      </c>
      <c r="D233" s="272">
        <f t="shared" si="89"/>
        <v>364000</v>
      </c>
      <c r="E233" s="273">
        <f t="shared" si="86"/>
        <v>340</v>
      </c>
      <c r="F233" s="273">
        <f t="shared" ref="F233:F264" si="104">$H$6*((($C$196-D233)/($C$17-$C$14))^(1/$H$7))</f>
        <v>340</v>
      </c>
      <c r="G233" s="273">
        <f t="shared" si="87"/>
        <v>340</v>
      </c>
    </row>
    <row r="234" spans="2:7" x14ac:dyDescent="0.2">
      <c r="B234" s="34">
        <f t="shared" si="88"/>
        <v>33</v>
      </c>
      <c r="C234" s="34">
        <f t="shared" ref="C234:C265" si="105">+C233+$D$197</f>
        <v>1650</v>
      </c>
      <c r="D234" s="272">
        <f t="shared" si="89"/>
        <v>366000</v>
      </c>
      <c r="E234" s="273">
        <f t="shared" si="86"/>
        <v>335</v>
      </c>
      <c r="F234" s="273">
        <f t="shared" si="104"/>
        <v>335</v>
      </c>
      <c r="G234" s="273">
        <f t="shared" si="87"/>
        <v>335</v>
      </c>
    </row>
    <row r="235" spans="2:7" x14ac:dyDescent="0.2">
      <c r="B235" s="34">
        <f t="shared" si="88"/>
        <v>34</v>
      </c>
      <c r="C235" s="34">
        <f t="shared" si="105"/>
        <v>1700</v>
      </c>
      <c r="D235" s="272">
        <f t="shared" si="89"/>
        <v>368000</v>
      </c>
      <c r="E235" s="273">
        <f t="shared" si="86"/>
        <v>330</v>
      </c>
      <c r="F235" s="273">
        <f t="shared" si="104"/>
        <v>330</v>
      </c>
      <c r="G235" s="273">
        <f t="shared" si="87"/>
        <v>330</v>
      </c>
    </row>
    <row r="236" spans="2:7" x14ac:dyDescent="0.2">
      <c r="B236" s="34">
        <f t="shared" si="88"/>
        <v>35</v>
      </c>
      <c r="C236" s="34">
        <f t="shared" si="105"/>
        <v>1750</v>
      </c>
      <c r="D236" s="272">
        <f t="shared" si="89"/>
        <v>370000</v>
      </c>
      <c r="E236" s="273">
        <f t="shared" si="86"/>
        <v>325</v>
      </c>
      <c r="F236" s="273">
        <f t="shared" si="104"/>
        <v>325</v>
      </c>
      <c r="G236" s="273">
        <f t="shared" si="87"/>
        <v>325</v>
      </c>
    </row>
    <row r="237" spans="2:7" x14ac:dyDescent="0.2">
      <c r="B237" s="34">
        <f t="shared" si="88"/>
        <v>36</v>
      </c>
      <c r="C237" s="34">
        <f t="shared" si="105"/>
        <v>1800</v>
      </c>
      <c r="D237" s="272">
        <f t="shared" si="89"/>
        <v>372000</v>
      </c>
      <c r="E237" s="273">
        <f t="shared" si="86"/>
        <v>320</v>
      </c>
      <c r="F237" s="273">
        <f t="shared" si="104"/>
        <v>320</v>
      </c>
      <c r="G237" s="273">
        <f t="shared" si="87"/>
        <v>320</v>
      </c>
    </row>
    <row r="238" spans="2:7" x14ac:dyDescent="0.2">
      <c r="B238" s="34">
        <f t="shared" si="88"/>
        <v>37</v>
      </c>
      <c r="C238" s="34">
        <f t="shared" si="105"/>
        <v>1850</v>
      </c>
      <c r="D238" s="272">
        <f t="shared" si="89"/>
        <v>374000</v>
      </c>
      <c r="E238" s="273">
        <f t="shared" si="86"/>
        <v>315</v>
      </c>
      <c r="F238" s="273">
        <f t="shared" si="104"/>
        <v>315</v>
      </c>
      <c r="G238" s="273">
        <f t="shared" si="87"/>
        <v>315</v>
      </c>
    </row>
    <row r="239" spans="2:7" x14ac:dyDescent="0.2">
      <c r="B239" s="34">
        <f t="shared" si="88"/>
        <v>38</v>
      </c>
      <c r="C239" s="34">
        <f t="shared" si="105"/>
        <v>1900</v>
      </c>
      <c r="D239" s="272">
        <f t="shared" si="89"/>
        <v>376000</v>
      </c>
      <c r="E239" s="273">
        <f t="shared" si="86"/>
        <v>310</v>
      </c>
      <c r="F239" s="273">
        <f t="shared" si="104"/>
        <v>310</v>
      </c>
      <c r="G239" s="273">
        <f t="shared" si="87"/>
        <v>310</v>
      </c>
    </row>
    <row r="240" spans="2:7" x14ac:dyDescent="0.2">
      <c r="B240" s="34">
        <f t="shared" si="88"/>
        <v>39</v>
      </c>
      <c r="C240" s="34">
        <f t="shared" si="105"/>
        <v>1950</v>
      </c>
      <c r="D240" s="272">
        <f t="shared" si="89"/>
        <v>378000</v>
      </c>
      <c r="E240" s="273">
        <f t="shared" si="86"/>
        <v>305</v>
      </c>
      <c r="F240" s="273">
        <f t="shared" si="104"/>
        <v>305</v>
      </c>
      <c r="G240" s="273">
        <f t="shared" si="87"/>
        <v>305</v>
      </c>
    </row>
    <row r="241" spans="2:7" x14ac:dyDescent="0.2">
      <c r="B241" s="34">
        <f t="shared" si="88"/>
        <v>40</v>
      </c>
      <c r="C241" s="34">
        <f t="shared" si="105"/>
        <v>2000</v>
      </c>
      <c r="D241" s="272">
        <f t="shared" si="89"/>
        <v>380000</v>
      </c>
      <c r="E241" s="273">
        <f t="shared" si="86"/>
        <v>300</v>
      </c>
      <c r="F241" s="273">
        <f t="shared" si="104"/>
        <v>300</v>
      </c>
      <c r="G241" s="273">
        <f t="shared" si="87"/>
        <v>300</v>
      </c>
    </row>
    <row r="242" spans="2:7" x14ac:dyDescent="0.2">
      <c r="B242" s="34">
        <f t="shared" si="88"/>
        <v>41</v>
      </c>
      <c r="C242" s="34">
        <f t="shared" si="105"/>
        <v>2050</v>
      </c>
      <c r="D242" s="272">
        <f t="shared" si="89"/>
        <v>382000</v>
      </c>
      <c r="E242" s="273">
        <f t="shared" si="86"/>
        <v>295</v>
      </c>
      <c r="F242" s="273">
        <f t="shared" si="104"/>
        <v>295</v>
      </c>
      <c r="G242" s="273">
        <f t="shared" si="87"/>
        <v>295</v>
      </c>
    </row>
    <row r="243" spans="2:7" x14ac:dyDescent="0.2">
      <c r="B243" s="34">
        <f t="shared" si="88"/>
        <v>42</v>
      </c>
      <c r="C243" s="34">
        <f t="shared" si="105"/>
        <v>2100</v>
      </c>
      <c r="D243" s="272">
        <f t="shared" si="89"/>
        <v>384000</v>
      </c>
      <c r="E243" s="273">
        <f t="shared" si="86"/>
        <v>290</v>
      </c>
      <c r="F243" s="273">
        <f t="shared" si="104"/>
        <v>290</v>
      </c>
      <c r="G243" s="273">
        <f t="shared" si="87"/>
        <v>290</v>
      </c>
    </row>
    <row r="244" spans="2:7" x14ac:dyDescent="0.2">
      <c r="B244" s="34">
        <f t="shared" si="88"/>
        <v>43</v>
      </c>
      <c r="C244" s="34">
        <f t="shared" si="105"/>
        <v>2150</v>
      </c>
      <c r="D244" s="272">
        <f t="shared" si="89"/>
        <v>386000</v>
      </c>
      <c r="E244" s="273">
        <f t="shared" si="86"/>
        <v>285</v>
      </c>
      <c r="F244" s="273">
        <f t="shared" si="104"/>
        <v>285</v>
      </c>
      <c r="G244" s="273">
        <f t="shared" si="87"/>
        <v>285</v>
      </c>
    </row>
    <row r="245" spans="2:7" x14ac:dyDescent="0.2">
      <c r="B245" s="34">
        <f t="shared" si="88"/>
        <v>44</v>
      </c>
      <c r="C245" s="34">
        <f t="shared" si="105"/>
        <v>2200</v>
      </c>
      <c r="D245" s="272">
        <f t="shared" si="89"/>
        <v>388000</v>
      </c>
      <c r="E245" s="273">
        <f t="shared" si="86"/>
        <v>280</v>
      </c>
      <c r="F245" s="273">
        <f t="shared" si="104"/>
        <v>280</v>
      </c>
      <c r="G245" s="273">
        <f t="shared" si="87"/>
        <v>280</v>
      </c>
    </row>
    <row r="246" spans="2:7" x14ac:dyDescent="0.2">
      <c r="B246" s="34">
        <f t="shared" si="88"/>
        <v>45</v>
      </c>
      <c r="C246" s="34">
        <f t="shared" si="105"/>
        <v>2250</v>
      </c>
      <c r="D246" s="272">
        <f t="shared" si="89"/>
        <v>390000</v>
      </c>
      <c r="E246" s="273">
        <f t="shared" si="86"/>
        <v>275</v>
      </c>
      <c r="F246" s="273">
        <f t="shared" si="104"/>
        <v>275</v>
      </c>
      <c r="G246" s="273">
        <f t="shared" si="87"/>
        <v>275</v>
      </c>
    </row>
    <row r="247" spans="2:7" x14ac:dyDescent="0.2">
      <c r="B247" s="34">
        <f t="shared" si="88"/>
        <v>46</v>
      </c>
      <c r="C247" s="34">
        <f t="shared" si="105"/>
        <v>2300</v>
      </c>
      <c r="D247" s="272">
        <f t="shared" si="89"/>
        <v>392000</v>
      </c>
      <c r="E247" s="273">
        <f t="shared" si="86"/>
        <v>270</v>
      </c>
      <c r="F247" s="273">
        <f t="shared" si="104"/>
        <v>270</v>
      </c>
      <c r="G247" s="273">
        <f t="shared" si="87"/>
        <v>270</v>
      </c>
    </row>
    <row r="248" spans="2:7" x14ac:dyDescent="0.2">
      <c r="B248" s="34">
        <f t="shared" si="88"/>
        <v>47</v>
      </c>
      <c r="C248" s="34">
        <f t="shared" si="105"/>
        <v>2350</v>
      </c>
      <c r="D248" s="272">
        <f t="shared" si="89"/>
        <v>394000</v>
      </c>
      <c r="E248" s="273">
        <f t="shared" si="86"/>
        <v>265</v>
      </c>
      <c r="F248" s="273">
        <f t="shared" si="104"/>
        <v>265</v>
      </c>
      <c r="G248" s="273">
        <f t="shared" si="87"/>
        <v>265</v>
      </c>
    </row>
    <row r="249" spans="2:7" x14ac:dyDescent="0.2">
      <c r="B249" s="34">
        <f t="shared" si="88"/>
        <v>48</v>
      </c>
      <c r="C249" s="34">
        <f t="shared" si="105"/>
        <v>2400</v>
      </c>
      <c r="D249" s="272">
        <f t="shared" si="89"/>
        <v>396000</v>
      </c>
      <c r="E249" s="273">
        <f t="shared" si="86"/>
        <v>260</v>
      </c>
      <c r="F249" s="273">
        <f t="shared" si="104"/>
        <v>260</v>
      </c>
      <c r="G249" s="273">
        <f t="shared" si="87"/>
        <v>260</v>
      </c>
    </row>
    <row r="250" spans="2:7" x14ac:dyDescent="0.2">
      <c r="B250" s="34">
        <f t="shared" si="88"/>
        <v>49</v>
      </c>
      <c r="C250" s="34">
        <f t="shared" si="105"/>
        <v>2450</v>
      </c>
      <c r="D250" s="272">
        <f t="shared" si="89"/>
        <v>398000</v>
      </c>
      <c r="E250" s="273">
        <f t="shared" si="86"/>
        <v>255</v>
      </c>
      <c r="F250" s="273">
        <f t="shared" si="104"/>
        <v>255</v>
      </c>
      <c r="G250" s="273">
        <f t="shared" si="87"/>
        <v>255</v>
      </c>
    </row>
    <row r="251" spans="2:7" x14ac:dyDescent="0.2">
      <c r="B251" s="34">
        <f t="shared" si="88"/>
        <v>50</v>
      </c>
      <c r="C251" s="34">
        <f t="shared" si="105"/>
        <v>2500</v>
      </c>
      <c r="D251" s="272">
        <f t="shared" si="89"/>
        <v>400000</v>
      </c>
      <c r="E251" s="273">
        <f t="shared" si="86"/>
        <v>250</v>
      </c>
      <c r="F251" s="273">
        <f t="shared" si="104"/>
        <v>250</v>
      </c>
      <c r="G251" s="273">
        <f t="shared" si="87"/>
        <v>250</v>
      </c>
    </row>
    <row r="252" spans="2:7" x14ac:dyDescent="0.2">
      <c r="B252" s="34">
        <f t="shared" si="88"/>
        <v>51</v>
      </c>
      <c r="C252" s="34">
        <f t="shared" si="105"/>
        <v>2550</v>
      </c>
      <c r="D252" s="272">
        <f t="shared" si="89"/>
        <v>402000</v>
      </c>
      <c r="E252" s="273">
        <f t="shared" si="86"/>
        <v>245</v>
      </c>
      <c r="F252" s="273">
        <f t="shared" si="104"/>
        <v>245</v>
      </c>
      <c r="G252" s="273">
        <f t="shared" si="87"/>
        <v>245</v>
      </c>
    </row>
    <row r="253" spans="2:7" x14ac:dyDescent="0.2">
      <c r="B253" s="34">
        <f t="shared" si="88"/>
        <v>52</v>
      </c>
      <c r="C253" s="34">
        <f t="shared" si="105"/>
        <v>2600</v>
      </c>
      <c r="D253" s="272">
        <f t="shared" si="89"/>
        <v>404000</v>
      </c>
      <c r="E253" s="273">
        <f t="shared" si="86"/>
        <v>240</v>
      </c>
      <c r="F253" s="273">
        <f t="shared" si="104"/>
        <v>240</v>
      </c>
      <c r="G253" s="273">
        <f t="shared" si="87"/>
        <v>240</v>
      </c>
    </row>
    <row r="254" spans="2:7" x14ac:dyDescent="0.2">
      <c r="B254" s="34">
        <f t="shared" si="88"/>
        <v>53</v>
      </c>
      <c r="C254" s="34">
        <f t="shared" si="105"/>
        <v>2650</v>
      </c>
      <c r="D254" s="272">
        <f t="shared" si="89"/>
        <v>406000</v>
      </c>
      <c r="E254" s="273">
        <f t="shared" si="86"/>
        <v>235</v>
      </c>
      <c r="F254" s="273">
        <f t="shared" si="104"/>
        <v>235</v>
      </c>
      <c r="G254" s="273">
        <f t="shared" si="87"/>
        <v>235</v>
      </c>
    </row>
    <row r="255" spans="2:7" x14ac:dyDescent="0.2">
      <c r="B255" s="34">
        <f t="shared" si="88"/>
        <v>54</v>
      </c>
      <c r="C255" s="34">
        <f t="shared" si="105"/>
        <v>2700</v>
      </c>
      <c r="D255" s="272">
        <f t="shared" si="89"/>
        <v>408000</v>
      </c>
      <c r="E255" s="273">
        <f t="shared" si="86"/>
        <v>230</v>
      </c>
      <c r="F255" s="273">
        <f t="shared" si="104"/>
        <v>230</v>
      </c>
      <c r="G255" s="273">
        <f t="shared" si="87"/>
        <v>230</v>
      </c>
    </row>
    <row r="256" spans="2:7" x14ac:dyDescent="0.2">
      <c r="B256" s="34">
        <f t="shared" si="88"/>
        <v>55</v>
      </c>
      <c r="C256" s="34">
        <f t="shared" si="105"/>
        <v>2750</v>
      </c>
      <c r="D256" s="272">
        <f t="shared" si="89"/>
        <v>410000</v>
      </c>
      <c r="E256" s="273">
        <f t="shared" si="86"/>
        <v>225</v>
      </c>
      <c r="F256" s="273">
        <f t="shared" si="104"/>
        <v>225</v>
      </c>
      <c r="G256" s="273">
        <f t="shared" si="87"/>
        <v>225</v>
      </c>
    </row>
    <row r="257" spans="2:7" x14ac:dyDescent="0.2">
      <c r="B257" s="34">
        <f t="shared" si="88"/>
        <v>56</v>
      </c>
      <c r="C257" s="34">
        <f t="shared" si="105"/>
        <v>2800</v>
      </c>
      <c r="D257" s="272">
        <f t="shared" si="89"/>
        <v>412000</v>
      </c>
      <c r="E257" s="273">
        <f t="shared" si="86"/>
        <v>220</v>
      </c>
      <c r="F257" s="273">
        <f t="shared" si="104"/>
        <v>220</v>
      </c>
      <c r="G257" s="273">
        <f t="shared" si="87"/>
        <v>220</v>
      </c>
    </row>
    <row r="258" spans="2:7" x14ac:dyDescent="0.2">
      <c r="B258" s="34">
        <f t="shared" si="88"/>
        <v>57</v>
      </c>
      <c r="C258" s="34">
        <f t="shared" si="105"/>
        <v>2850</v>
      </c>
      <c r="D258" s="272">
        <f t="shared" si="89"/>
        <v>414000</v>
      </c>
      <c r="E258" s="273">
        <f t="shared" si="86"/>
        <v>215</v>
      </c>
      <c r="F258" s="273">
        <f t="shared" si="104"/>
        <v>215</v>
      </c>
      <c r="G258" s="273">
        <f t="shared" si="87"/>
        <v>215</v>
      </c>
    </row>
    <row r="259" spans="2:7" x14ac:dyDescent="0.2">
      <c r="B259" s="34">
        <f t="shared" si="88"/>
        <v>58</v>
      </c>
      <c r="C259" s="34">
        <f t="shared" si="105"/>
        <v>2900</v>
      </c>
      <c r="D259" s="272">
        <f t="shared" si="89"/>
        <v>416000</v>
      </c>
      <c r="E259" s="273">
        <f t="shared" si="86"/>
        <v>210</v>
      </c>
      <c r="F259" s="273">
        <f t="shared" si="104"/>
        <v>210</v>
      </c>
      <c r="G259" s="273">
        <f t="shared" si="87"/>
        <v>210</v>
      </c>
    </row>
    <row r="260" spans="2:7" x14ac:dyDescent="0.2">
      <c r="B260" s="34">
        <f t="shared" si="88"/>
        <v>59</v>
      </c>
      <c r="C260" s="34">
        <f t="shared" si="105"/>
        <v>2950</v>
      </c>
      <c r="D260" s="272">
        <f t="shared" si="89"/>
        <v>418000</v>
      </c>
      <c r="E260" s="273">
        <f t="shared" si="86"/>
        <v>205</v>
      </c>
      <c r="F260" s="273">
        <f t="shared" si="104"/>
        <v>205</v>
      </c>
      <c r="G260" s="273">
        <f t="shared" si="87"/>
        <v>205</v>
      </c>
    </row>
    <row r="261" spans="2:7" x14ac:dyDescent="0.2">
      <c r="B261" s="34">
        <f t="shared" si="88"/>
        <v>60</v>
      </c>
      <c r="C261" s="34">
        <f t="shared" si="105"/>
        <v>3000</v>
      </c>
      <c r="D261" s="272">
        <f t="shared" si="89"/>
        <v>420000</v>
      </c>
      <c r="E261" s="273">
        <f t="shared" si="86"/>
        <v>200</v>
      </c>
      <c r="F261" s="273">
        <f t="shared" si="104"/>
        <v>200</v>
      </c>
      <c r="G261" s="273">
        <f t="shared" si="87"/>
        <v>200</v>
      </c>
    </row>
    <row r="262" spans="2:7" x14ac:dyDescent="0.2">
      <c r="B262" s="34">
        <f t="shared" si="88"/>
        <v>61</v>
      </c>
      <c r="C262" s="34">
        <f t="shared" si="105"/>
        <v>3050</v>
      </c>
      <c r="D262" s="272">
        <f t="shared" si="89"/>
        <v>422000</v>
      </c>
      <c r="E262" s="273">
        <f t="shared" si="86"/>
        <v>195</v>
      </c>
      <c r="F262" s="273">
        <f t="shared" si="104"/>
        <v>195</v>
      </c>
      <c r="G262" s="273">
        <f t="shared" si="87"/>
        <v>195</v>
      </c>
    </row>
    <row r="263" spans="2:7" x14ac:dyDescent="0.2">
      <c r="B263" s="34">
        <f t="shared" si="88"/>
        <v>62</v>
      </c>
      <c r="C263" s="34">
        <f t="shared" si="105"/>
        <v>3100</v>
      </c>
      <c r="D263" s="272">
        <f t="shared" si="89"/>
        <v>424000</v>
      </c>
      <c r="E263" s="273">
        <f t="shared" si="86"/>
        <v>190</v>
      </c>
      <c r="F263" s="273">
        <f t="shared" si="104"/>
        <v>190</v>
      </c>
      <c r="G263" s="273">
        <f t="shared" si="87"/>
        <v>190</v>
      </c>
    </row>
    <row r="264" spans="2:7" x14ac:dyDescent="0.2">
      <c r="B264" s="34">
        <f t="shared" si="88"/>
        <v>63</v>
      </c>
      <c r="C264" s="34">
        <f t="shared" si="105"/>
        <v>3150</v>
      </c>
      <c r="D264" s="272">
        <f t="shared" si="89"/>
        <v>426000</v>
      </c>
      <c r="E264" s="273">
        <f t="shared" si="86"/>
        <v>185</v>
      </c>
      <c r="F264" s="273">
        <f t="shared" si="104"/>
        <v>185</v>
      </c>
      <c r="G264" s="273">
        <f t="shared" si="87"/>
        <v>185</v>
      </c>
    </row>
    <row r="265" spans="2:7" x14ac:dyDescent="0.2">
      <c r="B265" s="34">
        <f t="shared" si="88"/>
        <v>64</v>
      </c>
      <c r="C265" s="34">
        <f t="shared" si="105"/>
        <v>3200</v>
      </c>
      <c r="D265" s="272">
        <f t="shared" si="89"/>
        <v>428000</v>
      </c>
      <c r="E265" s="273">
        <f t="shared" si="86"/>
        <v>180</v>
      </c>
      <c r="F265" s="273">
        <f t="shared" ref="F265:F301" si="106">$H$6*((($C$196-D265)/($C$17-$C$14))^(1/$H$7))</f>
        <v>180</v>
      </c>
      <c r="G265" s="273">
        <f t="shared" si="87"/>
        <v>180</v>
      </c>
    </row>
    <row r="266" spans="2:7" x14ac:dyDescent="0.2">
      <c r="B266" s="34">
        <f t="shared" si="88"/>
        <v>65</v>
      </c>
      <c r="C266" s="34">
        <f t="shared" ref="C266:C301" si="107">+C265+$D$197</f>
        <v>3250</v>
      </c>
      <c r="D266" s="272">
        <f t="shared" si="89"/>
        <v>430000</v>
      </c>
      <c r="E266" s="273">
        <f t="shared" ref="E266:E301" si="108">IF($E$6="Wortelformule",F266,G266)</f>
        <v>175</v>
      </c>
      <c r="F266" s="273">
        <f t="shared" si="106"/>
        <v>175</v>
      </c>
      <c r="G266" s="273">
        <f t="shared" ref="G266:G301" si="109">$H$6-$H$6*(((D266-$C$14)/($C$17-$C$14))^$H$7)</f>
        <v>175</v>
      </c>
    </row>
    <row r="267" spans="2:7" x14ac:dyDescent="0.2">
      <c r="B267" s="34">
        <f t="shared" ref="B267:B301" si="110">+B266+1</f>
        <v>66</v>
      </c>
      <c r="C267" s="34">
        <f t="shared" si="107"/>
        <v>3300</v>
      </c>
      <c r="D267" s="272">
        <f t="shared" ref="D267:D301" si="111">+D266+$C$198</f>
        <v>432000</v>
      </c>
      <c r="E267" s="273">
        <f t="shared" si="108"/>
        <v>170</v>
      </c>
      <c r="F267" s="273">
        <f t="shared" si="106"/>
        <v>170</v>
      </c>
      <c r="G267" s="273">
        <f t="shared" si="109"/>
        <v>170</v>
      </c>
    </row>
    <row r="268" spans="2:7" x14ac:dyDescent="0.2">
      <c r="B268" s="34">
        <f t="shared" si="110"/>
        <v>67</v>
      </c>
      <c r="C268" s="34">
        <f t="shared" si="107"/>
        <v>3350</v>
      </c>
      <c r="D268" s="272">
        <f t="shared" si="111"/>
        <v>434000</v>
      </c>
      <c r="E268" s="273">
        <f t="shared" si="108"/>
        <v>165</v>
      </c>
      <c r="F268" s="273">
        <f t="shared" si="106"/>
        <v>165</v>
      </c>
      <c r="G268" s="273">
        <f t="shared" si="109"/>
        <v>165</v>
      </c>
    </row>
    <row r="269" spans="2:7" x14ac:dyDescent="0.2">
      <c r="B269" s="34">
        <f t="shared" si="110"/>
        <v>68</v>
      </c>
      <c r="C269" s="34">
        <f t="shared" si="107"/>
        <v>3400</v>
      </c>
      <c r="D269" s="272">
        <f t="shared" si="111"/>
        <v>436000</v>
      </c>
      <c r="E269" s="273">
        <f t="shared" si="108"/>
        <v>160</v>
      </c>
      <c r="F269" s="273">
        <f t="shared" si="106"/>
        <v>160</v>
      </c>
      <c r="G269" s="273">
        <f t="shared" si="109"/>
        <v>160</v>
      </c>
    </row>
    <row r="270" spans="2:7" x14ac:dyDescent="0.2">
      <c r="B270" s="34">
        <f t="shared" si="110"/>
        <v>69</v>
      </c>
      <c r="C270" s="34">
        <f t="shared" si="107"/>
        <v>3450</v>
      </c>
      <c r="D270" s="272">
        <f t="shared" si="111"/>
        <v>438000</v>
      </c>
      <c r="E270" s="273">
        <f t="shared" si="108"/>
        <v>155</v>
      </c>
      <c r="F270" s="273">
        <f t="shared" si="106"/>
        <v>155</v>
      </c>
      <c r="G270" s="273">
        <f t="shared" si="109"/>
        <v>155</v>
      </c>
    </row>
    <row r="271" spans="2:7" x14ac:dyDescent="0.2">
      <c r="B271" s="34">
        <f t="shared" si="110"/>
        <v>70</v>
      </c>
      <c r="C271" s="34">
        <f t="shared" si="107"/>
        <v>3500</v>
      </c>
      <c r="D271" s="272">
        <f t="shared" si="111"/>
        <v>440000</v>
      </c>
      <c r="E271" s="273">
        <f t="shared" si="108"/>
        <v>150</v>
      </c>
      <c r="F271" s="273">
        <f t="shared" si="106"/>
        <v>150</v>
      </c>
      <c r="G271" s="273">
        <f t="shared" si="109"/>
        <v>150</v>
      </c>
    </row>
    <row r="272" spans="2:7" x14ac:dyDescent="0.2">
      <c r="B272" s="34">
        <f t="shared" si="110"/>
        <v>71</v>
      </c>
      <c r="C272" s="34">
        <f t="shared" si="107"/>
        <v>3550</v>
      </c>
      <c r="D272" s="272">
        <f t="shared" si="111"/>
        <v>442000</v>
      </c>
      <c r="E272" s="273">
        <f t="shared" si="108"/>
        <v>145</v>
      </c>
      <c r="F272" s="273">
        <f t="shared" si="106"/>
        <v>145</v>
      </c>
      <c r="G272" s="273">
        <f t="shared" si="109"/>
        <v>145</v>
      </c>
    </row>
    <row r="273" spans="2:7" x14ac:dyDescent="0.2">
      <c r="B273" s="34">
        <f t="shared" si="110"/>
        <v>72</v>
      </c>
      <c r="C273" s="34">
        <f t="shared" si="107"/>
        <v>3600</v>
      </c>
      <c r="D273" s="272">
        <f t="shared" si="111"/>
        <v>444000</v>
      </c>
      <c r="E273" s="273">
        <f t="shared" si="108"/>
        <v>140</v>
      </c>
      <c r="F273" s="273">
        <f t="shared" si="106"/>
        <v>140</v>
      </c>
      <c r="G273" s="273">
        <f t="shared" si="109"/>
        <v>140</v>
      </c>
    </row>
    <row r="274" spans="2:7" x14ac:dyDescent="0.2">
      <c r="B274" s="34">
        <f t="shared" si="110"/>
        <v>73</v>
      </c>
      <c r="C274" s="34">
        <f t="shared" si="107"/>
        <v>3650</v>
      </c>
      <c r="D274" s="272">
        <f t="shared" si="111"/>
        <v>446000</v>
      </c>
      <c r="E274" s="273">
        <f t="shared" si="108"/>
        <v>135</v>
      </c>
      <c r="F274" s="273">
        <f t="shared" si="106"/>
        <v>135</v>
      </c>
      <c r="G274" s="273">
        <f t="shared" si="109"/>
        <v>135</v>
      </c>
    </row>
    <row r="275" spans="2:7" x14ac:dyDescent="0.2">
      <c r="B275" s="34">
        <f t="shared" si="110"/>
        <v>74</v>
      </c>
      <c r="C275" s="34">
        <f t="shared" si="107"/>
        <v>3700</v>
      </c>
      <c r="D275" s="272">
        <f t="shared" si="111"/>
        <v>448000</v>
      </c>
      <c r="E275" s="273">
        <f t="shared" si="108"/>
        <v>130</v>
      </c>
      <c r="F275" s="273">
        <f t="shared" si="106"/>
        <v>130</v>
      </c>
      <c r="G275" s="273">
        <f t="shared" si="109"/>
        <v>130</v>
      </c>
    </row>
    <row r="276" spans="2:7" x14ac:dyDescent="0.2">
      <c r="B276" s="34">
        <f t="shared" si="110"/>
        <v>75</v>
      </c>
      <c r="C276" s="34">
        <f t="shared" si="107"/>
        <v>3750</v>
      </c>
      <c r="D276" s="272">
        <f t="shared" si="111"/>
        <v>450000</v>
      </c>
      <c r="E276" s="273">
        <f t="shared" si="108"/>
        <v>125</v>
      </c>
      <c r="F276" s="273">
        <f t="shared" si="106"/>
        <v>125</v>
      </c>
      <c r="G276" s="273">
        <f t="shared" si="109"/>
        <v>125</v>
      </c>
    </row>
    <row r="277" spans="2:7" x14ac:dyDescent="0.2">
      <c r="B277" s="34">
        <f t="shared" si="110"/>
        <v>76</v>
      </c>
      <c r="C277" s="34">
        <f t="shared" si="107"/>
        <v>3800</v>
      </c>
      <c r="D277" s="272">
        <f t="shared" si="111"/>
        <v>452000</v>
      </c>
      <c r="E277" s="273">
        <f t="shared" si="108"/>
        <v>120</v>
      </c>
      <c r="F277" s="273">
        <f t="shared" si="106"/>
        <v>120</v>
      </c>
      <c r="G277" s="273">
        <f t="shared" si="109"/>
        <v>120</v>
      </c>
    </row>
    <row r="278" spans="2:7" x14ac:dyDescent="0.2">
      <c r="B278" s="34">
        <f t="shared" si="110"/>
        <v>77</v>
      </c>
      <c r="C278" s="34">
        <f t="shared" si="107"/>
        <v>3850</v>
      </c>
      <c r="D278" s="272">
        <f t="shared" si="111"/>
        <v>454000</v>
      </c>
      <c r="E278" s="273">
        <f t="shared" si="108"/>
        <v>115</v>
      </c>
      <c r="F278" s="273">
        <f t="shared" si="106"/>
        <v>115</v>
      </c>
      <c r="G278" s="273">
        <f t="shared" si="109"/>
        <v>115</v>
      </c>
    </row>
    <row r="279" spans="2:7" x14ac:dyDescent="0.2">
      <c r="B279" s="34">
        <f t="shared" si="110"/>
        <v>78</v>
      </c>
      <c r="C279" s="34">
        <f t="shared" si="107"/>
        <v>3900</v>
      </c>
      <c r="D279" s="272">
        <f t="shared" si="111"/>
        <v>456000</v>
      </c>
      <c r="E279" s="273">
        <f t="shared" si="108"/>
        <v>110</v>
      </c>
      <c r="F279" s="273">
        <f t="shared" si="106"/>
        <v>110</v>
      </c>
      <c r="G279" s="273">
        <f t="shared" si="109"/>
        <v>110</v>
      </c>
    </row>
    <row r="280" spans="2:7" x14ac:dyDescent="0.2">
      <c r="B280" s="34">
        <f t="shared" si="110"/>
        <v>79</v>
      </c>
      <c r="C280" s="34">
        <f t="shared" si="107"/>
        <v>3950</v>
      </c>
      <c r="D280" s="272">
        <f t="shared" si="111"/>
        <v>458000</v>
      </c>
      <c r="E280" s="273">
        <f t="shared" si="108"/>
        <v>105</v>
      </c>
      <c r="F280" s="273">
        <f t="shared" si="106"/>
        <v>105</v>
      </c>
      <c r="G280" s="273">
        <f t="shared" si="109"/>
        <v>105</v>
      </c>
    </row>
    <row r="281" spans="2:7" x14ac:dyDescent="0.2">
      <c r="B281" s="34">
        <f t="shared" si="110"/>
        <v>80</v>
      </c>
      <c r="C281" s="34">
        <f t="shared" si="107"/>
        <v>4000</v>
      </c>
      <c r="D281" s="272">
        <f t="shared" si="111"/>
        <v>460000</v>
      </c>
      <c r="E281" s="273">
        <f t="shared" si="108"/>
        <v>100</v>
      </c>
      <c r="F281" s="273">
        <f t="shared" si="106"/>
        <v>100</v>
      </c>
      <c r="G281" s="273">
        <f t="shared" si="109"/>
        <v>100</v>
      </c>
    </row>
    <row r="282" spans="2:7" x14ac:dyDescent="0.2">
      <c r="B282" s="34">
        <f t="shared" si="110"/>
        <v>81</v>
      </c>
      <c r="C282" s="34">
        <f t="shared" si="107"/>
        <v>4050</v>
      </c>
      <c r="D282" s="272">
        <f t="shared" si="111"/>
        <v>462000</v>
      </c>
      <c r="E282" s="273">
        <f t="shared" si="108"/>
        <v>95</v>
      </c>
      <c r="F282" s="273">
        <f t="shared" si="106"/>
        <v>95</v>
      </c>
      <c r="G282" s="273">
        <f t="shared" si="109"/>
        <v>95</v>
      </c>
    </row>
    <row r="283" spans="2:7" x14ac:dyDescent="0.2">
      <c r="B283" s="34">
        <f t="shared" si="110"/>
        <v>82</v>
      </c>
      <c r="C283" s="34">
        <f t="shared" si="107"/>
        <v>4100</v>
      </c>
      <c r="D283" s="272">
        <f t="shared" si="111"/>
        <v>464000</v>
      </c>
      <c r="E283" s="273">
        <f t="shared" si="108"/>
        <v>90</v>
      </c>
      <c r="F283" s="273">
        <f t="shared" si="106"/>
        <v>90</v>
      </c>
      <c r="G283" s="273">
        <f t="shared" si="109"/>
        <v>90</v>
      </c>
    </row>
    <row r="284" spans="2:7" x14ac:dyDescent="0.2">
      <c r="B284" s="34">
        <f t="shared" si="110"/>
        <v>83</v>
      </c>
      <c r="C284" s="34">
        <f t="shared" si="107"/>
        <v>4150</v>
      </c>
      <c r="D284" s="272">
        <f t="shared" si="111"/>
        <v>466000</v>
      </c>
      <c r="E284" s="273">
        <f t="shared" si="108"/>
        <v>85</v>
      </c>
      <c r="F284" s="273">
        <f t="shared" si="106"/>
        <v>85</v>
      </c>
      <c r="G284" s="273">
        <f t="shared" si="109"/>
        <v>85</v>
      </c>
    </row>
    <row r="285" spans="2:7" x14ac:dyDescent="0.2">
      <c r="B285" s="34">
        <f t="shared" si="110"/>
        <v>84</v>
      </c>
      <c r="C285" s="34">
        <f t="shared" si="107"/>
        <v>4200</v>
      </c>
      <c r="D285" s="272">
        <f t="shared" si="111"/>
        <v>468000</v>
      </c>
      <c r="E285" s="273">
        <f t="shared" si="108"/>
        <v>80</v>
      </c>
      <c r="F285" s="273">
        <f t="shared" si="106"/>
        <v>80</v>
      </c>
      <c r="G285" s="273">
        <f t="shared" si="109"/>
        <v>80</v>
      </c>
    </row>
    <row r="286" spans="2:7" x14ac:dyDescent="0.2">
      <c r="B286" s="34">
        <f t="shared" si="110"/>
        <v>85</v>
      </c>
      <c r="C286" s="34">
        <f t="shared" si="107"/>
        <v>4250</v>
      </c>
      <c r="D286" s="272">
        <f t="shared" si="111"/>
        <v>470000</v>
      </c>
      <c r="E286" s="273">
        <f t="shared" si="108"/>
        <v>75</v>
      </c>
      <c r="F286" s="273">
        <f t="shared" si="106"/>
        <v>75</v>
      </c>
      <c r="G286" s="273">
        <f t="shared" si="109"/>
        <v>75</v>
      </c>
    </row>
    <row r="287" spans="2:7" x14ac:dyDescent="0.2">
      <c r="B287" s="34">
        <f t="shared" si="110"/>
        <v>86</v>
      </c>
      <c r="C287" s="34">
        <f t="shared" si="107"/>
        <v>4300</v>
      </c>
      <c r="D287" s="272">
        <f t="shared" si="111"/>
        <v>472000</v>
      </c>
      <c r="E287" s="273">
        <f t="shared" si="108"/>
        <v>70</v>
      </c>
      <c r="F287" s="273">
        <f t="shared" si="106"/>
        <v>70</v>
      </c>
      <c r="G287" s="273">
        <f t="shared" si="109"/>
        <v>70</v>
      </c>
    </row>
    <row r="288" spans="2:7" x14ac:dyDescent="0.2">
      <c r="B288" s="34">
        <f t="shared" si="110"/>
        <v>87</v>
      </c>
      <c r="C288" s="34">
        <f t="shared" si="107"/>
        <v>4350</v>
      </c>
      <c r="D288" s="272">
        <f t="shared" si="111"/>
        <v>474000</v>
      </c>
      <c r="E288" s="273">
        <f t="shared" si="108"/>
        <v>65</v>
      </c>
      <c r="F288" s="273">
        <f t="shared" si="106"/>
        <v>65</v>
      </c>
      <c r="G288" s="273">
        <f t="shared" si="109"/>
        <v>65</v>
      </c>
    </row>
    <row r="289" spans="2:7" x14ac:dyDescent="0.2">
      <c r="B289" s="34">
        <f t="shared" si="110"/>
        <v>88</v>
      </c>
      <c r="C289" s="34">
        <f t="shared" si="107"/>
        <v>4400</v>
      </c>
      <c r="D289" s="272">
        <f t="shared" si="111"/>
        <v>476000</v>
      </c>
      <c r="E289" s="273">
        <f t="shared" si="108"/>
        <v>60</v>
      </c>
      <c r="F289" s="273">
        <f t="shared" si="106"/>
        <v>60</v>
      </c>
      <c r="G289" s="273">
        <f t="shared" si="109"/>
        <v>60</v>
      </c>
    </row>
    <row r="290" spans="2:7" x14ac:dyDescent="0.2">
      <c r="B290" s="34">
        <f t="shared" si="110"/>
        <v>89</v>
      </c>
      <c r="C290" s="34">
        <f t="shared" si="107"/>
        <v>4450</v>
      </c>
      <c r="D290" s="272">
        <f t="shared" si="111"/>
        <v>478000</v>
      </c>
      <c r="E290" s="273">
        <f t="shared" si="108"/>
        <v>55</v>
      </c>
      <c r="F290" s="273">
        <f t="shared" si="106"/>
        <v>55</v>
      </c>
      <c r="G290" s="273">
        <f t="shared" si="109"/>
        <v>55</v>
      </c>
    </row>
    <row r="291" spans="2:7" x14ac:dyDescent="0.2">
      <c r="B291" s="34">
        <f t="shared" si="110"/>
        <v>90</v>
      </c>
      <c r="C291" s="34">
        <f t="shared" si="107"/>
        <v>4500</v>
      </c>
      <c r="D291" s="272">
        <f t="shared" si="111"/>
        <v>480000</v>
      </c>
      <c r="E291" s="273">
        <f t="shared" si="108"/>
        <v>50</v>
      </c>
      <c r="F291" s="273">
        <f t="shared" si="106"/>
        <v>50</v>
      </c>
      <c r="G291" s="273">
        <f t="shared" si="109"/>
        <v>50</v>
      </c>
    </row>
    <row r="292" spans="2:7" x14ac:dyDescent="0.2">
      <c r="B292" s="34">
        <f t="shared" si="110"/>
        <v>91</v>
      </c>
      <c r="C292" s="34">
        <f t="shared" si="107"/>
        <v>4550</v>
      </c>
      <c r="D292" s="272">
        <f t="shared" si="111"/>
        <v>482000</v>
      </c>
      <c r="E292" s="273">
        <f t="shared" si="108"/>
        <v>45</v>
      </c>
      <c r="F292" s="273">
        <f t="shared" si="106"/>
        <v>45</v>
      </c>
      <c r="G292" s="273">
        <f t="shared" si="109"/>
        <v>45</v>
      </c>
    </row>
    <row r="293" spans="2:7" x14ac:dyDescent="0.2">
      <c r="B293" s="34">
        <f t="shared" si="110"/>
        <v>92</v>
      </c>
      <c r="C293" s="34">
        <f t="shared" si="107"/>
        <v>4600</v>
      </c>
      <c r="D293" s="272">
        <f t="shared" si="111"/>
        <v>484000</v>
      </c>
      <c r="E293" s="273">
        <f t="shared" si="108"/>
        <v>40</v>
      </c>
      <c r="F293" s="273">
        <f t="shared" si="106"/>
        <v>40</v>
      </c>
      <c r="G293" s="273">
        <f t="shared" si="109"/>
        <v>40</v>
      </c>
    </row>
    <row r="294" spans="2:7" x14ac:dyDescent="0.2">
      <c r="B294" s="34">
        <f t="shared" si="110"/>
        <v>93</v>
      </c>
      <c r="C294" s="34">
        <f t="shared" si="107"/>
        <v>4650</v>
      </c>
      <c r="D294" s="272">
        <f t="shared" si="111"/>
        <v>486000</v>
      </c>
      <c r="E294" s="273">
        <f t="shared" si="108"/>
        <v>35</v>
      </c>
      <c r="F294" s="273">
        <f t="shared" si="106"/>
        <v>35</v>
      </c>
      <c r="G294" s="273">
        <f t="shared" si="109"/>
        <v>35</v>
      </c>
    </row>
    <row r="295" spans="2:7" x14ac:dyDescent="0.2">
      <c r="B295" s="34">
        <f t="shared" si="110"/>
        <v>94</v>
      </c>
      <c r="C295" s="34">
        <f t="shared" si="107"/>
        <v>4700</v>
      </c>
      <c r="D295" s="272">
        <f t="shared" si="111"/>
        <v>488000</v>
      </c>
      <c r="E295" s="273">
        <f t="shared" si="108"/>
        <v>30</v>
      </c>
      <c r="F295" s="273">
        <f t="shared" si="106"/>
        <v>30</v>
      </c>
      <c r="G295" s="273">
        <f t="shared" si="109"/>
        <v>30</v>
      </c>
    </row>
    <row r="296" spans="2:7" x14ac:dyDescent="0.2">
      <c r="B296" s="34">
        <f t="shared" si="110"/>
        <v>95</v>
      </c>
      <c r="C296" s="34">
        <f t="shared" si="107"/>
        <v>4750</v>
      </c>
      <c r="D296" s="272">
        <f t="shared" si="111"/>
        <v>490000</v>
      </c>
      <c r="E296" s="273">
        <f t="shared" si="108"/>
        <v>25</v>
      </c>
      <c r="F296" s="273">
        <f t="shared" si="106"/>
        <v>25</v>
      </c>
      <c r="G296" s="273">
        <f t="shared" si="109"/>
        <v>25</v>
      </c>
    </row>
    <row r="297" spans="2:7" x14ac:dyDescent="0.2">
      <c r="B297" s="34">
        <f t="shared" si="110"/>
        <v>96</v>
      </c>
      <c r="C297" s="34">
        <f t="shared" si="107"/>
        <v>4800</v>
      </c>
      <c r="D297" s="272">
        <f t="shared" si="111"/>
        <v>492000</v>
      </c>
      <c r="E297" s="273">
        <f t="shared" si="108"/>
        <v>20</v>
      </c>
      <c r="F297" s="273">
        <f t="shared" si="106"/>
        <v>20</v>
      </c>
      <c r="G297" s="273">
        <f t="shared" si="109"/>
        <v>20</v>
      </c>
    </row>
    <row r="298" spans="2:7" x14ac:dyDescent="0.2">
      <c r="B298" s="34">
        <f t="shared" si="110"/>
        <v>97</v>
      </c>
      <c r="C298" s="34">
        <f t="shared" si="107"/>
        <v>4850</v>
      </c>
      <c r="D298" s="272">
        <f t="shared" si="111"/>
        <v>494000</v>
      </c>
      <c r="E298" s="273">
        <f t="shared" si="108"/>
        <v>15</v>
      </c>
      <c r="F298" s="273">
        <f t="shared" si="106"/>
        <v>15</v>
      </c>
      <c r="G298" s="273">
        <f t="shared" si="109"/>
        <v>15</v>
      </c>
    </row>
    <row r="299" spans="2:7" x14ac:dyDescent="0.2">
      <c r="B299" s="34">
        <f t="shared" si="110"/>
        <v>98</v>
      </c>
      <c r="C299" s="34">
        <f t="shared" si="107"/>
        <v>4900</v>
      </c>
      <c r="D299" s="272">
        <f t="shared" si="111"/>
        <v>496000</v>
      </c>
      <c r="E299" s="273">
        <f t="shared" si="108"/>
        <v>10</v>
      </c>
      <c r="F299" s="273">
        <f t="shared" si="106"/>
        <v>10</v>
      </c>
      <c r="G299" s="273">
        <f t="shared" si="109"/>
        <v>10</v>
      </c>
    </row>
    <row r="300" spans="2:7" x14ac:dyDescent="0.2">
      <c r="B300" s="34">
        <f t="shared" si="110"/>
        <v>99</v>
      </c>
      <c r="C300" s="34">
        <f t="shared" si="107"/>
        <v>4950</v>
      </c>
      <c r="D300" s="272">
        <f t="shared" si="111"/>
        <v>498000</v>
      </c>
      <c r="E300" s="273">
        <f t="shared" si="108"/>
        <v>5</v>
      </c>
      <c r="F300" s="273">
        <f t="shared" si="106"/>
        <v>5</v>
      </c>
      <c r="G300" s="273">
        <f t="shared" si="109"/>
        <v>5</v>
      </c>
    </row>
    <row r="301" spans="2:7" x14ac:dyDescent="0.2">
      <c r="B301" s="34">
        <f t="shared" si="110"/>
        <v>100</v>
      </c>
      <c r="C301" s="34">
        <f t="shared" si="107"/>
        <v>5000</v>
      </c>
      <c r="D301" s="272">
        <f t="shared" si="111"/>
        <v>500000</v>
      </c>
      <c r="E301" s="273">
        <f t="shared" si="108"/>
        <v>0</v>
      </c>
      <c r="F301" s="273">
        <f t="shared" si="106"/>
        <v>0</v>
      </c>
      <c r="G301" s="273">
        <f t="shared" si="109"/>
        <v>0</v>
      </c>
    </row>
    <row r="302" spans="2:7" x14ac:dyDescent="0.2">
      <c r="D302" s="272"/>
    </row>
    <row r="304" spans="2:7" x14ac:dyDescent="0.2">
      <c r="B304" s="104" t="s">
        <v>359</v>
      </c>
      <c r="C304" s="104"/>
    </row>
    <row r="306" spans="2:16" ht="15" x14ac:dyDescent="0.25">
      <c r="B306" t="s">
        <v>192</v>
      </c>
      <c r="C306" s="19">
        <f>'BPK-Grafiek'!H8</f>
        <v>0</v>
      </c>
      <c r="D306" s="18" t="s">
        <v>193</v>
      </c>
      <c r="E306" s="145">
        <f>'BPK-Grafiek'!H11</f>
        <v>0</v>
      </c>
      <c r="F306" s="18" t="s">
        <v>325</v>
      </c>
      <c r="G306" s="380">
        <f>IF(C309="Machtsformule",ROUND($C$314-$C$314*(((C306-$C$324)/($C$325-$C$324))^$C$327),1),ROUND(C314*((($C$325-C306)/($C$325-$C$324))^(1/$C$327)),1))</f>
        <v>1250</v>
      </c>
      <c r="H306" s="18" t="s">
        <v>157</v>
      </c>
      <c r="I306" s="145">
        <f>E306+G306</f>
        <v>1250</v>
      </c>
      <c r="J306" s="18" t="s">
        <v>327</v>
      </c>
      <c r="K306">
        <f>E306/C310*100</f>
        <v>0</v>
      </c>
      <c r="L306"/>
      <c r="M306"/>
      <c r="N306"/>
      <c r="O306"/>
      <c r="P306"/>
    </row>
    <row r="307" spans="2:16" ht="15" x14ac:dyDescent="0.25">
      <c r="B307"/>
      <c r="C307"/>
      <c r="D307"/>
      <c r="E307"/>
      <c r="F307"/>
      <c r="G307"/>
      <c r="H307"/>
      <c r="I307"/>
      <c r="J307"/>
      <c r="K307"/>
      <c r="L307"/>
      <c r="M307"/>
      <c r="N307"/>
      <c r="O307"/>
      <c r="P307"/>
    </row>
    <row r="308" spans="2:16" ht="15" x14ac:dyDescent="0.25">
      <c r="B308" s="223" t="s">
        <v>196</v>
      </c>
      <c r="C308" s="223"/>
      <c r="D308" s="223"/>
      <c r="E308" s="223"/>
      <c r="F308" s="223"/>
      <c r="G308" s="223"/>
      <c r="H308" s="223"/>
      <c r="I308" s="223"/>
      <c r="J308" s="223"/>
      <c r="K308" s="223"/>
      <c r="L308" s="223"/>
      <c r="M308" s="223"/>
      <c r="N308" s="223"/>
      <c r="O308" s="223"/>
      <c r="P308" s="223"/>
    </row>
    <row r="309" spans="2:16" ht="15" x14ac:dyDescent="0.25">
      <c r="B309" s="223" t="s">
        <v>324</v>
      </c>
      <c r="C309" s="223" t="str">
        <f>'HULP-velden'!$E$6</f>
        <v>Machtsformule</v>
      </c>
      <c r="D309" s="223"/>
      <c r="E309" s="223"/>
      <c r="F309" s="444"/>
      <c r="G309" s="223"/>
      <c r="H309" s="225" t="s">
        <v>61</v>
      </c>
      <c r="I309" s="223"/>
      <c r="J309" s="223" t="s">
        <v>59</v>
      </c>
      <c r="K309" s="223"/>
      <c r="L309" s="223"/>
      <c r="M309" s="223"/>
      <c r="N309" s="223"/>
      <c r="O309" s="223"/>
      <c r="P309" s="223"/>
    </row>
    <row r="310" spans="2:16" ht="15" x14ac:dyDescent="0.25">
      <c r="B310" s="223" t="s">
        <v>105</v>
      </c>
      <c r="C310" s="224">
        <f>+C316</f>
        <v>500</v>
      </c>
      <c r="D310" s="443">
        <f>+C310</f>
        <v>500</v>
      </c>
      <c r="E310" s="223"/>
      <c r="F310" s="444"/>
      <c r="G310" s="223"/>
      <c r="H310" s="225"/>
      <c r="I310" s="225"/>
      <c r="J310" s="225" t="s">
        <v>96</v>
      </c>
      <c r="K310" s="225"/>
      <c r="L310" s="225"/>
      <c r="M310" s="225"/>
      <c r="N310" s="225"/>
      <c r="O310" s="225"/>
      <c r="P310" s="225"/>
    </row>
    <row r="311" spans="2:16" ht="15" x14ac:dyDescent="0.25">
      <c r="B311" s="223" t="s">
        <v>106</v>
      </c>
      <c r="C311" s="223">
        <v>0</v>
      </c>
      <c r="D311" s="226">
        <f>+C329*2</f>
        <v>800000</v>
      </c>
      <c r="E311" s="223"/>
      <c r="F311" s="223"/>
      <c r="G311" s="223"/>
      <c r="H311" s="225" t="s">
        <v>101</v>
      </c>
      <c r="I311" s="225"/>
      <c r="J311" s="225" t="str">
        <f>+'HULP-velden'!$AJ$16</f>
        <v>BPK-Lijn -3</v>
      </c>
      <c r="K311" s="225" t="str">
        <f>+'HULP-velden'!$AK$16</f>
        <v>BPK-Lijn -2</v>
      </c>
      <c r="L311" s="225" t="str">
        <f>+'HULP-velden'!$AL$16</f>
        <v>BPK-Lijn -1</v>
      </c>
      <c r="M311" s="225" t="str">
        <f>+'HULP-velden'!$AM$16</f>
        <v>BPK-lijn Ref</v>
      </c>
      <c r="N311" s="225" t="str">
        <f>+'HULP-velden'!$AN$16</f>
        <v>BPK-Lijn +1</v>
      </c>
      <c r="O311" s="225" t="str">
        <f>+'HULP-velden'!$AO$16</f>
        <v>BPK-Lijn +2</v>
      </c>
      <c r="P311" s="225" t="str">
        <f>+'HULP-velden'!$AP$16</f>
        <v>BPK-Lijn +3</v>
      </c>
    </row>
    <row r="312" spans="2:16" ht="15" x14ac:dyDescent="0.25">
      <c r="B312" s="223" t="s">
        <v>107</v>
      </c>
      <c r="C312" s="223">
        <v>0</v>
      </c>
      <c r="D312" s="443">
        <f>+C316</f>
        <v>500</v>
      </c>
      <c r="E312" s="223"/>
      <c r="F312" s="223"/>
      <c r="G312" s="223"/>
      <c r="H312" s="226">
        <f>'HULP-velden'!$AE$22</f>
        <v>500000</v>
      </c>
      <c r="I312" s="223"/>
      <c r="J312" s="331">
        <f>+'HULP-velden'!$AJ$22</f>
        <v>70</v>
      </c>
      <c r="K312" s="331">
        <f>+'HULP-velden'!$AK$22</f>
        <v>80</v>
      </c>
      <c r="L312" s="331">
        <f>+'HULP-velden'!$AL$22</f>
        <v>90</v>
      </c>
      <c r="M312" s="331">
        <f>+'HULP-velden'!$AM$22</f>
        <v>100</v>
      </c>
      <c r="N312" s="331">
        <f>+'HULP-velden'!$AN$22</f>
        <v>110.00000000000001</v>
      </c>
      <c r="O312" s="331">
        <f>+'HULP-velden'!$AO$22</f>
        <v>120</v>
      </c>
      <c r="P312" s="331">
        <f>+'HULP-velden'!$AP$22</f>
        <v>130</v>
      </c>
    </row>
    <row r="313" spans="2:16" ht="15" x14ac:dyDescent="0.25">
      <c r="B313" s="223" t="s">
        <v>108</v>
      </c>
      <c r="C313" s="228">
        <f>+C323</f>
        <v>-100000</v>
      </c>
      <c r="D313" s="226">
        <f>+C323</f>
        <v>-100000</v>
      </c>
      <c r="E313" s="223"/>
      <c r="F313" s="223"/>
      <c r="G313" s="223"/>
      <c r="H313" s="226">
        <f>'HULP-velden'!$AE$23</f>
        <v>499000</v>
      </c>
      <c r="I313" s="223"/>
      <c r="J313" s="331">
        <f>+'HULP-velden'!$AJ$23</f>
        <v>69.5</v>
      </c>
      <c r="K313" s="331">
        <f>+'HULP-velden'!$AK$23</f>
        <v>79.5</v>
      </c>
      <c r="L313" s="331">
        <f>+'HULP-velden'!$AL$23</f>
        <v>89.5</v>
      </c>
      <c r="M313" s="331">
        <f>+'HULP-velden'!$AM$23</f>
        <v>99.5</v>
      </c>
      <c r="N313" s="331">
        <f>+'HULP-velden'!$AN$23</f>
        <v>109.5</v>
      </c>
      <c r="O313" s="331">
        <f>+'HULP-velden'!$AO$23</f>
        <v>119.5</v>
      </c>
      <c r="P313" s="331">
        <f>+'HULP-velden'!$AP$23</f>
        <v>129.5</v>
      </c>
    </row>
    <row r="314" spans="2:16" ht="15" x14ac:dyDescent="0.25">
      <c r="B314" s="223" t="s">
        <v>326</v>
      </c>
      <c r="C314" s="223">
        <f>'HULP-velden'!$H$6</f>
        <v>500</v>
      </c>
      <c r="D314" s="229"/>
      <c r="E314" s="223"/>
      <c r="F314" s="223"/>
      <c r="G314" s="223"/>
      <c r="H314" s="226">
        <f>'HULP-velden'!$AE$24</f>
        <v>498000</v>
      </c>
      <c r="I314" s="223"/>
      <c r="J314" s="331">
        <f>+'HULP-velden'!$AJ$24</f>
        <v>69</v>
      </c>
      <c r="K314" s="331">
        <f>+'HULP-velden'!$AK$24</f>
        <v>79</v>
      </c>
      <c r="L314" s="331">
        <f>+'HULP-velden'!$AL$24</f>
        <v>89</v>
      </c>
      <c r="M314" s="331">
        <f>+'HULP-velden'!$AM$24</f>
        <v>99</v>
      </c>
      <c r="N314" s="331">
        <f>+'HULP-velden'!$AN$24</f>
        <v>109.00000000000001</v>
      </c>
      <c r="O314" s="331">
        <f>+'HULP-velden'!$AO$24</f>
        <v>119</v>
      </c>
      <c r="P314" s="331">
        <f>+'HULP-velden'!$AP$24</f>
        <v>129</v>
      </c>
    </row>
    <row r="315" spans="2:16" ht="15" x14ac:dyDescent="0.25">
      <c r="B315" s="223" t="s">
        <v>194</v>
      </c>
      <c r="C315" s="230">
        <f>'HULP-velden'!$M$15</f>
        <v>250</v>
      </c>
      <c r="D315" s="225">
        <f>'HULP-velden'!$F$7</f>
        <v>0</v>
      </c>
      <c r="E315" s="223"/>
      <c r="F315" s="223"/>
      <c r="G315" s="223"/>
      <c r="H315" s="226">
        <f>'HULP-velden'!$AE$25</f>
        <v>497000</v>
      </c>
      <c r="I315" s="223"/>
      <c r="J315" s="331">
        <f>+'HULP-velden'!$AJ$25</f>
        <v>68.5</v>
      </c>
      <c r="K315" s="331">
        <f>+'HULP-velden'!$AK$25</f>
        <v>78.5</v>
      </c>
      <c r="L315" s="331">
        <f>+'HULP-velden'!$AL$25</f>
        <v>88.5</v>
      </c>
      <c r="M315" s="331">
        <f>+'HULP-velden'!$AM$25</f>
        <v>98.5</v>
      </c>
      <c r="N315" s="331">
        <f>+'HULP-velden'!$AN$25</f>
        <v>108.5</v>
      </c>
      <c r="O315" s="331">
        <f>+'HULP-velden'!$AO$25</f>
        <v>118.5</v>
      </c>
      <c r="P315" s="331">
        <f>+'HULP-velden'!$AP$25</f>
        <v>128.5</v>
      </c>
    </row>
    <row r="316" spans="2:16" ht="15" x14ac:dyDescent="0.25">
      <c r="B316" s="223" t="s">
        <v>9</v>
      </c>
      <c r="C316" s="224">
        <f>'HULP-velden'!$C$6</f>
        <v>500</v>
      </c>
      <c r="D316" s="224"/>
      <c r="E316" s="223"/>
      <c r="F316" s="223"/>
      <c r="G316" s="223"/>
      <c r="H316" s="226">
        <f>'HULP-velden'!$AE$26</f>
        <v>496000</v>
      </c>
      <c r="I316" s="223"/>
      <c r="J316" s="331">
        <f>+'HULP-velden'!$AJ$26</f>
        <v>68</v>
      </c>
      <c r="K316" s="331">
        <f>+'HULP-velden'!$AK$26</f>
        <v>78</v>
      </c>
      <c r="L316" s="331">
        <f>+'HULP-velden'!$AL$26</f>
        <v>88</v>
      </c>
      <c r="M316" s="331">
        <f>+'HULP-velden'!$AM$26</f>
        <v>98</v>
      </c>
      <c r="N316" s="331">
        <f>+'HULP-velden'!$AN$26</f>
        <v>108</v>
      </c>
      <c r="O316" s="331">
        <f>+'HULP-velden'!$AO$26</f>
        <v>118</v>
      </c>
      <c r="P316" s="331">
        <f>+'HULP-velden'!$AP$26</f>
        <v>128</v>
      </c>
    </row>
    <row r="317" spans="2:16" ht="15" x14ac:dyDescent="0.25">
      <c r="B317" s="223" t="s">
        <v>92</v>
      </c>
      <c r="C317" s="224">
        <f>+'HULP-velden'!$C$7</f>
        <v>25</v>
      </c>
      <c r="D317" s="226"/>
      <c r="E317" s="223"/>
      <c r="F317" s="223"/>
      <c r="G317" s="223"/>
      <c r="H317" s="226">
        <f>'HULP-velden'!$AE$27</f>
        <v>495000</v>
      </c>
      <c r="I317" s="223"/>
      <c r="J317" s="331">
        <f>+'HULP-velden'!$AJ$27</f>
        <v>67.5</v>
      </c>
      <c r="K317" s="331">
        <f>+'HULP-velden'!$AK$27</f>
        <v>77.5</v>
      </c>
      <c r="L317" s="331">
        <f>+'HULP-velden'!$AL$27</f>
        <v>87.5</v>
      </c>
      <c r="M317" s="331">
        <f>+'HULP-velden'!$AM$27</f>
        <v>97.5</v>
      </c>
      <c r="N317" s="331">
        <f>+'HULP-velden'!$AN$27</f>
        <v>107.5</v>
      </c>
      <c r="O317" s="331">
        <f>+'HULP-velden'!$AO$27</f>
        <v>117.5</v>
      </c>
      <c r="P317" s="331">
        <f>+'HULP-velden'!$AP$27</f>
        <v>127.49999999999999</v>
      </c>
    </row>
    <row r="318" spans="2:16" ht="15" x14ac:dyDescent="0.25">
      <c r="B318" s="226"/>
      <c r="C318" s="226"/>
      <c r="D318" s="226"/>
      <c r="E318" s="223"/>
      <c r="F318" s="223"/>
      <c r="G318" s="223"/>
      <c r="H318" s="226">
        <f>'HULP-velden'!$AE$28</f>
        <v>494000</v>
      </c>
      <c r="I318" s="223"/>
      <c r="J318" s="331">
        <f>+'HULP-velden'!$AJ$28</f>
        <v>67</v>
      </c>
      <c r="K318" s="331">
        <f>+'HULP-velden'!$AK$28</f>
        <v>77</v>
      </c>
      <c r="L318" s="331">
        <f>+'HULP-velden'!$AL$28</f>
        <v>87</v>
      </c>
      <c r="M318" s="331">
        <f>+'HULP-velden'!$AM$28</f>
        <v>97</v>
      </c>
      <c r="N318" s="331">
        <f>+'HULP-velden'!$AN$28</f>
        <v>107</v>
      </c>
      <c r="O318" s="331">
        <f>+'HULP-velden'!$AO$28</f>
        <v>117</v>
      </c>
      <c r="P318" s="331">
        <f>+'HULP-velden'!$AP$28</f>
        <v>127</v>
      </c>
    </row>
    <row r="319" spans="2:16" ht="15" x14ac:dyDescent="0.25">
      <c r="B319" s="223" t="s">
        <v>263</v>
      </c>
      <c r="C319" s="224">
        <f>'HULP-velden'!$F$12</f>
        <v>50</v>
      </c>
      <c r="D319" s="224"/>
      <c r="E319" s="223"/>
      <c r="F319" s="223"/>
      <c r="G319" s="223"/>
      <c r="H319" s="226">
        <f>'HULP-velden'!$AE$29</f>
        <v>493000</v>
      </c>
      <c r="I319" s="223"/>
      <c r="J319" s="331">
        <f>+'HULP-velden'!$AJ$29</f>
        <v>66.5</v>
      </c>
      <c r="K319" s="331">
        <f>+'HULP-velden'!$AK$29</f>
        <v>76.5</v>
      </c>
      <c r="L319" s="331">
        <f>+'HULP-velden'!$AL$29</f>
        <v>86.5</v>
      </c>
      <c r="M319" s="331">
        <f>+'HULP-velden'!$AM$29</f>
        <v>96.5</v>
      </c>
      <c r="N319" s="331">
        <f>+'HULP-velden'!$AN$29</f>
        <v>106.5</v>
      </c>
      <c r="O319" s="331">
        <f>+'HULP-velden'!$AO$29</f>
        <v>116.5</v>
      </c>
      <c r="P319" s="331">
        <f>+'HULP-velden'!$AP$29</f>
        <v>126.49999999999999</v>
      </c>
    </row>
    <row r="320" spans="2:16" ht="15" x14ac:dyDescent="0.25">
      <c r="B320" s="223" t="s">
        <v>7</v>
      </c>
      <c r="C320" s="229">
        <f>+'HULP-velden'!$C$10</f>
        <v>0.5</v>
      </c>
      <c r="D320" s="224">
        <f>+D310</f>
        <v>500</v>
      </c>
      <c r="E320" s="223"/>
      <c r="F320" s="223"/>
      <c r="G320" s="223"/>
      <c r="H320" s="226">
        <f>'HULP-velden'!$AE$30</f>
        <v>492000</v>
      </c>
      <c r="I320" s="223"/>
      <c r="J320" s="331">
        <f>+'HULP-velden'!$AJ$30</f>
        <v>66</v>
      </c>
      <c r="K320" s="331">
        <f>+'HULP-velden'!$AK$30</f>
        <v>76</v>
      </c>
      <c r="L320" s="331">
        <f>+'HULP-velden'!$AL$30</f>
        <v>86</v>
      </c>
      <c r="M320" s="331">
        <f>+'HULP-velden'!$AM$30</f>
        <v>96</v>
      </c>
      <c r="N320" s="331">
        <f>+'HULP-velden'!$AN$30</f>
        <v>106</v>
      </c>
      <c r="O320" s="331">
        <f>+'HULP-velden'!$AO$30</f>
        <v>115.99999999999999</v>
      </c>
      <c r="P320" s="331">
        <f>+'HULP-velden'!$AP$30</f>
        <v>126</v>
      </c>
    </row>
    <row r="321" spans="2:16" ht="15" x14ac:dyDescent="0.25">
      <c r="B321" s="223" t="s">
        <v>8</v>
      </c>
      <c r="C321" s="229">
        <f>+'HULP-velden'!$C$11</f>
        <v>0.5</v>
      </c>
      <c r="D321" s="224">
        <f>D320/C320*C321</f>
        <v>500</v>
      </c>
      <c r="E321" s="223"/>
      <c r="F321" s="223"/>
      <c r="G321" s="223"/>
      <c r="H321" s="226">
        <f>'HULP-velden'!$AE$31</f>
        <v>491000</v>
      </c>
      <c r="I321" s="223"/>
      <c r="J321" s="331">
        <f>+'HULP-velden'!$AJ$31</f>
        <v>65.5</v>
      </c>
      <c r="K321" s="331">
        <f>+'HULP-velden'!$AK$31</f>
        <v>75.5</v>
      </c>
      <c r="L321" s="331">
        <f>+'HULP-velden'!$AL$31</f>
        <v>85.5</v>
      </c>
      <c r="M321" s="331">
        <f>+'HULP-velden'!$AM$31</f>
        <v>95.5</v>
      </c>
      <c r="N321" s="331">
        <f>+'HULP-velden'!$AN$31</f>
        <v>105.5</v>
      </c>
      <c r="O321" s="331">
        <f>+'HULP-velden'!$AO$31</f>
        <v>115.5</v>
      </c>
      <c r="P321" s="331">
        <f>+'HULP-velden'!$AP$31</f>
        <v>125.49999999999999</v>
      </c>
    </row>
    <row r="322" spans="2:16" ht="15" x14ac:dyDescent="0.25">
      <c r="B322" s="226"/>
      <c r="C322" s="226"/>
      <c r="D322" s="226"/>
      <c r="E322" s="223"/>
      <c r="F322" s="223"/>
      <c r="G322" s="223"/>
      <c r="H322" s="226">
        <f>'HULP-velden'!$AE$32</f>
        <v>490000</v>
      </c>
      <c r="I322" s="223"/>
      <c r="J322" s="331">
        <f>+'HULP-velden'!$AJ$32</f>
        <v>65</v>
      </c>
      <c r="K322" s="331">
        <f>+'HULP-velden'!$AK$32</f>
        <v>75</v>
      </c>
      <c r="L322" s="331">
        <f>+'HULP-velden'!$AL$32</f>
        <v>85</v>
      </c>
      <c r="M322" s="331">
        <f>+'HULP-velden'!$AM$32</f>
        <v>95</v>
      </c>
      <c r="N322" s="331">
        <f>+'HULP-velden'!$AN$32</f>
        <v>105</v>
      </c>
      <c r="O322" s="331">
        <f>+'HULP-velden'!$AO$32</f>
        <v>114.99999999999999</v>
      </c>
      <c r="P322" s="331">
        <f>+'HULP-velden'!$AP$32</f>
        <v>125</v>
      </c>
    </row>
    <row r="323" spans="2:16" ht="15" x14ac:dyDescent="0.25">
      <c r="B323" s="223" t="s">
        <v>72</v>
      </c>
      <c r="C323" s="226">
        <f>+'HULP-velden'!$C$13</f>
        <v>-100000</v>
      </c>
      <c r="D323" s="224"/>
      <c r="E323" s="223"/>
      <c r="F323" s="223"/>
      <c r="G323" s="223"/>
      <c r="H323" s="226">
        <f>'HULP-velden'!$AE$33</f>
        <v>489000</v>
      </c>
      <c r="I323" s="223"/>
      <c r="J323" s="331">
        <f>+'HULP-velden'!$AJ$33</f>
        <v>64.5</v>
      </c>
      <c r="K323" s="331">
        <f>+'HULP-velden'!$AK$33</f>
        <v>74.5</v>
      </c>
      <c r="L323" s="331">
        <f>+'HULP-velden'!$AL$33</f>
        <v>84.5</v>
      </c>
      <c r="M323" s="331">
        <f>+'HULP-velden'!$AM$33</f>
        <v>94.5</v>
      </c>
      <c r="N323" s="331">
        <f>+'HULP-velden'!$AN$33</f>
        <v>104.5</v>
      </c>
      <c r="O323" s="331">
        <f>+'HULP-velden'!$AO$33</f>
        <v>114.5</v>
      </c>
      <c r="P323" s="331">
        <f>+'HULP-velden'!$AP$33</f>
        <v>124.50000000000001</v>
      </c>
    </row>
    <row r="324" spans="2:16" ht="15" x14ac:dyDescent="0.25">
      <c r="B324" s="223" t="s">
        <v>73</v>
      </c>
      <c r="C324" s="226">
        <f>+'HULP-velden'!$C$14</f>
        <v>300000</v>
      </c>
      <c r="D324" s="228">
        <f>+C324</f>
        <v>300000</v>
      </c>
      <c r="E324" s="223"/>
      <c r="F324" s="223"/>
      <c r="G324" s="223"/>
      <c r="H324" s="226">
        <f>'HULP-velden'!$AE$34</f>
        <v>488000</v>
      </c>
      <c r="I324" s="223"/>
      <c r="J324" s="331">
        <f>+'HULP-velden'!$AJ$34</f>
        <v>64</v>
      </c>
      <c r="K324" s="331">
        <f>+'HULP-velden'!$AK$34</f>
        <v>74</v>
      </c>
      <c r="L324" s="331">
        <f>+'HULP-velden'!$AL$34</f>
        <v>84</v>
      </c>
      <c r="M324" s="331">
        <f>+'HULP-velden'!$AM$34</f>
        <v>94</v>
      </c>
      <c r="N324" s="331">
        <f>+'HULP-velden'!$AN$34</f>
        <v>104</v>
      </c>
      <c r="O324" s="331">
        <f>+'HULP-velden'!$AO$34</f>
        <v>113.99999999999999</v>
      </c>
      <c r="P324" s="331">
        <f>+'HULP-velden'!$AP$34</f>
        <v>124</v>
      </c>
    </row>
    <row r="325" spans="2:16" ht="15" x14ac:dyDescent="0.25">
      <c r="B325" s="223" t="s">
        <v>80</v>
      </c>
      <c r="C325" s="226">
        <f>+'HULP-velden'!$C$17</f>
        <v>500000</v>
      </c>
      <c r="D325" s="228">
        <f>+C325</f>
        <v>500000</v>
      </c>
      <c r="E325" s="223"/>
      <c r="F325" s="223"/>
      <c r="G325" s="223"/>
      <c r="H325" s="226">
        <f>'HULP-velden'!$AE$35</f>
        <v>487000</v>
      </c>
      <c r="I325" s="223"/>
      <c r="J325" s="331">
        <f>+'HULP-velden'!$AJ$35</f>
        <v>63.5</v>
      </c>
      <c r="K325" s="331">
        <f>+'HULP-velden'!$AK$35</f>
        <v>73.5</v>
      </c>
      <c r="L325" s="331">
        <f>+'HULP-velden'!$AL$35</f>
        <v>83.5</v>
      </c>
      <c r="M325" s="331">
        <f>+'HULP-velden'!$AM$35</f>
        <v>93.5</v>
      </c>
      <c r="N325" s="331">
        <f>+'HULP-velden'!$AN$35</f>
        <v>103.49999999999999</v>
      </c>
      <c r="O325" s="331">
        <f>+'HULP-velden'!$AO$35</f>
        <v>113.5</v>
      </c>
      <c r="P325" s="331">
        <f>+'HULP-velden'!$AP$35</f>
        <v>123.50000000000001</v>
      </c>
    </row>
    <row r="326" spans="2:16" ht="15" x14ac:dyDescent="0.25">
      <c r="B326" s="223" t="s">
        <v>74</v>
      </c>
      <c r="C326" s="224">
        <f>+'HULP-velden'!$C$15</f>
        <v>-1000</v>
      </c>
      <c r="D326" s="227">
        <f>Dashboard!$H$22</f>
        <v>0</v>
      </c>
      <c r="E326" s="223"/>
      <c r="F326" s="223"/>
      <c r="G326" s="223"/>
      <c r="H326" s="226">
        <f>'HULP-velden'!$AE$36</f>
        <v>486000</v>
      </c>
      <c r="I326" s="223"/>
      <c r="J326" s="331">
        <f>+'HULP-velden'!$AJ$36</f>
        <v>63</v>
      </c>
      <c r="K326" s="331">
        <f>+'HULP-velden'!$AK$36</f>
        <v>73</v>
      </c>
      <c r="L326" s="331">
        <f>+'HULP-velden'!$AL$36</f>
        <v>83</v>
      </c>
      <c r="M326" s="331">
        <f>+'HULP-velden'!$AM$36</f>
        <v>93</v>
      </c>
      <c r="N326" s="331">
        <f>+'HULP-velden'!$AN$36</f>
        <v>103</v>
      </c>
      <c r="O326" s="331">
        <f>+'HULP-velden'!$AO$36</f>
        <v>112.99999999999999</v>
      </c>
      <c r="P326" s="331">
        <f>+'HULP-velden'!$AP$36</f>
        <v>123</v>
      </c>
    </row>
    <row r="327" spans="2:16" ht="15" x14ac:dyDescent="0.25">
      <c r="B327" s="223" t="s">
        <v>223</v>
      </c>
      <c r="C327" s="224">
        <f>Dashboard!$H$16</f>
        <v>1</v>
      </c>
      <c r="D327" s="227"/>
      <c r="E327" s="223"/>
      <c r="F327" s="223"/>
      <c r="G327" s="223"/>
      <c r="H327" s="226">
        <f>'HULP-velden'!$AE$37</f>
        <v>485000</v>
      </c>
      <c r="I327" s="223"/>
      <c r="J327" s="331">
        <f>+'HULP-velden'!$AJ$37</f>
        <v>62.5</v>
      </c>
      <c r="K327" s="331">
        <f>+'HULP-velden'!$AK$37</f>
        <v>72.5</v>
      </c>
      <c r="L327" s="331">
        <f>+'HULP-velden'!$AL$37</f>
        <v>82.5</v>
      </c>
      <c r="M327" s="331">
        <f>+'HULP-velden'!$AM$37</f>
        <v>92.5</v>
      </c>
      <c r="N327" s="331">
        <f>+'HULP-velden'!$AN$37</f>
        <v>102.49999999999999</v>
      </c>
      <c r="O327" s="331">
        <f>+'HULP-velden'!$AO$37</f>
        <v>112.5</v>
      </c>
      <c r="P327" s="331">
        <f>+'HULP-velden'!$AP$37</f>
        <v>122.50000000000001</v>
      </c>
    </row>
    <row r="328" spans="2:16" ht="15" x14ac:dyDescent="0.25">
      <c r="B328" s="223"/>
      <c r="C328" s="223"/>
      <c r="D328" s="223"/>
      <c r="E328" s="223"/>
      <c r="F328" s="223"/>
      <c r="G328" s="223"/>
      <c r="H328" s="226">
        <f>'HULP-velden'!$AE$38</f>
        <v>484000</v>
      </c>
      <c r="I328" s="223"/>
      <c r="J328" s="331">
        <f>+'HULP-velden'!$AJ$38</f>
        <v>62</v>
      </c>
      <c r="K328" s="331">
        <f>+'HULP-velden'!$AK$38</f>
        <v>72</v>
      </c>
      <c r="L328" s="331">
        <f>+'HULP-velden'!$AL$38</f>
        <v>82</v>
      </c>
      <c r="M328" s="331">
        <f>+'HULP-velden'!$AM$38</f>
        <v>92</v>
      </c>
      <c r="N328" s="331">
        <f>+'HULP-velden'!$AN$38</f>
        <v>102</v>
      </c>
      <c r="O328" s="331">
        <f>+'HULP-velden'!$AO$38</f>
        <v>112.00000000000001</v>
      </c>
      <c r="P328" s="331">
        <f>+'HULP-velden'!$AP$38</f>
        <v>122</v>
      </c>
    </row>
    <row r="329" spans="2:16" ht="15" x14ac:dyDescent="0.25">
      <c r="B329" s="223" t="s">
        <v>254</v>
      </c>
      <c r="C329" s="226">
        <f>+'HULP-velden'!$C$8</f>
        <v>400000</v>
      </c>
      <c r="D329" s="223"/>
      <c r="E329" s="223"/>
      <c r="F329" s="223"/>
      <c r="G329" s="223"/>
      <c r="H329" s="226">
        <f>'HULP-velden'!$AE$39</f>
        <v>483000</v>
      </c>
      <c r="I329" s="223"/>
      <c r="J329" s="331">
        <f>+'HULP-velden'!$AJ$39</f>
        <v>61.5</v>
      </c>
      <c r="K329" s="331">
        <f>+'HULP-velden'!$AK$39</f>
        <v>71.5</v>
      </c>
      <c r="L329" s="331">
        <f>+'HULP-velden'!$AL$39</f>
        <v>81.5</v>
      </c>
      <c r="M329" s="331">
        <f>+'HULP-velden'!$AM$39</f>
        <v>91.5</v>
      </c>
      <c r="N329" s="331">
        <f>+'HULP-velden'!$AN$39</f>
        <v>101.49999999999999</v>
      </c>
      <c r="O329" s="331">
        <f>+'HULP-velden'!$AO$39</f>
        <v>111.5</v>
      </c>
      <c r="P329" s="331">
        <f>+'HULP-velden'!$AP$39</f>
        <v>121.50000000000001</v>
      </c>
    </row>
    <row r="330" spans="2:16" ht="15" x14ac:dyDescent="0.25">
      <c r="B330" s="223" t="s">
        <v>265</v>
      </c>
      <c r="C330" s="381">
        <f>'HULP-velden'!$C$165</f>
        <v>250</v>
      </c>
      <c r="D330" s="231"/>
      <c r="E330" s="223"/>
      <c r="F330" s="223"/>
      <c r="G330" s="223"/>
      <c r="H330" s="226">
        <f>'HULP-velden'!$AE$40</f>
        <v>482000</v>
      </c>
      <c r="I330" s="223"/>
      <c r="J330" s="331">
        <f>+'HULP-velden'!$AJ$40</f>
        <v>61</v>
      </c>
      <c r="K330" s="331">
        <f>+'HULP-velden'!$AK$40</f>
        <v>71</v>
      </c>
      <c r="L330" s="331">
        <f>+'HULP-velden'!$AL$40</f>
        <v>81</v>
      </c>
      <c r="M330" s="331">
        <f>+'HULP-velden'!$AM$40</f>
        <v>91</v>
      </c>
      <c r="N330" s="331">
        <f>+'HULP-velden'!$AN$40</f>
        <v>101</v>
      </c>
      <c r="O330" s="331">
        <f>+'HULP-velden'!$AO$40</f>
        <v>111.00000000000001</v>
      </c>
      <c r="P330" s="331">
        <f>+'HULP-velden'!$AP$40</f>
        <v>121</v>
      </c>
    </row>
    <row r="331" spans="2:16" ht="15" x14ac:dyDescent="0.25">
      <c r="B331" s="223" t="s">
        <v>264</v>
      </c>
      <c r="C331" s="381">
        <f>'HULP-velden'!$C$164</f>
        <v>250</v>
      </c>
      <c r="D331" s="232"/>
      <c r="E331" s="223"/>
      <c r="F331" s="223"/>
      <c r="G331" s="223"/>
      <c r="H331" s="226">
        <f>'HULP-velden'!$AE$41</f>
        <v>481000</v>
      </c>
      <c r="I331" s="223"/>
      <c r="J331" s="331">
        <f>+'HULP-velden'!$AJ$41</f>
        <v>60.5</v>
      </c>
      <c r="K331" s="331">
        <f>+'HULP-velden'!$AK$41</f>
        <v>70.5</v>
      </c>
      <c r="L331" s="331">
        <f>+'HULP-velden'!$AL$41</f>
        <v>80.5</v>
      </c>
      <c r="M331" s="331">
        <f>+'HULP-velden'!$AM$41</f>
        <v>90.5</v>
      </c>
      <c r="N331" s="331">
        <f>+'HULP-velden'!$AN$41</f>
        <v>100.49999999999999</v>
      </c>
      <c r="O331" s="331">
        <f>+'HULP-velden'!$AO$41</f>
        <v>110.5</v>
      </c>
      <c r="P331" s="331">
        <f>+'HULP-velden'!$AP$41</f>
        <v>120.5</v>
      </c>
    </row>
    <row r="332" spans="2:16" ht="15" x14ac:dyDescent="0.25">
      <c r="B332" s="223" t="s">
        <v>259</v>
      </c>
      <c r="C332" s="382">
        <f>'HULP-velden'!$C$163</f>
        <v>500</v>
      </c>
      <c r="D332" s="223"/>
      <c r="E332" s="223"/>
      <c r="F332" s="223"/>
      <c r="G332" s="223"/>
      <c r="H332" s="226">
        <f>'HULP-velden'!$AE$42</f>
        <v>480000</v>
      </c>
      <c r="I332" s="223"/>
      <c r="J332" s="331">
        <f>+'HULP-velden'!$AJ$42</f>
        <v>60</v>
      </c>
      <c r="K332" s="331">
        <f>+'HULP-velden'!$AK$42</f>
        <v>70</v>
      </c>
      <c r="L332" s="331">
        <f>+'HULP-velden'!$AL$42</f>
        <v>80</v>
      </c>
      <c r="M332" s="331">
        <f>+'HULP-velden'!$AM$42</f>
        <v>90</v>
      </c>
      <c r="N332" s="331">
        <f>+'HULP-velden'!$AN$42</f>
        <v>100</v>
      </c>
      <c r="O332" s="331">
        <f>+'HULP-velden'!$AO$42</f>
        <v>110.00000000000001</v>
      </c>
      <c r="P332" s="331">
        <f>+'HULP-velden'!$AP$42</f>
        <v>120</v>
      </c>
    </row>
    <row r="333" spans="2:16" ht="15" x14ac:dyDescent="0.25">
      <c r="B333" s="223"/>
      <c r="C333" s="295"/>
      <c r="D333" s="223"/>
      <c r="E333" s="223"/>
      <c r="F333" s="223"/>
      <c r="G333" s="223"/>
      <c r="H333" s="226">
        <f>'HULP-velden'!$AE$43</f>
        <v>479000</v>
      </c>
      <c r="I333" s="223"/>
      <c r="J333" s="331">
        <f>+'HULP-velden'!$AJ$43</f>
        <v>59.5</v>
      </c>
      <c r="K333" s="331">
        <f>+'HULP-velden'!$AK$43</f>
        <v>69.5</v>
      </c>
      <c r="L333" s="331">
        <f>+'HULP-velden'!$AL$43</f>
        <v>79.5</v>
      </c>
      <c r="M333" s="331">
        <f>+'HULP-velden'!$AM$43</f>
        <v>89.5</v>
      </c>
      <c r="N333" s="331">
        <f>+'HULP-velden'!$AN$43</f>
        <v>99.5</v>
      </c>
      <c r="O333" s="331">
        <f>+'HULP-velden'!$AO$43</f>
        <v>109.5</v>
      </c>
      <c r="P333" s="331">
        <f>+'HULP-velden'!$AP$43</f>
        <v>119.5</v>
      </c>
    </row>
    <row r="334" spans="2:16" ht="15" x14ac:dyDescent="0.25">
      <c r="B334" s="223"/>
      <c r="C334" s="295"/>
      <c r="D334" s="223"/>
      <c r="E334" s="223"/>
      <c r="F334" s="223"/>
      <c r="G334" s="223"/>
      <c r="H334" s="226">
        <f>'HULP-velden'!$AE$44</f>
        <v>478000</v>
      </c>
      <c r="I334" s="223"/>
      <c r="J334" s="331">
        <f>+'HULP-velden'!$AJ$44</f>
        <v>59</v>
      </c>
      <c r="K334" s="331">
        <f>+'HULP-velden'!$AK$44</f>
        <v>69</v>
      </c>
      <c r="L334" s="331">
        <f>+'HULP-velden'!$AL$44</f>
        <v>79</v>
      </c>
      <c r="M334" s="331">
        <f>+'HULP-velden'!$AM$44</f>
        <v>89</v>
      </c>
      <c r="N334" s="331">
        <f>+'HULP-velden'!$AN$44</f>
        <v>99</v>
      </c>
      <c r="O334" s="331">
        <f>+'HULP-velden'!$AO$44</f>
        <v>109.00000000000001</v>
      </c>
      <c r="P334" s="331">
        <f>+'HULP-velden'!$AP$44</f>
        <v>119</v>
      </c>
    </row>
    <row r="335" spans="2:16" ht="15" x14ac:dyDescent="0.25">
      <c r="B335" s="223"/>
      <c r="C335" s="295"/>
      <c r="D335" s="223"/>
      <c r="E335" s="223"/>
      <c r="F335" s="223"/>
      <c r="G335" s="223"/>
      <c r="H335" s="226">
        <f>'HULP-velden'!$AE$45</f>
        <v>477000</v>
      </c>
      <c r="I335" s="223"/>
      <c r="J335" s="331">
        <f>+'HULP-velden'!$AJ$45</f>
        <v>58.5</v>
      </c>
      <c r="K335" s="331">
        <f>+'HULP-velden'!$AK$45</f>
        <v>68.5</v>
      </c>
      <c r="L335" s="331">
        <f>+'HULP-velden'!$AL$45</f>
        <v>78.5</v>
      </c>
      <c r="M335" s="331">
        <f>+'HULP-velden'!$AM$45</f>
        <v>88.5</v>
      </c>
      <c r="N335" s="331">
        <f>+'HULP-velden'!$AN$45</f>
        <v>98.5</v>
      </c>
      <c r="O335" s="331">
        <f>+'HULP-velden'!$AO$45</f>
        <v>108.5</v>
      </c>
      <c r="P335" s="331">
        <f>+'HULP-velden'!$AP$45</f>
        <v>118.5</v>
      </c>
    </row>
    <row r="336" spans="2:16" ht="15" x14ac:dyDescent="0.25">
      <c r="B336" s="223"/>
      <c r="C336" s="223"/>
      <c r="D336" s="223"/>
      <c r="E336" s="223"/>
      <c r="F336" s="223"/>
      <c r="G336" s="223"/>
      <c r="H336" s="226">
        <f>'HULP-velden'!$AE$46</f>
        <v>476000</v>
      </c>
      <c r="I336" s="223"/>
      <c r="J336" s="331">
        <f>+'HULP-velden'!$AJ$46</f>
        <v>57.999999999999993</v>
      </c>
      <c r="K336" s="331">
        <f>+'HULP-velden'!$AK$46</f>
        <v>68</v>
      </c>
      <c r="L336" s="331">
        <f>+'HULP-velden'!$AL$46</f>
        <v>78</v>
      </c>
      <c r="M336" s="331">
        <f>+'HULP-velden'!$AM$46</f>
        <v>88</v>
      </c>
      <c r="N336" s="331">
        <f>+'HULP-velden'!$AN$46</f>
        <v>98</v>
      </c>
      <c r="O336" s="331">
        <f>+'HULP-velden'!$AO$46</f>
        <v>108</v>
      </c>
      <c r="P336" s="331">
        <f>+'HULP-velden'!$AP$46</f>
        <v>118</v>
      </c>
    </row>
    <row r="337" spans="2:16" ht="15" x14ac:dyDescent="0.25">
      <c r="B337" s="223"/>
      <c r="C337" s="223"/>
      <c r="D337" s="223"/>
      <c r="E337" s="223"/>
      <c r="F337" s="223"/>
      <c r="G337" s="223"/>
      <c r="H337" s="226">
        <f>'HULP-velden'!$AE$47</f>
        <v>475000</v>
      </c>
      <c r="I337" s="223"/>
      <c r="J337" s="331">
        <f>+'HULP-velden'!$AJ$47</f>
        <v>57.499999999999993</v>
      </c>
      <c r="K337" s="331">
        <f>+'HULP-velden'!$AK$47</f>
        <v>67.5</v>
      </c>
      <c r="L337" s="331">
        <f>+'HULP-velden'!$AL$47</f>
        <v>77.5</v>
      </c>
      <c r="M337" s="331">
        <f>+'HULP-velden'!$AM$47</f>
        <v>87.5</v>
      </c>
      <c r="N337" s="331">
        <f>+'HULP-velden'!$AN$47</f>
        <v>97.5</v>
      </c>
      <c r="O337" s="331">
        <f>+'HULP-velden'!$AO$47</f>
        <v>107.5</v>
      </c>
      <c r="P337" s="331">
        <f>+'HULP-velden'!$AP$47</f>
        <v>117.5</v>
      </c>
    </row>
    <row r="338" spans="2:16" ht="15" x14ac:dyDescent="0.25">
      <c r="B338" s="223" t="s">
        <v>109</v>
      </c>
      <c r="C338" s="444" t="str">
        <f>Dashboard!$E$6</f>
        <v>Test</v>
      </c>
      <c r="D338" s="223"/>
      <c r="E338" s="223"/>
      <c r="F338" s="223"/>
      <c r="G338" s="223"/>
      <c r="H338" s="226">
        <f>'HULP-velden'!$AE$48</f>
        <v>474000</v>
      </c>
      <c r="I338" s="223"/>
      <c r="J338" s="331">
        <f>+'HULP-velden'!$AJ$48</f>
        <v>56.999999999999993</v>
      </c>
      <c r="K338" s="331">
        <f>+'HULP-velden'!$AK$48</f>
        <v>67</v>
      </c>
      <c r="L338" s="331">
        <f>+'HULP-velden'!$AL$48</f>
        <v>77</v>
      </c>
      <c r="M338" s="331">
        <f>+'HULP-velden'!$AM$48</f>
        <v>87</v>
      </c>
      <c r="N338" s="331">
        <f>+'HULP-velden'!$AN$48</f>
        <v>97</v>
      </c>
      <c r="O338" s="331">
        <f>+'HULP-velden'!$AO$48</f>
        <v>107</v>
      </c>
      <c r="P338" s="331">
        <f>+'HULP-velden'!$AP$48</f>
        <v>117</v>
      </c>
    </row>
    <row r="339" spans="2:16" ht="15" x14ac:dyDescent="0.25">
      <c r="B339" s="223" t="s">
        <v>12</v>
      </c>
      <c r="C339" s="444" t="str">
        <f>Dashboard!$E$7</f>
        <v>IUC26-001</v>
      </c>
      <c r="D339" s="223"/>
      <c r="E339" s="223"/>
      <c r="F339" s="223"/>
      <c r="G339" s="223"/>
      <c r="H339" s="226">
        <f>'HULP-velden'!$AE$49</f>
        <v>473000</v>
      </c>
      <c r="I339" s="223"/>
      <c r="J339" s="331">
        <f>+'HULP-velden'!$AJ$49</f>
        <v>56.499999999999993</v>
      </c>
      <c r="K339" s="331">
        <f>+'HULP-velden'!$AK$49</f>
        <v>66.5</v>
      </c>
      <c r="L339" s="331">
        <f>+'HULP-velden'!$AL$49</f>
        <v>76.5</v>
      </c>
      <c r="M339" s="331">
        <f>+'HULP-velden'!$AM$49</f>
        <v>86.5</v>
      </c>
      <c r="N339" s="331">
        <f>+'HULP-velden'!$AN$49</f>
        <v>96.5</v>
      </c>
      <c r="O339" s="331">
        <f>+'HULP-velden'!$AO$49</f>
        <v>106.5</v>
      </c>
      <c r="P339" s="331">
        <f>+'HULP-velden'!$AP$49</f>
        <v>116.5</v>
      </c>
    </row>
    <row r="340" spans="2:16" ht="15" x14ac:dyDescent="0.25">
      <c r="B340" s="223"/>
      <c r="C340" s="223"/>
      <c r="D340" s="223"/>
      <c r="E340" s="223"/>
      <c r="F340" s="223"/>
      <c r="G340" s="223"/>
      <c r="H340" s="226">
        <f>'HULP-velden'!$AE$50</f>
        <v>472000</v>
      </c>
      <c r="I340" s="223"/>
      <c r="J340" s="331">
        <f>+'HULP-velden'!$AJ$50</f>
        <v>56.000000000000007</v>
      </c>
      <c r="K340" s="331">
        <f>+'HULP-velden'!$AK$50</f>
        <v>66</v>
      </c>
      <c r="L340" s="331">
        <f>+'HULP-velden'!$AL$50</f>
        <v>76</v>
      </c>
      <c r="M340" s="331">
        <f>+'HULP-velden'!$AM$50</f>
        <v>86</v>
      </c>
      <c r="N340" s="331">
        <f>+'HULP-velden'!$AN$50</f>
        <v>96</v>
      </c>
      <c r="O340" s="331">
        <f>+'HULP-velden'!$AO$50</f>
        <v>106</v>
      </c>
      <c r="P340" s="331">
        <f>+'HULP-velden'!$AP$50</f>
        <v>115.99999999999999</v>
      </c>
    </row>
    <row r="341" spans="2:16" ht="15" x14ac:dyDescent="0.25">
      <c r="B341" s="223"/>
      <c r="C341" s="223"/>
      <c r="D341" s="223"/>
      <c r="E341" s="223"/>
      <c r="F341" s="223"/>
      <c r="G341" s="223"/>
      <c r="H341" s="226">
        <f>'HULP-velden'!$AE$51</f>
        <v>471000</v>
      </c>
      <c r="I341" s="223"/>
      <c r="J341" s="331">
        <f>+'HULP-velden'!$AJ$51</f>
        <v>55.500000000000007</v>
      </c>
      <c r="K341" s="331">
        <f>+'HULP-velden'!$AK$51</f>
        <v>65.5</v>
      </c>
      <c r="L341" s="331">
        <f>+'HULP-velden'!$AL$51</f>
        <v>75.5</v>
      </c>
      <c r="M341" s="331">
        <f>+'HULP-velden'!$AM$51</f>
        <v>85.5</v>
      </c>
      <c r="N341" s="331">
        <f>+'HULP-velden'!$AN$51</f>
        <v>95.5</v>
      </c>
      <c r="O341" s="331">
        <f>+'HULP-velden'!$AO$51</f>
        <v>105.5</v>
      </c>
      <c r="P341" s="331">
        <f>+'HULP-velden'!$AP$51</f>
        <v>115.5</v>
      </c>
    </row>
    <row r="342" spans="2:16" ht="15" x14ac:dyDescent="0.25">
      <c r="B342" s="223" t="s">
        <v>184</v>
      </c>
      <c r="C342" s="223"/>
      <c r="D342" s="223"/>
      <c r="E342" s="223"/>
      <c r="F342" s="223"/>
      <c r="G342" s="223"/>
      <c r="H342" s="226">
        <f>'HULP-velden'!$AE$52</f>
        <v>470000</v>
      </c>
      <c r="I342" s="223"/>
      <c r="J342" s="331">
        <f>+'HULP-velden'!$AJ$52</f>
        <v>55.000000000000007</v>
      </c>
      <c r="K342" s="331">
        <f>+'HULP-velden'!$AK$52</f>
        <v>65</v>
      </c>
      <c r="L342" s="331">
        <f>+'HULP-velden'!$AL$52</f>
        <v>75</v>
      </c>
      <c r="M342" s="331">
        <f>+'HULP-velden'!$AM$52</f>
        <v>85</v>
      </c>
      <c r="N342" s="331">
        <f>+'HULP-velden'!$AN$52</f>
        <v>95</v>
      </c>
      <c r="O342" s="331">
        <f>+'HULP-velden'!$AO$52</f>
        <v>105</v>
      </c>
      <c r="P342" s="331">
        <f>+'HULP-velden'!$AP$52</f>
        <v>114.99999999999999</v>
      </c>
    </row>
    <row r="343" spans="2:16" ht="15" x14ac:dyDescent="0.25">
      <c r="B343" s="223" t="s">
        <v>222</v>
      </c>
      <c r="C343" s="223"/>
      <c r="D343" s="226">
        <f>'HULP-velden'!$D$104</f>
        <v>280000</v>
      </c>
      <c r="E343" s="223"/>
      <c r="F343" s="223"/>
      <c r="G343" s="223"/>
      <c r="H343" s="226">
        <f>'HULP-velden'!$AE$53</f>
        <v>469000</v>
      </c>
      <c r="I343" s="223"/>
      <c r="J343" s="331">
        <f>+'HULP-velden'!$AJ$53</f>
        <v>54.500000000000007</v>
      </c>
      <c r="K343" s="331">
        <f>+'HULP-velden'!$AK$53</f>
        <v>64.5</v>
      </c>
      <c r="L343" s="331">
        <f>+'HULP-velden'!$AL$53</f>
        <v>74.5</v>
      </c>
      <c r="M343" s="331">
        <f>+'HULP-velden'!$AM$53</f>
        <v>84.5</v>
      </c>
      <c r="N343" s="331">
        <f>+'HULP-velden'!$AN$53</f>
        <v>94.5</v>
      </c>
      <c r="O343" s="331">
        <f>+'HULP-velden'!$AO$53</f>
        <v>104.5</v>
      </c>
      <c r="P343" s="331">
        <f>+'HULP-velden'!$AP$53</f>
        <v>114.5</v>
      </c>
    </row>
    <row r="344" spans="2:16" ht="15" x14ac:dyDescent="0.25">
      <c r="B344" s="223" t="s">
        <v>21</v>
      </c>
      <c r="C344" s="224">
        <f>+'HULP-velden'!$C$20</f>
        <v>100</v>
      </c>
      <c r="D344" s="224">
        <f>+'HULP-velden'!$D$20</f>
        <v>100</v>
      </c>
      <c r="E344" s="223"/>
      <c r="F344" s="223"/>
      <c r="G344" s="223"/>
      <c r="H344" s="226">
        <f>'HULP-velden'!$AE$54</f>
        <v>468000</v>
      </c>
      <c r="I344" s="223"/>
      <c r="J344" s="331">
        <f>+'HULP-velden'!$AJ$54</f>
        <v>54</v>
      </c>
      <c r="K344" s="331">
        <f>+'HULP-velden'!$AK$54</f>
        <v>64</v>
      </c>
      <c r="L344" s="331">
        <f>+'HULP-velden'!$AL$54</f>
        <v>74</v>
      </c>
      <c r="M344" s="331">
        <f>+'HULP-velden'!$AM$54</f>
        <v>84</v>
      </c>
      <c r="N344" s="331">
        <f>+'HULP-velden'!$AN$54</f>
        <v>94</v>
      </c>
      <c r="O344" s="331">
        <f>+'HULP-velden'!$AO$54</f>
        <v>104</v>
      </c>
      <c r="P344" s="331">
        <f>+'HULP-velden'!$AP$54</f>
        <v>113.99999999999999</v>
      </c>
    </row>
    <row r="345" spans="2:16" ht="15" x14ac:dyDescent="0.25">
      <c r="B345" s="223" t="s">
        <v>246</v>
      </c>
      <c r="C345" s="445">
        <f>+'HULP-velden'!$C$21</f>
        <v>0</v>
      </c>
      <c r="D345" s="226">
        <f>+'HULP-velden'!$D$21</f>
        <v>520000</v>
      </c>
      <c r="E345" s="223"/>
      <c r="F345" s="223"/>
      <c r="G345" s="223"/>
      <c r="H345" s="226">
        <f>'HULP-velden'!$AE$55</f>
        <v>467000</v>
      </c>
      <c r="I345" s="223"/>
      <c r="J345" s="331">
        <f>+'HULP-velden'!$AJ$55</f>
        <v>53.5</v>
      </c>
      <c r="K345" s="331">
        <f>+'HULP-velden'!$AK$55</f>
        <v>63.5</v>
      </c>
      <c r="L345" s="331">
        <f>+'HULP-velden'!$AL$55</f>
        <v>73.5</v>
      </c>
      <c r="M345" s="331">
        <f>+'HULP-velden'!$AM$55</f>
        <v>83.5</v>
      </c>
      <c r="N345" s="331">
        <f>+'HULP-velden'!$AN$55</f>
        <v>93.5</v>
      </c>
      <c r="O345" s="331">
        <f>+'HULP-velden'!$AO$55</f>
        <v>103.49999999999999</v>
      </c>
      <c r="P345" s="331">
        <f>+'HULP-velden'!$AP$55</f>
        <v>113.5</v>
      </c>
    </row>
    <row r="346" spans="2:16" ht="15" x14ac:dyDescent="0.25">
      <c r="B346" s="223" t="s">
        <v>10</v>
      </c>
      <c r="C346" s="230">
        <f>'HULP-velden'!$M$15</f>
        <v>250</v>
      </c>
      <c r="D346" s="226">
        <f>+'HULP-velden'!$M$14</f>
        <v>400000</v>
      </c>
      <c r="E346" s="223"/>
      <c r="F346" s="223"/>
      <c r="G346" s="223"/>
      <c r="H346" s="226">
        <f>'HULP-velden'!$AE$56</f>
        <v>466000</v>
      </c>
      <c r="I346" s="223"/>
      <c r="J346" s="331">
        <f>+'HULP-velden'!$AJ$56</f>
        <v>53</v>
      </c>
      <c r="K346" s="331">
        <f>+'HULP-velden'!$AK$56</f>
        <v>63</v>
      </c>
      <c r="L346" s="331">
        <f>+'HULP-velden'!$AL$56</f>
        <v>73</v>
      </c>
      <c r="M346" s="331">
        <f>+'HULP-velden'!$AM$56</f>
        <v>83</v>
      </c>
      <c r="N346" s="331">
        <f>+'HULP-velden'!$AN$56</f>
        <v>93</v>
      </c>
      <c r="O346" s="331">
        <f>+'HULP-velden'!$AO$56</f>
        <v>103</v>
      </c>
      <c r="P346" s="331">
        <f>+'HULP-velden'!$AP$56</f>
        <v>112.99999999999999</v>
      </c>
    </row>
    <row r="347" spans="2:16" ht="15" x14ac:dyDescent="0.25">
      <c r="B347" s="223" t="s">
        <v>185</v>
      </c>
      <c r="C347" s="223">
        <f>'HULP-velden'!$C$23</f>
        <v>0</v>
      </c>
      <c r="D347" s="224">
        <f>'HULP-velden'!$D$23</f>
        <v>100</v>
      </c>
      <c r="E347" s="223"/>
      <c r="F347" s="223"/>
      <c r="G347" s="223"/>
      <c r="H347" s="226">
        <f>'HULP-velden'!$AE$57</f>
        <v>465000</v>
      </c>
      <c r="I347" s="223"/>
      <c r="J347" s="331">
        <f>+'HULP-velden'!$AJ$57</f>
        <v>52.5</v>
      </c>
      <c r="K347" s="331">
        <f>+'HULP-velden'!$AK$57</f>
        <v>62.5</v>
      </c>
      <c r="L347" s="331">
        <f>+'HULP-velden'!$AL$57</f>
        <v>72.5</v>
      </c>
      <c r="M347" s="331">
        <f>+'HULP-velden'!$AM$57</f>
        <v>82.5</v>
      </c>
      <c r="N347" s="331">
        <f>+'HULP-velden'!$AN$57</f>
        <v>92.5</v>
      </c>
      <c r="O347" s="331">
        <f>+'HULP-velden'!$AO$57</f>
        <v>102.49999999999999</v>
      </c>
      <c r="P347" s="331">
        <f>+'HULP-velden'!$AP$57</f>
        <v>112.5</v>
      </c>
    </row>
    <row r="348" spans="2:16" ht="15" x14ac:dyDescent="0.25">
      <c r="B348" s="223"/>
      <c r="C348" s="226">
        <f>+'HULP-velden'!$C$13</f>
        <v>-100000</v>
      </c>
      <c r="D348" s="228">
        <f>+C348</f>
        <v>-100000</v>
      </c>
      <c r="E348" s="223"/>
      <c r="F348" s="223"/>
      <c r="G348" s="223"/>
      <c r="H348" s="226">
        <f>'HULP-velden'!$AE$58</f>
        <v>464000</v>
      </c>
      <c r="I348" s="223"/>
      <c r="J348" s="331">
        <f>+'HULP-velden'!$AJ$58</f>
        <v>52</v>
      </c>
      <c r="K348" s="331">
        <f>+'HULP-velden'!$AK$58</f>
        <v>62</v>
      </c>
      <c r="L348" s="331">
        <f>+'HULP-velden'!$AL$58</f>
        <v>72</v>
      </c>
      <c r="M348" s="331">
        <f>+'HULP-velden'!$AM$58</f>
        <v>82</v>
      </c>
      <c r="N348" s="331">
        <f>+'HULP-velden'!$AN$58</f>
        <v>92</v>
      </c>
      <c r="O348" s="331">
        <f>+'HULP-velden'!$AO$58</f>
        <v>102</v>
      </c>
      <c r="P348" s="331">
        <f>+'HULP-velden'!$AP$58</f>
        <v>112.00000000000001</v>
      </c>
    </row>
    <row r="349" spans="2:16" ht="15" x14ac:dyDescent="0.25">
      <c r="B349" s="223" t="s">
        <v>343</v>
      </c>
      <c r="C349" s="223">
        <v>0</v>
      </c>
      <c r="D349" s="226">
        <f>+'HULP-velden'!$D$21</f>
        <v>520000</v>
      </c>
      <c r="E349" s="223"/>
      <c r="F349" s="223"/>
      <c r="G349" s="223"/>
      <c r="H349" s="226">
        <f>'HULP-velden'!$AE$59</f>
        <v>463000</v>
      </c>
      <c r="I349" s="223"/>
      <c r="J349" s="331">
        <f>+'HULP-velden'!$AJ$59</f>
        <v>51.5</v>
      </c>
      <c r="K349" s="331">
        <f>+'HULP-velden'!$AK$59</f>
        <v>61.5</v>
      </c>
      <c r="L349" s="331">
        <f>+'HULP-velden'!$AL$59</f>
        <v>71.5</v>
      </c>
      <c r="M349" s="331">
        <f>+'HULP-velden'!$AM$59</f>
        <v>81.5</v>
      </c>
      <c r="N349" s="331">
        <f>+'HULP-velden'!$AN$59</f>
        <v>91.5</v>
      </c>
      <c r="O349" s="331">
        <f>+'HULP-velden'!$AO$59</f>
        <v>101.49999999999999</v>
      </c>
      <c r="P349" s="331">
        <f>+'HULP-velden'!$AP$59</f>
        <v>111.5</v>
      </c>
    </row>
    <row r="350" spans="2:16" ht="15" x14ac:dyDescent="0.25">
      <c r="B350" s="223" t="s">
        <v>186</v>
      </c>
      <c r="C350" s="223">
        <f>'HULP-velden'!$C$26</f>
        <v>-1000</v>
      </c>
      <c r="D350" s="223">
        <f>'HULP-velden'!$D$26</f>
        <v>-1000</v>
      </c>
      <c r="E350" s="223"/>
      <c r="F350" s="223"/>
      <c r="G350" s="223"/>
      <c r="H350" s="226">
        <f>'HULP-velden'!$AE$60</f>
        <v>462000</v>
      </c>
      <c r="I350" s="223"/>
      <c r="J350" s="331">
        <f>+'HULP-velden'!$AJ$60</f>
        <v>51</v>
      </c>
      <c r="K350" s="331">
        <f>+'HULP-velden'!$AK$60</f>
        <v>61</v>
      </c>
      <c r="L350" s="331">
        <f>+'HULP-velden'!$AL$60</f>
        <v>71</v>
      </c>
      <c r="M350" s="331">
        <f>+'HULP-velden'!$AM$60</f>
        <v>81</v>
      </c>
      <c r="N350" s="331">
        <f>+'HULP-velden'!$AN$60</f>
        <v>91</v>
      </c>
      <c r="O350" s="331">
        <f>+'HULP-velden'!$AO$60</f>
        <v>101</v>
      </c>
      <c r="P350" s="331">
        <f>+'HULP-velden'!$AP$60</f>
        <v>111.00000000000001</v>
      </c>
    </row>
    <row r="351" spans="2:16" ht="15" x14ac:dyDescent="0.25">
      <c r="B351" s="223" t="s">
        <v>130</v>
      </c>
      <c r="C351" s="223">
        <f>'HULP-velden'!$C$28</f>
        <v>0</v>
      </c>
      <c r="D351" s="223">
        <f>'HULP-velden'!$D$28</f>
        <v>0</v>
      </c>
      <c r="E351" s="223"/>
      <c r="F351" s="223"/>
      <c r="G351" s="223"/>
      <c r="H351" s="226">
        <f>'HULP-velden'!$AE$61</f>
        <v>461000</v>
      </c>
      <c r="I351" s="223"/>
      <c r="J351" s="331">
        <f>+'HULP-velden'!$AJ$61</f>
        <v>50.5</v>
      </c>
      <c r="K351" s="331">
        <f>+'HULP-velden'!$AK$61</f>
        <v>60.5</v>
      </c>
      <c r="L351" s="331">
        <f>+'HULP-velden'!$AL$61</f>
        <v>70.5</v>
      </c>
      <c r="M351" s="331">
        <f>+'HULP-velden'!$AM$61</f>
        <v>80.5</v>
      </c>
      <c r="N351" s="331">
        <f>+'HULP-velden'!$AN$61</f>
        <v>90.5</v>
      </c>
      <c r="O351" s="331">
        <f>+'HULP-velden'!$AO$61</f>
        <v>100.49999999999999</v>
      </c>
      <c r="P351" s="331">
        <f>+'HULP-velden'!$AP$61</f>
        <v>110.5</v>
      </c>
    </row>
    <row r="352" spans="2:16" ht="15" x14ac:dyDescent="0.25">
      <c r="B352" s="223" t="s">
        <v>187</v>
      </c>
      <c r="C352" s="223">
        <f>+C351</f>
        <v>0</v>
      </c>
      <c r="D352" s="223">
        <v>0</v>
      </c>
      <c r="E352" s="223"/>
      <c r="F352" s="223"/>
      <c r="G352" s="223"/>
      <c r="H352" s="226">
        <f>'HULP-velden'!$AE$62</f>
        <v>460000</v>
      </c>
      <c r="I352" s="223"/>
      <c r="J352" s="331">
        <f>+'HULP-velden'!$AJ$62</f>
        <v>50</v>
      </c>
      <c r="K352" s="331">
        <f>+'HULP-velden'!$AK$62</f>
        <v>60</v>
      </c>
      <c r="L352" s="331">
        <f>+'HULP-velden'!$AL$62</f>
        <v>70</v>
      </c>
      <c r="M352" s="331">
        <f>+'HULP-velden'!$AM$62</f>
        <v>80</v>
      </c>
      <c r="N352" s="331">
        <f>+'HULP-velden'!$AN$62</f>
        <v>90</v>
      </c>
      <c r="O352" s="331">
        <f>+'HULP-velden'!$AO$62</f>
        <v>100</v>
      </c>
      <c r="P352" s="331">
        <f>+'HULP-velden'!$AP$62</f>
        <v>110.00000000000001</v>
      </c>
    </row>
    <row r="353" spans="2:16" ht="15" x14ac:dyDescent="0.25">
      <c r="B353" s="223" t="s">
        <v>188</v>
      </c>
      <c r="C353" s="224">
        <f>C316</f>
        <v>500</v>
      </c>
      <c r="D353" s="223">
        <v>0</v>
      </c>
      <c r="E353" s="223"/>
      <c r="F353" s="223"/>
      <c r="G353" s="223"/>
      <c r="H353" s="226">
        <f>'HULP-velden'!$AE$63</f>
        <v>459000</v>
      </c>
      <c r="I353" s="223"/>
      <c r="J353" s="331">
        <f>+'HULP-velden'!$AJ$63</f>
        <v>49.5</v>
      </c>
      <c r="K353" s="331">
        <f>+'HULP-velden'!$AK$63</f>
        <v>59.5</v>
      </c>
      <c r="L353" s="331">
        <f>+'HULP-velden'!$AL$63</f>
        <v>69.5</v>
      </c>
      <c r="M353" s="331">
        <f>+'HULP-velden'!$AM$63</f>
        <v>79.5</v>
      </c>
      <c r="N353" s="331">
        <f>+'HULP-velden'!$AN$63</f>
        <v>89.5</v>
      </c>
      <c r="O353" s="331">
        <f>+'HULP-velden'!$AO$63</f>
        <v>99.5</v>
      </c>
      <c r="P353" s="331">
        <f>+'HULP-velden'!$AP$63</f>
        <v>109.5</v>
      </c>
    </row>
    <row r="354" spans="2:16" ht="15" x14ac:dyDescent="0.25">
      <c r="B354" s="223" t="s">
        <v>189</v>
      </c>
      <c r="C354" s="223">
        <f>'HULP-velden'!$C$29</f>
        <v>0</v>
      </c>
      <c r="D354" s="223"/>
      <c r="E354" s="223"/>
      <c r="F354" s="223"/>
      <c r="G354" s="223"/>
      <c r="H354" s="226">
        <f>'HULP-velden'!$AE$64</f>
        <v>458000</v>
      </c>
      <c r="I354" s="223"/>
      <c r="J354" s="331">
        <f>+'HULP-velden'!$AJ$64</f>
        <v>49</v>
      </c>
      <c r="K354" s="331">
        <f>+'HULP-velden'!$AK$64</f>
        <v>59</v>
      </c>
      <c r="L354" s="331">
        <f>+'HULP-velden'!$AL$64</f>
        <v>69</v>
      </c>
      <c r="M354" s="331">
        <f>+'HULP-velden'!$AM$64</f>
        <v>79</v>
      </c>
      <c r="N354" s="331">
        <f>+'HULP-velden'!$AN$64</f>
        <v>89</v>
      </c>
      <c r="O354" s="331">
        <f>+'HULP-velden'!$AO$64</f>
        <v>99</v>
      </c>
      <c r="P354" s="331">
        <f>+'HULP-velden'!$AP$64</f>
        <v>109.00000000000001</v>
      </c>
    </row>
    <row r="355" spans="2:16" ht="15" x14ac:dyDescent="0.25">
      <c r="B355" s="223" t="s">
        <v>190</v>
      </c>
      <c r="C355" s="224">
        <f>'HULP-velden'!$C$30</f>
        <v>500</v>
      </c>
      <c r="D355" s="223"/>
      <c r="E355" s="223"/>
      <c r="F355" s="223"/>
      <c r="G355" s="223"/>
      <c r="H355" s="226">
        <f>'HULP-velden'!$AE$65</f>
        <v>457000</v>
      </c>
      <c r="I355" s="223"/>
      <c r="J355" s="331">
        <f>+'HULP-velden'!$AJ$65</f>
        <v>48.5</v>
      </c>
      <c r="K355" s="331">
        <f>+'HULP-velden'!$AK$65</f>
        <v>58.5</v>
      </c>
      <c r="L355" s="331">
        <f>+'HULP-velden'!$AL$65</f>
        <v>68.5</v>
      </c>
      <c r="M355" s="331">
        <f>+'HULP-velden'!$AM$65</f>
        <v>78.5</v>
      </c>
      <c r="N355" s="331">
        <f>+'HULP-velden'!$AN$65</f>
        <v>88.5</v>
      </c>
      <c r="O355" s="331">
        <f>+'HULP-velden'!$AO$65</f>
        <v>98.5</v>
      </c>
      <c r="P355" s="331">
        <f>+'HULP-velden'!$AP$65</f>
        <v>108.5</v>
      </c>
    </row>
    <row r="356" spans="2:16" ht="15" x14ac:dyDescent="0.25">
      <c r="B356" s="223" t="s">
        <v>74</v>
      </c>
      <c r="C356" s="223">
        <f>'HULP-velden'!$C$26</f>
        <v>-1000</v>
      </c>
      <c r="D356" s="223">
        <f>'HULP-velden'!$D$26</f>
        <v>-1000</v>
      </c>
      <c r="E356" s="223"/>
      <c r="F356" s="223"/>
      <c r="G356" s="223"/>
      <c r="H356" s="226">
        <f>'HULP-velden'!$AE$66</f>
        <v>456000</v>
      </c>
      <c r="I356" s="223"/>
      <c r="J356" s="331">
        <f>+'HULP-velden'!$AJ$66</f>
        <v>48</v>
      </c>
      <c r="K356" s="331">
        <f>+'HULP-velden'!$AK$66</f>
        <v>57.999999999999993</v>
      </c>
      <c r="L356" s="331">
        <f>+'HULP-velden'!$AL$66</f>
        <v>68</v>
      </c>
      <c r="M356" s="331">
        <f>+'HULP-velden'!$AM$66</f>
        <v>78</v>
      </c>
      <c r="N356" s="331">
        <f>+'HULP-velden'!$AN$66</f>
        <v>88</v>
      </c>
      <c r="O356" s="331">
        <f>+'HULP-velden'!$AO$66</f>
        <v>98</v>
      </c>
      <c r="P356" s="331">
        <f>+'HULP-velden'!$AP$66</f>
        <v>108</v>
      </c>
    </row>
    <row r="357" spans="2:16" ht="15" x14ac:dyDescent="0.25">
      <c r="B357" s="223" t="s">
        <v>191</v>
      </c>
      <c r="C357" s="223" t="str">
        <f>'HULP-velden'!$G$15</f>
        <v xml:space="preserve">LAQ = </v>
      </c>
      <c r="D357" s="223"/>
      <c r="E357" s="223"/>
      <c r="F357" s="223"/>
      <c r="G357" s="223"/>
      <c r="H357" s="226">
        <f>'HULP-velden'!$AE$67</f>
        <v>455000</v>
      </c>
      <c r="I357" s="223"/>
      <c r="J357" s="331">
        <f>+'HULP-velden'!$AJ$67</f>
        <v>47.5</v>
      </c>
      <c r="K357" s="331">
        <f>+'HULP-velden'!$AK$67</f>
        <v>57.499999999999993</v>
      </c>
      <c r="L357" s="331">
        <f>+'HULP-velden'!$AL$67</f>
        <v>67.5</v>
      </c>
      <c r="M357" s="331">
        <f>+'HULP-velden'!$AM$67</f>
        <v>77.5</v>
      </c>
      <c r="N357" s="331">
        <f>+'HULP-velden'!$AN$67</f>
        <v>87.5</v>
      </c>
      <c r="O357" s="331">
        <f>+'HULP-velden'!$AO$67</f>
        <v>97.5</v>
      </c>
      <c r="P357" s="331">
        <f>+'HULP-velden'!$AP$67</f>
        <v>107.5</v>
      </c>
    </row>
    <row r="358" spans="2:16" ht="15" x14ac:dyDescent="0.25">
      <c r="B358" s="223" t="s">
        <v>72</v>
      </c>
      <c r="C358" s="226">
        <f>'HULP-velden'!$C$13</f>
        <v>-100000</v>
      </c>
      <c r="D358" s="228">
        <f>+C358</f>
        <v>-100000</v>
      </c>
      <c r="E358" s="223"/>
      <c r="F358" s="223"/>
      <c r="G358" s="223"/>
      <c r="H358" s="226">
        <f>'HULP-velden'!$AE$68</f>
        <v>454000</v>
      </c>
      <c r="I358" s="223"/>
      <c r="J358" s="331">
        <f>+'HULP-velden'!$AJ$68</f>
        <v>47</v>
      </c>
      <c r="K358" s="331">
        <f>+'HULP-velden'!$AK$68</f>
        <v>56.999999999999993</v>
      </c>
      <c r="L358" s="331">
        <f>+'HULP-velden'!$AL$68</f>
        <v>67</v>
      </c>
      <c r="M358" s="331">
        <f>+'HULP-velden'!$AM$68</f>
        <v>77</v>
      </c>
      <c r="N358" s="331">
        <f>+'HULP-velden'!$AN$68</f>
        <v>87</v>
      </c>
      <c r="O358" s="331">
        <f>+'HULP-velden'!$AO$68</f>
        <v>97</v>
      </c>
      <c r="P358" s="331">
        <f>+'HULP-velden'!$AP$68</f>
        <v>107</v>
      </c>
    </row>
    <row r="359" spans="2:16" ht="15" x14ac:dyDescent="0.25">
      <c r="B359" s="223" t="s">
        <v>191</v>
      </c>
      <c r="C359" s="223" t="str">
        <f>'HULP-velden'!$G$16</f>
        <v>Plafondprijs; -€ 100</v>
      </c>
      <c r="D359" s="223"/>
      <c r="E359" s="223"/>
      <c r="F359" s="223"/>
      <c r="G359" s="223"/>
      <c r="H359" s="226">
        <f>'HULP-velden'!$AE$69</f>
        <v>453000</v>
      </c>
      <c r="I359" s="223"/>
      <c r="J359" s="331">
        <f>+'HULP-velden'!$AJ$69</f>
        <v>46.5</v>
      </c>
      <c r="K359" s="331">
        <f>+'HULP-velden'!$AK$69</f>
        <v>56.499999999999993</v>
      </c>
      <c r="L359" s="331">
        <f>+'HULP-velden'!$AL$69</f>
        <v>66.5</v>
      </c>
      <c r="M359" s="331">
        <f>+'HULP-velden'!$AM$69</f>
        <v>76.5</v>
      </c>
      <c r="N359" s="331">
        <f>+'HULP-velden'!$AN$69</f>
        <v>86.5</v>
      </c>
      <c r="O359" s="331">
        <f>+'HULP-velden'!$AO$69</f>
        <v>96.5</v>
      </c>
      <c r="P359" s="331">
        <f>+'HULP-velden'!$AP$69</f>
        <v>106.5</v>
      </c>
    </row>
    <row r="360" spans="2:16" ht="15" x14ac:dyDescent="0.25">
      <c r="B360" s="223"/>
      <c r="C360" s="223"/>
      <c r="D360" s="223"/>
      <c r="E360" s="223"/>
      <c r="F360" s="223"/>
      <c r="G360" s="223"/>
      <c r="H360" s="226">
        <f>'HULP-velden'!$AE$70</f>
        <v>452000</v>
      </c>
      <c r="I360" s="223"/>
      <c r="J360" s="331">
        <f>+'HULP-velden'!$AJ$70</f>
        <v>46</v>
      </c>
      <c r="K360" s="331">
        <f>+'HULP-velden'!$AK$70</f>
        <v>56.000000000000007</v>
      </c>
      <c r="L360" s="331">
        <f>+'HULP-velden'!$AL$70</f>
        <v>66</v>
      </c>
      <c r="M360" s="331">
        <f>+'HULP-velden'!$AM$70</f>
        <v>76</v>
      </c>
      <c r="N360" s="331">
        <f>+'HULP-velden'!$AN$70</f>
        <v>86</v>
      </c>
      <c r="O360" s="331">
        <f>+'HULP-velden'!$AO$70</f>
        <v>96</v>
      </c>
      <c r="P360" s="331">
        <f>+'HULP-velden'!$AP$70</f>
        <v>106</v>
      </c>
    </row>
    <row r="361" spans="2:16" ht="15" x14ac:dyDescent="0.25">
      <c r="B361" s="243"/>
      <c r="C361" s="223"/>
      <c r="D361" s="223"/>
      <c r="E361" s="223"/>
      <c r="F361" s="223"/>
      <c r="G361" s="223"/>
      <c r="H361" s="226">
        <f>'HULP-velden'!$AE$71</f>
        <v>451000</v>
      </c>
      <c r="I361" s="223"/>
      <c r="J361" s="331">
        <f>+'HULP-velden'!$AJ$71</f>
        <v>45.5</v>
      </c>
      <c r="K361" s="331">
        <f>+'HULP-velden'!$AK$71</f>
        <v>55.500000000000007</v>
      </c>
      <c r="L361" s="331">
        <f>+'HULP-velden'!$AL$71</f>
        <v>65.5</v>
      </c>
      <c r="M361" s="331">
        <f>+'HULP-velden'!$AM$71</f>
        <v>75.5</v>
      </c>
      <c r="N361" s="331">
        <f>+'HULP-velden'!$AN$71</f>
        <v>85.5</v>
      </c>
      <c r="O361" s="331">
        <f>+'HULP-velden'!$AO$71</f>
        <v>95.5</v>
      </c>
      <c r="P361" s="331">
        <f>+'HULP-velden'!$AP$71</f>
        <v>105.5</v>
      </c>
    </row>
    <row r="362" spans="2:16" ht="15" x14ac:dyDescent="0.25">
      <c r="B362" s="223"/>
      <c r="C362" s="223"/>
      <c r="D362" s="223"/>
      <c r="E362" s="223"/>
      <c r="F362" s="223"/>
      <c r="G362" s="223"/>
      <c r="H362" s="226">
        <f>'HULP-velden'!$AE$72</f>
        <v>450000</v>
      </c>
      <c r="I362" s="223"/>
      <c r="J362" s="331">
        <f>+'HULP-velden'!$AJ$72</f>
        <v>45</v>
      </c>
      <c r="K362" s="331">
        <f>+'HULP-velden'!$AK$72</f>
        <v>55.000000000000007</v>
      </c>
      <c r="L362" s="331">
        <f>+'HULP-velden'!$AL$72</f>
        <v>65</v>
      </c>
      <c r="M362" s="331">
        <f>+'HULP-velden'!$AM$72</f>
        <v>75</v>
      </c>
      <c r="N362" s="331">
        <f>+'HULP-velden'!$AN$72</f>
        <v>85</v>
      </c>
      <c r="O362" s="331">
        <f>+'HULP-velden'!$AO$72</f>
        <v>95</v>
      </c>
      <c r="P362" s="331">
        <f>+'HULP-velden'!$AP$72</f>
        <v>105</v>
      </c>
    </row>
    <row r="363" spans="2:16" ht="15" x14ac:dyDescent="0.25">
      <c r="B363" s="223" t="s">
        <v>261</v>
      </c>
      <c r="C363" s="223"/>
      <c r="D363" s="223"/>
      <c r="E363" s="223"/>
      <c r="F363" s="223"/>
      <c r="G363" s="223"/>
      <c r="H363" s="226">
        <f>'HULP-velden'!$AE$73</f>
        <v>449000</v>
      </c>
      <c r="I363" s="223"/>
      <c r="J363" s="331">
        <f>+'HULP-velden'!$AJ$73</f>
        <v>44.5</v>
      </c>
      <c r="K363" s="331">
        <f>+'HULP-velden'!$AK$73</f>
        <v>54.500000000000007</v>
      </c>
      <c r="L363" s="331">
        <f>+'HULP-velden'!$AL$73</f>
        <v>64.5</v>
      </c>
      <c r="M363" s="331">
        <f>+'HULP-velden'!$AM$73</f>
        <v>74.5</v>
      </c>
      <c r="N363" s="331">
        <f>+'HULP-velden'!$AN$73</f>
        <v>84.5</v>
      </c>
      <c r="O363" s="331">
        <f>+'HULP-velden'!$AO$73</f>
        <v>94.5</v>
      </c>
      <c r="P363" s="331">
        <f>+'HULP-velden'!$AP$73</f>
        <v>104.5</v>
      </c>
    </row>
    <row r="364" spans="2:16" ht="15" x14ac:dyDescent="0.25">
      <c r="B364" s="223"/>
      <c r="C364" s="223" t="s">
        <v>2</v>
      </c>
      <c r="D364" s="225" t="s">
        <v>262</v>
      </c>
      <c r="E364" s="225" t="s">
        <v>171</v>
      </c>
      <c r="F364" s="225" t="s">
        <v>24</v>
      </c>
      <c r="G364" s="225" t="s">
        <v>144</v>
      </c>
      <c r="H364" s="226">
        <f>'HULP-velden'!$AE$74</f>
        <v>448000</v>
      </c>
      <c r="I364" s="223"/>
      <c r="J364" s="331">
        <f>+'HULP-velden'!$AJ$74</f>
        <v>44</v>
      </c>
      <c r="K364" s="331">
        <f>+'HULP-velden'!$AK$74</f>
        <v>54</v>
      </c>
      <c r="L364" s="331">
        <f>+'HULP-velden'!$AL$74</f>
        <v>64</v>
      </c>
      <c r="M364" s="331">
        <f>+'HULP-velden'!$AM$74</f>
        <v>74</v>
      </c>
      <c r="N364" s="331">
        <f>+'HULP-velden'!$AN$74</f>
        <v>84</v>
      </c>
      <c r="O364" s="331">
        <f>+'HULP-velden'!$AO$74</f>
        <v>94</v>
      </c>
      <c r="P364" s="331">
        <f>+'HULP-velden'!$AP$74</f>
        <v>104</v>
      </c>
    </row>
    <row r="365" spans="2:16" ht="15" x14ac:dyDescent="0.25">
      <c r="B365" s="223" t="str">
        <f>'HULP-velden'!$D$51</f>
        <v/>
      </c>
      <c r="C365" s="226" t="str">
        <f>'HULP-velden'!$E$51</f>
        <v/>
      </c>
      <c r="D365" s="223" t="str">
        <f>'HULP-velden'!$F$51</f>
        <v/>
      </c>
      <c r="E365" s="294" t="str">
        <f>IF(D365="","",D365/C316*100)</f>
        <v/>
      </c>
      <c r="F365" s="446" t="str">
        <f>IF(D365="","",'HULP-velden'!$H$51)</f>
        <v/>
      </c>
      <c r="G365" s="225" t="str">
        <f>IF(D365="","",'HULP-velden'!$K$51)</f>
        <v/>
      </c>
      <c r="H365" s="226">
        <f>'HULP-velden'!$AE$75</f>
        <v>447000</v>
      </c>
      <c r="I365" s="223"/>
      <c r="J365" s="331">
        <f>+'HULP-velden'!$AJ$75</f>
        <v>43.5</v>
      </c>
      <c r="K365" s="331">
        <f>+'HULP-velden'!$AK$75</f>
        <v>53.5</v>
      </c>
      <c r="L365" s="331">
        <f>+'HULP-velden'!$AL$75</f>
        <v>63.5</v>
      </c>
      <c r="M365" s="331">
        <f>+'HULP-velden'!$AM$75</f>
        <v>73.5</v>
      </c>
      <c r="N365" s="331">
        <f>+'HULP-velden'!$AN$75</f>
        <v>83.5</v>
      </c>
      <c r="O365" s="331">
        <f>+'HULP-velden'!$AO$75</f>
        <v>93.5</v>
      </c>
      <c r="P365" s="331">
        <f>+'HULP-velden'!$AP$75</f>
        <v>103.49999999999999</v>
      </c>
    </row>
    <row r="366" spans="2:16" ht="15" x14ac:dyDescent="0.25">
      <c r="B366" s="223" t="str">
        <f>'HULP-velden'!$D$52</f>
        <v/>
      </c>
      <c r="C366" s="226" t="str">
        <f>'HULP-velden'!$E$52</f>
        <v/>
      </c>
      <c r="D366" s="223" t="str">
        <f>'HULP-velden'!$F$52</f>
        <v/>
      </c>
      <c r="E366" s="294" t="str">
        <f>IF(D366="","",D366/C316*100)</f>
        <v/>
      </c>
      <c r="F366" s="446" t="str">
        <f>IF(D366="","",'HULP-velden'!$H$52)</f>
        <v/>
      </c>
      <c r="G366" s="225" t="str">
        <f>IF(D366="","",'HULP-velden'!$K$52)</f>
        <v/>
      </c>
      <c r="H366" s="226">
        <f>'HULP-velden'!$AE$76</f>
        <v>446000</v>
      </c>
      <c r="I366" s="223"/>
      <c r="J366" s="331">
        <f>+'HULP-velden'!$AJ$76</f>
        <v>43</v>
      </c>
      <c r="K366" s="331">
        <f>+'HULP-velden'!$AK$76</f>
        <v>53</v>
      </c>
      <c r="L366" s="331">
        <f>+'HULP-velden'!$AL$76</f>
        <v>63</v>
      </c>
      <c r="M366" s="331">
        <f>+'HULP-velden'!$AM$76</f>
        <v>73</v>
      </c>
      <c r="N366" s="331">
        <f>+'HULP-velden'!$AN$76</f>
        <v>83</v>
      </c>
      <c r="O366" s="331">
        <f>+'HULP-velden'!$AO$76</f>
        <v>93</v>
      </c>
      <c r="P366" s="331">
        <f>+'HULP-velden'!$AP$76</f>
        <v>103</v>
      </c>
    </row>
    <row r="367" spans="2:16" ht="15" x14ac:dyDescent="0.25">
      <c r="B367" s="223" t="str">
        <f>'HULP-velden'!$D$53</f>
        <v/>
      </c>
      <c r="C367" s="226" t="str">
        <f>'HULP-velden'!$E$53</f>
        <v/>
      </c>
      <c r="D367" s="223" t="str">
        <f>'HULP-velden'!$F$53</f>
        <v/>
      </c>
      <c r="E367" s="294" t="str">
        <f>IF(D367="","",D367/C316*100)</f>
        <v/>
      </c>
      <c r="F367" s="446" t="str">
        <f>IF(D367="","",'HULP-velden'!$H$53)</f>
        <v/>
      </c>
      <c r="G367" s="225" t="str">
        <f>IF(D367="","",'HULP-velden'!$K$53)</f>
        <v/>
      </c>
      <c r="H367" s="226">
        <f>'HULP-velden'!$AE$77</f>
        <v>445000</v>
      </c>
      <c r="I367" s="223"/>
      <c r="J367" s="331">
        <f>+'HULP-velden'!$AJ$77</f>
        <v>42.5</v>
      </c>
      <c r="K367" s="331">
        <f>+'HULP-velden'!$AK$77</f>
        <v>52.5</v>
      </c>
      <c r="L367" s="331">
        <f>+'HULP-velden'!$AL$77</f>
        <v>62.5</v>
      </c>
      <c r="M367" s="331">
        <f>+'HULP-velden'!$AM$77</f>
        <v>72.5</v>
      </c>
      <c r="N367" s="331">
        <f>+'HULP-velden'!$AN$77</f>
        <v>82.5</v>
      </c>
      <c r="O367" s="331">
        <f>+'HULP-velden'!$AO$77</f>
        <v>92.5</v>
      </c>
      <c r="P367" s="331">
        <f>+'HULP-velden'!$AP$77</f>
        <v>102.49999999999999</v>
      </c>
    </row>
    <row r="368" spans="2:16" ht="15" x14ac:dyDescent="0.25">
      <c r="B368" s="223" t="str">
        <f>'HULP-velden'!$D$54</f>
        <v/>
      </c>
      <c r="C368" s="226" t="str">
        <f>'HULP-velden'!$E$54</f>
        <v/>
      </c>
      <c r="D368" s="223" t="str">
        <f>'HULP-velden'!$F$54</f>
        <v/>
      </c>
      <c r="E368" s="294" t="str">
        <f>IF(D368="","",D368/C316*100)</f>
        <v/>
      </c>
      <c r="F368" s="446" t="str">
        <f>IF(D368="","",'HULP-velden'!$H$54)</f>
        <v/>
      </c>
      <c r="G368" s="225" t="str">
        <f>IF(D368="","",'HULP-velden'!$K$54)</f>
        <v/>
      </c>
      <c r="H368" s="226">
        <f>'HULP-velden'!$AE$78</f>
        <v>444000</v>
      </c>
      <c r="I368" s="223"/>
      <c r="J368" s="331">
        <f>+'HULP-velden'!$AJ$78</f>
        <v>42</v>
      </c>
      <c r="K368" s="331">
        <f>+'HULP-velden'!$AK$78</f>
        <v>52</v>
      </c>
      <c r="L368" s="331">
        <f>+'HULP-velden'!$AL$78</f>
        <v>62</v>
      </c>
      <c r="M368" s="331">
        <f>+'HULP-velden'!$AM$78</f>
        <v>72</v>
      </c>
      <c r="N368" s="331">
        <f>+'HULP-velden'!$AN$78</f>
        <v>82</v>
      </c>
      <c r="O368" s="331">
        <f>+'HULP-velden'!$AO$78</f>
        <v>92</v>
      </c>
      <c r="P368" s="331">
        <f>+'HULP-velden'!$AP$78</f>
        <v>102</v>
      </c>
    </row>
    <row r="369" spans="2:16" ht="15" x14ac:dyDescent="0.25">
      <c r="B369" s="223" t="str">
        <f>'HULP-velden'!$D$55</f>
        <v/>
      </c>
      <c r="C369" s="226" t="str">
        <f>'HULP-velden'!$E$55</f>
        <v/>
      </c>
      <c r="D369" s="223" t="str">
        <f>'HULP-velden'!$F$55</f>
        <v/>
      </c>
      <c r="E369" s="294" t="str">
        <f>IF(D369="","",D369/C316*100)</f>
        <v/>
      </c>
      <c r="F369" s="446" t="str">
        <f>IF(D369="","",'HULP-velden'!$H$55)</f>
        <v/>
      </c>
      <c r="G369" s="225" t="str">
        <f>IF(D369="","",'HULP-velden'!$K$55)</f>
        <v/>
      </c>
      <c r="H369" s="226">
        <f>'HULP-velden'!$AE$79</f>
        <v>443000</v>
      </c>
      <c r="I369" s="223"/>
      <c r="J369" s="331">
        <f>+'HULP-velden'!$AJ$79</f>
        <v>41.5</v>
      </c>
      <c r="K369" s="331">
        <f>+'HULP-velden'!$AK$79</f>
        <v>51.5</v>
      </c>
      <c r="L369" s="331">
        <f>+'HULP-velden'!$AL$79</f>
        <v>61.5</v>
      </c>
      <c r="M369" s="331">
        <f>+'HULP-velden'!$AM$79</f>
        <v>71.5</v>
      </c>
      <c r="N369" s="331">
        <f>+'HULP-velden'!$AN$79</f>
        <v>81.5</v>
      </c>
      <c r="O369" s="331">
        <f>+'HULP-velden'!$AO$79</f>
        <v>91.5</v>
      </c>
      <c r="P369" s="331">
        <f>+'HULP-velden'!$AP$79</f>
        <v>101.49999999999999</v>
      </c>
    </row>
    <row r="370" spans="2:16" ht="15" x14ac:dyDescent="0.25">
      <c r="B370" s="223" t="str">
        <f>'HULP-velden'!$D$56</f>
        <v/>
      </c>
      <c r="C370" s="226" t="str">
        <f>'HULP-velden'!$E$56</f>
        <v/>
      </c>
      <c r="D370" s="223" t="str">
        <f>'HULP-velden'!$F$56</f>
        <v/>
      </c>
      <c r="E370" s="294" t="str">
        <f>IF(D370="","",D370/C316*100)</f>
        <v/>
      </c>
      <c r="F370" s="446" t="str">
        <f>IF(D370="","",'HULP-velden'!$H$56)</f>
        <v/>
      </c>
      <c r="G370" s="225" t="str">
        <f>IF(D370="","",'HULP-velden'!$K$56)</f>
        <v/>
      </c>
      <c r="H370" s="226">
        <f>'HULP-velden'!$AE$80</f>
        <v>442000</v>
      </c>
      <c r="I370" s="223"/>
      <c r="J370" s="331">
        <f>+'HULP-velden'!$AJ$80</f>
        <v>41</v>
      </c>
      <c r="K370" s="331">
        <f>+'HULP-velden'!$AK$80</f>
        <v>51</v>
      </c>
      <c r="L370" s="331">
        <f>+'HULP-velden'!$AL$80</f>
        <v>61</v>
      </c>
      <c r="M370" s="331">
        <f>+'HULP-velden'!$AM$80</f>
        <v>71</v>
      </c>
      <c r="N370" s="331">
        <f>+'HULP-velden'!$AN$80</f>
        <v>81</v>
      </c>
      <c r="O370" s="331">
        <f>+'HULP-velden'!$AO$80</f>
        <v>91</v>
      </c>
      <c r="P370" s="331">
        <f>+'HULP-velden'!$AP$80</f>
        <v>101</v>
      </c>
    </row>
    <row r="371" spans="2:16" ht="15" x14ac:dyDescent="0.25">
      <c r="B371" s="223" t="str">
        <f>'HULP-velden'!$D$57</f>
        <v/>
      </c>
      <c r="C371" s="226" t="str">
        <f>'HULP-velden'!$E$57</f>
        <v/>
      </c>
      <c r="D371" s="223" t="str">
        <f>'HULP-velden'!$F$57</f>
        <v/>
      </c>
      <c r="E371" s="294" t="str">
        <f>IF(D371="","",D371/C316*100)</f>
        <v/>
      </c>
      <c r="F371" s="446" t="str">
        <f>IF(D371="","",'HULP-velden'!$H$57)</f>
        <v/>
      </c>
      <c r="G371" s="225" t="str">
        <f>IF(D371="","",'HULP-velden'!$K$57)</f>
        <v/>
      </c>
      <c r="H371" s="226">
        <f>'HULP-velden'!$AE$81</f>
        <v>441000</v>
      </c>
      <c r="I371" s="223"/>
      <c r="J371" s="331">
        <f>+'HULP-velden'!$AJ$81</f>
        <v>40.5</v>
      </c>
      <c r="K371" s="331">
        <f>+'HULP-velden'!$AK$81</f>
        <v>50.5</v>
      </c>
      <c r="L371" s="331">
        <f>+'HULP-velden'!$AL$81</f>
        <v>60.5</v>
      </c>
      <c r="M371" s="331">
        <f>+'HULP-velden'!$AM$81</f>
        <v>70.5</v>
      </c>
      <c r="N371" s="331">
        <f>+'HULP-velden'!$AN$81</f>
        <v>80.5</v>
      </c>
      <c r="O371" s="331">
        <f>+'HULP-velden'!$AO$81</f>
        <v>90.5</v>
      </c>
      <c r="P371" s="331">
        <f>+'HULP-velden'!$AP$81</f>
        <v>100.49999999999999</v>
      </c>
    </row>
    <row r="372" spans="2:16" ht="15" x14ac:dyDescent="0.25">
      <c r="B372" s="223" t="str">
        <f>'HULP-velden'!$D$58</f>
        <v/>
      </c>
      <c r="C372" s="226" t="str">
        <f>'HULP-velden'!$E$58</f>
        <v/>
      </c>
      <c r="D372" s="223" t="str">
        <f>'HULP-velden'!$F$58</f>
        <v/>
      </c>
      <c r="E372" s="294" t="str">
        <f>IF(D372="","",D372/C316*100)</f>
        <v/>
      </c>
      <c r="F372" s="446" t="str">
        <f>IF(D372="","",'HULP-velden'!$H$58)</f>
        <v/>
      </c>
      <c r="G372" s="225" t="str">
        <f>IF(D372="","",'HULP-velden'!$K$58)</f>
        <v/>
      </c>
      <c r="H372" s="226">
        <f>'HULP-velden'!$AE$82</f>
        <v>440000</v>
      </c>
      <c r="I372" s="223"/>
      <c r="J372" s="331">
        <f>+'HULP-velden'!$AJ$82</f>
        <v>40</v>
      </c>
      <c r="K372" s="331">
        <f>+'HULP-velden'!$AK$82</f>
        <v>50</v>
      </c>
      <c r="L372" s="331">
        <f>+'HULP-velden'!$AL$82</f>
        <v>60</v>
      </c>
      <c r="M372" s="331">
        <f>+'HULP-velden'!$AM$82</f>
        <v>70</v>
      </c>
      <c r="N372" s="331">
        <f>+'HULP-velden'!$AN$82</f>
        <v>80</v>
      </c>
      <c r="O372" s="331">
        <f>+'HULP-velden'!$AO$82</f>
        <v>90</v>
      </c>
      <c r="P372" s="331">
        <f>+'HULP-velden'!$AP$82</f>
        <v>100</v>
      </c>
    </row>
    <row r="373" spans="2:16" ht="15" x14ac:dyDescent="0.25">
      <c r="B373" s="223" t="str">
        <f>'HULP-velden'!$D$59</f>
        <v/>
      </c>
      <c r="C373" s="226" t="str">
        <f>'HULP-velden'!$E$59</f>
        <v/>
      </c>
      <c r="D373" s="223" t="str">
        <f>'HULP-velden'!$F$59</f>
        <v/>
      </c>
      <c r="E373" s="294" t="str">
        <f>IF(D373="","",D373/C316*100)</f>
        <v/>
      </c>
      <c r="F373" s="446" t="str">
        <f>IF(D373="","",'HULP-velden'!$H$59)</f>
        <v/>
      </c>
      <c r="G373" s="225" t="str">
        <f>IF(D373="","",'HULP-velden'!$K$59)</f>
        <v/>
      </c>
      <c r="H373" s="226">
        <f>'HULP-velden'!$AE$83</f>
        <v>439000</v>
      </c>
      <c r="I373" s="223"/>
      <c r="J373" s="331">
        <f>+'HULP-velden'!$AJ$83</f>
        <v>39.5</v>
      </c>
      <c r="K373" s="331">
        <f>+'HULP-velden'!$AK$83</f>
        <v>49.5</v>
      </c>
      <c r="L373" s="331">
        <f>+'HULP-velden'!$AL$83</f>
        <v>59.5</v>
      </c>
      <c r="M373" s="331">
        <f>+'HULP-velden'!$AM$83</f>
        <v>69.5</v>
      </c>
      <c r="N373" s="331">
        <f>+'HULP-velden'!$AN$83</f>
        <v>79.5</v>
      </c>
      <c r="O373" s="331">
        <f>+'HULP-velden'!$AO$83</f>
        <v>89.5</v>
      </c>
      <c r="P373" s="331">
        <f>+'HULP-velden'!$AP$83</f>
        <v>99.5</v>
      </c>
    </row>
    <row r="374" spans="2:16" ht="15" x14ac:dyDescent="0.25">
      <c r="B374" s="223" t="str">
        <f>'HULP-velden'!$D$60</f>
        <v/>
      </c>
      <c r="C374" s="226" t="str">
        <f>'HULP-velden'!$E$60</f>
        <v/>
      </c>
      <c r="D374" s="223" t="str">
        <f>'HULP-velden'!$F$60</f>
        <v/>
      </c>
      <c r="E374" s="294" t="str">
        <f>IF(D374="","",D374/C316*100)</f>
        <v/>
      </c>
      <c r="F374" s="446" t="str">
        <f>IF(D374="","",'HULP-velden'!$H$60)</f>
        <v/>
      </c>
      <c r="G374" s="225" t="str">
        <f>IF(D374="","",'HULP-velden'!$K$60)</f>
        <v/>
      </c>
      <c r="H374" s="226">
        <f>'HULP-velden'!$AE$84</f>
        <v>438000</v>
      </c>
      <c r="I374" s="223"/>
      <c r="J374" s="331">
        <f>+'HULP-velden'!$AJ$84</f>
        <v>39</v>
      </c>
      <c r="K374" s="331">
        <f>+'HULP-velden'!$AK$84</f>
        <v>49</v>
      </c>
      <c r="L374" s="331">
        <f>+'HULP-velden'!$AL$84</f>
        <v>59</v>
      </c>
      <c r="M374" s="331">
        <f>+'HULP-velden'!$AM$84</f>
        <v>69</v>
      </c>
      <c r="N374" s="331">
        <f>+'HULP-velden'!$AN$84</f>
        <v>79</v>
      </c>
      <c r="O374" s="331">
        <f>+'HULP-velden'!$AO$84</f>
        <v>89</v>
      </c>
      <c r="P374" s="331">
        <f>+'HULP-velden'!$AP$84</f>
        <v>99</v>
      </c>
    </row>
    <row r="375" spans="2:16" ht="15" x14ac:dyDescent="0.25">
      <c r="B375" s="223" t="str">
        <f>'HULP-velden'!$D$61</f>
        <v/>
      </c>
      <c r="C375" s="226" t="str">
        <f>'HULP-velden'!$E$61</f>
        <v/>
      </c>
      <c r="D375" s="223" t="str">
        <f>'HULP-velden'!$F$61</f>
        <v/>
      </c>
      <c r="E375" s="294" t="str">
        <f>IF(D375="","",D375/C316*100)</f>
        <v/>
      </c>
      <c r="F375" s="446" t="str">
        <f>IF(D375="","",'HULP-velden'!$H$61)</f>
        <v/>
      </c>
      <c r="G375" s="225" t="str">
        <f>IF(D375="","",'HULP-velden'!$K$61)</f>
        <v/>
      </c>
      <c r="H375" s="226">
        <f>'HULP-velden'!$AE$85</f>
        <v>437000</v>
      </c>
      <c r="I375" s="223"/>
      <c r="J375" s="331">
        <f>+'HULP-velden'!$AJ$85</f>
        <v>38.5</v>
      </c>
      <c r="K375" s="331">
        <f>+'HULP-velden'!$AK$85</f>
        <v>48.5</v>
      </c>
      <c r="L375" s="331">
        <f>+'HULP-velden'!$AL$85</f>
        <v>58.5</v>
      </c>
      <c r="M375" s="331">
        <f>+'HULP-velden'!$AM$85</f>
        <v>68.5</v>
      </c>
      <c r="N375" s="331">
        <f>+'HULP-velden'!$AN$85</f>
        <v>78.5</v>
      </c>
      <c r="O375" s="331">
        <f>+'HULP-velden'!$AO$85</f>
        <v>88.5</v>
      </c>
      <c r="P375" s="331">
        <f>+'HULP-velden'!$AP$85</f>
        <v>98.5</v>
      </c>
    </row>
    <row r="376" spans="2:16" ht="15" x14ac:dyDescent="0.25">
      <c r="B376" s="223" t="str">
        <f>'HULP-velden'!$D$62</f>
        <v/>
      </c>
      <c r="C376" s="226" t="str">
        <f>'HULP-velden'!$E$62</f>
        <v/>
      </c>
      <c r="D376" s="223" t="str">
        <f>'HULP-velden'!$F$62</f>
        <v/>
      </c>
      <c r="E376" s="294" t="str">
        <f>IF(D376="","",D376/C316*100)</f>
        <v/>
      </c>
      <c r="F376" s="446" t="str">
        <f>IF(D376="","",'HULP-velden'!$H$62)</f>
        <v/>
      </c>
      <c r="G376" s="225" t="str">
        <f>IF(D376="","",'HULP-velden'!$K$62)</f>
        <v/>
      </c>
      <c r="H376" s="226">
        <f>'HULP-velden'!$AE$86</f>
        <v>436000</v>
      </c>
      <c r="I376" s="223"/>
      <c r="J376" s="331">
        <f>+'HULP-velden'!$AJ$86</f>
        <v>38</v>
      </c>
      <c r="K376" s="331">
        <f>+'HULP-velden'!$AK$86</f>
        <v>48</v>
      </c>
      <c r="L376" s="331">
        <f>+'HULP-velden'!$AL$86</f>
        <v>57.999999999999993</v>
      </c>
      <c r="M376" s="331">
        <f>+'HULP-velden'!$AM$86</f>
        <v>68</v>
      </c>
      <c r="N376" s="331">
        <f>+'HULP-velden'!$AN$86</f>
        <v>78</v>
      </c>
      <c r="O376" s="331">
        <f>+'HULP-velden'!$AO$86</f>
        <v>88</v>
      </c>
      <c r="P376" s="331">
        <f>+'HULP-velden'!$AP$86</f>
        <v>98</v>
      </c>
    </row>
    <row r="377" spans="2:16" ht="15" x14ac:dyDescent="0.25">
      <c r="B377" s="223" t="str">
        <f>'HULP-velden'!$D$63</f>
        <v>Referentie</v>
      </c>
      <c r="C377" s="226">
        <f>'HULP-velden'!$E$63</f>
        <v>400000</v>
      </c>
      <c r="D377" s="223">
        <f>'HULP-velden'!$F$63</f>
        <v>250</v>
      </c>
      <c r="E377" s="294">
        <f>IF(D377="","",D377/C316*100)</f>
        <v>50</v>
      </c>
      <c r="F377" s="446">
        <f>IF(D377="","",'HULP-velden'!$H$63)</f>
        <v>500</v>
      </c>
      <c r="G377" s="225"/>
      <c r="H377" s="226">
        <f>'HULP-velden'!$AE$87</f>
        <v>435000</v>
      </c>
      <c r="I377" s="223"/>
      <c r="J377" s="331">
        <f>+'HULP-velden'!$AJ$87</f>
        <v>37.5</v>
      </c>
      <c r="K377" s="331">
        <f>+'HULP-velden'!$AK$87</f>
        <v>47.5</v>
      </c>
      <c r="L377" s="331">
        <f>+'HULP-velden'!$AL$87</f>
        <v>57.499999999999993</v>
      </c>
      <c r="M377" s="331">
        <f>+'HULP-velden'!$AM$87</f>
        <v>67.5</v>
      </c>
      <c r="N377" s="331">
        <f>+'HULP-velden'!$AN$87</f>
        <v>77.5</v>
      </c>
      <c r="O377" s="331">
        <f>+'HULP-velden'!$AO$87</f>
        <v>87.5</v>
      </c>
      <c r="P377" s="331">
        <f>+'HULP-velden'!$AP$87</f>
        <v>97.5</v>
      </c>
    </row>
    <row r="378" spans="2:16" ht="15" x14ac:dyDescent="0.25">
      <c r="B378" s="223"/>
      <c r="C378" s="223"/>
      <c r="D378" s="223"/>
      <c r="E378" s="223"/>
      <c r="F378" s="223"/>
      <c r="G378" s="223"/>
      <c r="H378" s="226">
        <f>'HULP-velden'!$AE$88</f>
        <v>434000</v>
      </c>
      <c r="I378" s="223"/>
      <c r="J378" s="331">
        <f>+'HULP-velden'!$AJ$88</f>
        <v>37</v>
      </c>
      <c r="K378" s="331">
        <f>+'HULP-velden'!$AK$88</f>
        <v>47</v>
      </c>
      <c r="L378" s="331">
        <f>+'HULP-velden'!$AL$88</f>
        <v>56.999999999999993</v>
      </c>
      <c r="M378" s="331">
        <f>+'HULP-velden'!$AM$88</f>
        <v>67</v>
      </c>
      <c r="N378" s="331">
        <f>+'HULP-velden'!$AN$88</f>
        <v>77</v>
      </c>
      <c r="O378" s="331">
        <f>+'HULP-velden'!$AO$88</f>
        <v>87</v>
      </c>
      <c r="P378" s="331">
        <f>+'HULP-velden'!$AP$88</f>
        <v>97</v>
      </c>
    </row>
    <row r="379" spans="2:16" ht="15" x14ac:dyDescent="0.25">
      <c r="B379" s="223"/>
      <c r="C379" s="223"/>
      <c r="D379" s="223"/>
      <c r="E379" s="223"/>
      <c r="F379" s="223"/>
      <c r="G379" s="223"/>
      <c r="H379" s="226">
        <f>'HULP-velden'!$AE$89</f>
        <v>433000</v>
      </c>
      <c r="I379" s="223"/>
      <c r="J379" s="331">
        <f>+'HULP-velden'!$AJ$89</f>
        <v>36.5</v>
      </c>
      <c r="K379" s="331">
        <f>+'HULP-velden'!$AK$89</f>
        <v>46.5</v>
      </c>
      <c r="L379" s="331">
        <f>+'HULP-velden'!$AL$89</f>
        <v>56.499999999999993</v>
      </c>
      <c r="M379" s="331">
        <f>+'HULP-velden'!$AM$89</f>
        <v>66.5</v>
      </c>
      <c r="N379" s="331">
        <f>+'HULP-velden'!$AN$89</f>
        <v>76.5</v>
      </c>
      <c r="O379" s="331">
        <f>+'HULP-velden'!$AO$89</f>
        <v>86.5</v>
      </c>
      <c r="P379" s="331">
        <f>+'HULP-velden'!$AP$89</f>
        <v>96.5</v>
      </c>
    </row>
    <row r="380" spans="2:16" ht="15" x14ac:dyDescent="0.25">
      <c r="B380" s="223"/>
      <c r="C380" s="223"/>
      <c r="D380" s="223"/>
      <c r="E380" s="223"/>
      <c r="F380" s="223"/>
      <c r="G380" s="223"/>
      <c r="H380" s="226">
        <f>'HULP-velden'!$AE$90</f>
        <v>432000</v>
      </c>
      <c r="I380" s="223"/>
      <c r="J380" s="331">
        <f>+'HULP-velden'!$AJ$90</f>
        <v>36</v>
      </c>
      <c r="K380" s="331">
        <f>+'HULP-velden'!$AK$90</f>
        <v>46</v>
      </c>
      <c r="L380" s="331">
        <f>+'HULP-velden'!$AL$90</f>
        <v>56.000000000000007</v>
      </c>
      <c r="M380" s="331">
        <f>+'HULP-velden'!$AM$90</f>
        <v>66</v>
      </c>
      <c r="N380" s="331">
        <f>+'HULP-velden'!$AN$90</f>
        <v>76</v>
      </c>
      <c r="O380" s="331">
        <f>+'HULP-velden'!$AO$90</f>
        <v>86</v>
      </c>
      <c r="P380" s="331">
        <f>+'HULP-velden'!$AP$90</f>
        <v>96</v>
      </c>
    </row>
    <row r="381" spans="2:16" ht="15" x14ac:dyDescent="0.25">
      <c r="B381" s="223"/>
      <c r="C381" s="223"/>
      <c r="D381" s="223"/>
      <c r="E381" s="223"/>
      <c r="F381" s="223"/>
      <c r="G381" s="223"/>
      <c r="H381" s="226">
        <f>'HULP-velden'!$AE$91</f>
        <v>431000</v>
      </c>
      <c r="I381" s="223"/>
      <c r="J381" s="331">
        <f>+'HULP-velden'!$AJ$91</f>
        <v>35.5</v>
      </c>
      <c r="K381" s="331">
        <f>+'HULP-velden'!$AK$91</f>
        <v>45.5</v>
      </c>
      <c r="L381" s="331">
        <f>+'HULP-velden'!$AL$91</f>
        <v>55.500000000000007</v>
      </c>
      <c r="M381" s="331">
        <f>+'HULP-velden'!$AM$91</f>
        <v>65.5</v>
      </c>
      <c r="N381" s="331">
        <f>+'HULP-velden'!$AN$91</f>
        <v>75.5</v>
      </c>
      <c r="O381" s="331">
        <f>+'HULP-velden'!$AO$91</f>
        <v>85.5</v>
      </c>
      <c r="P381" s="331">
        <f>+'HULP-velden'!$AP$91</f>
        <v>95.5</v>
      </c>
    </row>
    <row r="382" spans="2:16" ht="15" x14ac:dyDescent="0.25">
      <c r="B382" s="223"/>
      <c r="C382" s="223"/>
      <c r="D382" s="223"/>
      <c r="E382" s="223"/>
      <c r="F382" s="223"/>
      <c r="G382" s="223"/>
      <c r="H382" s="226">
        <f>'HULP-velden'!$AE$92</f>
        <v>430000</v>
      </c>
      <c r="I382" s="223"/>
      <c r="J382" s="331">
        <f>+'HULP-velden'!$AJ$92</f>
        <v>35</v>
      </c>
      <c r="K382" s="331">
        <f>+'HULP-velden'!$AK$92</f>
        <v>45</v>
      </c>
      <c r="L382" s="331">
        <f>+'HULP-velden'!$AL$92</f>
        <v>55.000000000000007</v>
      </c>
      <c r="M382" s="331">
        <f>+'HULP-velden'!$AM$92</f>
        <v>65</v>
      </c>
      <c r="N382" s="331">
        <f>+'HULP-velden'!$AN$92</f>
        <v>75</v>
      </c>
      <c r="O382" s="331">
        <f>+'HULP-velden'!$AO$92</f>
        <v>85</v>
      </c>
      <c r="P382" s="331">
        <f>+'HULP-velden'!$AP$92</f>
        <v>95</v>
      </c>
    </row>
    <row r="383" spans="2:16" ht="15" x14ac:dyDescent="0.25">
      <c r="B383" s="223"/>
      <c r="C383" s="223"/>
      <c r="D383" s="223"/>
      <c r="E383" s="223"/>
      <c r="F383" s="223"/>
      <c r="G383" s="223"/>
      <c r="H383" s="226">
        <f>'HULP-velden'!$AE$93</f>
        <v>429000</v>
      </c>
      <c r="I383" s="223"/>
      <c r="J383" s="331">
        <f>+'HULP-velden'!$AJ$93</f>
        <v>34.5</v>
      </c>
      <c r="K383" s="331">
        <f>+'HULP-velden'!$AK$93</f>
        <v>44.5</v>
      </c>
      <c r="L383" s="331">
        <f>+'HULP-velden'!$AL$93</f>
        <v>54.500000000000007</v>
      </c>
      <c r="M383" s="331">
        <f>+'HULP-velden'!$AM$93</f>
        <v>64.5</v>
      </c>
      <c r="N383" s="331">
        <f>+'HULP-velden'!$AN$93</f>
        <v>74.5</v>
      </c>
      <c r="O383" s="331">
        <f>+'HULP-velden'!$AO$93</f>
        <v>84.5</v>
      </c>
      <c r="P383" s="331">
        <f>+'HULP-velden'!$AP$93</f>
        <v>94.5</v>
      </c>
    </row>
    <row r="384" spans="2:16" ht="15" x14ac:dyDescent="0.25">
      <c r="B384" s="223"/>
      <c r="C384" s="223"/>
      <c r="D384" s="223"/>
      <c r="E384" s="223"/>
      <c r="F384" s="223"/>
      <c r="G384" s="223"/>
      <c r="H384" s="226">
        <f>'HULP-velden'!$AE$94</f>
        <v>428000</v>
      </c>
      <c r="I384" s="223"/>
      <c r="J384" s="331">
        <f>+'HULP-velden'!$AJ$94</f>
        <v>34</v>
      </c>
      <c r="K384" s="331">
        <f>+'HULP-velden'!$AK$94</f>
        <v>44</v>
      </c>
      <c r="L384" s="331">
        <f>+'HULP-velden'!$AL$94</f>
        <v>54</v>
      </c>
      <c r="M384" s="331">
        <f>+'HULP-velden'!$AM$94</f>
        <v>64</v>
      </c>
      <c r="N384" s="331">
        <f>+'HULP-velden'!$AN$94</f>
        <v>74</v>
      </c>
      <c r="O384" s="331">
        <f>+'HULP-velden'!$AO$94</f>
        <v>84</v>
      </c>
      <c r="P384" s="331">
        <f>+'HULP-velden'!$AP$94</f>
        <v>94</v>
      </c>
    </row>
    <row r="385" spans="2:16" ht="15" x14ac:dyDescent="0.25">
      <c r="B385" s="223"/>
      <c r="C385" s="223"/>
      <c r="D385" s="223"/>
      <c r="E385" s="223"/>
      <c r="F385" s="223"/>
      <c r="G385" s="223"/>
      <c r="H385" s="226">
        <f>'HULP-velden'!$AE$95</f>
        <v>427000</v>
      </c>
      <c r="I385" s="223"/>
      <c r="J385" s="331">
        <f>+'HULP-velden'!$AJ$95</f>
        <v>33.5</v>
      </c>
      <c r="K385" s="331">
        <f>+'HULP-velden'!$AK$95</f>
        <v>43.5</v>
      </c>
      <c r="L385" s="331">
        <f>+'HULP-velden'!$AL$95</f>
        <v>53.5</v>
      </c>
      <c r="M385" s="331">
        <f>+'HULP-velden'!$AM$95</f>
        <v>63.5</v>
      </c>
      <c r="N385" s="331">
        <f>+'HULP-velden'!$AN$95</f>
        <v>73.5</v>
      </c>
      <c r="O385" s="331">
        <f>+'HULP-velden'!$AO$95</f>
        <v>83.5</v>
      </c>
      <c r="P385" s="331">
        <f>+'HULP-velden'!$AP$95</f>
        <v>93.5</v>
      </c>
    </row>
    <row r="386" spans="2:16" ht="15" x14ac:dyDescent="0.25">
      <c r="B386" s="223"/>
      <c r="C386" s="223"/>
      <c r="D386" s="223"/>
      <c r="E386" s="223"/>
      <c r="F386" s="223"/>
      <c r="G386" s="223"/>
      <c r="H386" s="226">
        <f>'HULP-velden'!$AE$96</f>
        <v>426000</v>
      </c>
      <c r="I386" s="223"/>
      <c r="J386" s="331">
        <f>+'HULP-velden'!$AJ$96</f>
        <v>33</v>
      </c>
      <c r="K386" s="331">
        <f>+'HULP-velden'!$AK$96</f>
        <v>43</v>
      </c>
      <c r="L386" s="331">
        <f>+'HULP-velden'!$AL$96</f>
        <v>53</v>
      </c>
      <c r="M386" s="331">
        <f>+'HULP-velden'!$AM$96</f>
        <v>63</v>
      </c>
      <c r="N386" s="331">
        <f>+'HULP-velden'!$AN$96</f>
        <v>73</v>
      </c>
      <c r="O386" s="331">
        <f>+'HULP-velden'!$AO$96</f>
        <v>83</v>
      </c>
      <c r="P386" s="331">
        <f>+'HULP-velden'!$AP$96</f>
        <v>93</v>
      </c>
    </row>
    <row r="387" spans="2:16" ht="15" x14ac:dyDescent="0.25">
      <c r="B387" s="223"/>
      <c r="C387" s="223"/>
      <c r="D387" s="223"/>
      <c r="E387" s="223"/>
      <c r="F387" s="223"/>
      <c r="G387" s="223"/>
      <c r="H387" s="226">
        <f>'HULP-velden'!$AE$97</f>
        <v>425000</v>
      </c>
      <c r="I387" s="223"/>
      <c r="J387" s="331">
        <f>+'HULP-velden'!$AJ$97</f>
        <v>32.5</v>
      </c>
      <c r="K387" s="331">
        <f>+'HULP-velden'!$AK$97</f>
        <v>42.5</v>
      </c>
      <c r="L387" s="331">
        <f>+'HULP-velden'!$AL$97</f>
        <v>52.5</v>
      </c>
      <c r="M387" s="331">
        <f>+'HULP-velden'!$AM$97</f>
        <v>62.5</v>
      </c>
      <c r="N387" s="331">
        <f>+'HULP-velden'!$AN$97</f>
        <v>72.5</v>
      </c>
      <c r="O387" s="331">
        <f>+'HULP-velden'!$AO$97</f>
        <v>82.5</v>
      </c>
      <c r="P387" s="331">
        <f>+'HULP-velden'!$AP$97</f>
        <v>92.5</v>
      </c>
    </row>
    <row r="388" spans="2:16" ht="15" x14ac:dyDescent="0.25">
      <c r="B388" s="223"/>
      <c r="C388" s="223"/>
      <c r="D388" s="223"/>
      <c r="E388" s="223"/>
      <c r="F388" s="223"/>
      <c r="G388" s="223"/>
      <c r="H388" s="226">
        <f>'HULP-velden'!$AE$98</f>
        <v>424000</v>
      </c>
      <c r="I388" s="223"/>
      <c r="J388" s="331">
        <f>+'HULP-velden'!$AJ$98</f>
        <v>32</v>
      </c>
      <c r="K388" s="331">
        <f>+'HULP-velden'!$AK$98</f>
        <v>42</v>
      </c>
      <c r="L388" s="331">
        <f>+'HULP-velden'!$AL$98</f>
        <v>52</v>
      </c>
      <c r="M388" s="331">
        <f>+'HULP-velden'!$AM$98</f>
        <v>62</v>
      </c>
      <c r="N388" s="331">
        <f>+'HULP-velden'!$AN$98</f>
        <v>72</v>
      </c>
      <c r="O388" s="331">
        <f>+'HULP-velden'!$AO$98</f>
        <v>82</v>
      </c>
      <c r="P388" s="331">
        <f>+'HULP-velden'!$AP$98</f>
        <v>92</v>
      </c>
    </row>
    <row r="389" spans="2:16" ht="15" x14ac:dyDescent="0.25">
      <c r="B389" s="223"/>
      <c r="C389" s="223"/>
      <c r="D389" s="223"/>
      <c r="E389" s="223"/>
      <c r="F389" s="223"/>
      <c r="G389" s="223"/>
      <c r="H389" s="226">
        <f>'HULP-velden'!$AE$99</f>
        <v>423000</v>
      </c>
      <c r="I389" s="223"/>
      <c r="J389" s="331">
        <f>+'HULP-velden'!$AJ$99</f>
        <v>31.5</v>
      </c>
      <c r="K389" s="331">
        <f>+'HULP-velden'!$AK$99</f>
        <v>41.5</v>
      </c>
      <c r="L389" s="331">
        <f>+'HULP-velden'!$AL$99</f>
        <v>51.5</v>
      </c>
      <c r="M389" s="331">
        <f>+'HULP-velden'!$AM$99</f>
        <v>61.5</v>
      </c>
      <c r="N389" s="331">
        <f>+'HULP-velden'!$AN$99</f>
        <v>71.5</v>
      </c>
      <c r="O389" s="331">
        <f>+'HULP-velden'!$AO$99</f>
        <v>81.5</v>
      </c>
      <c r="P389" s="331">
        <f>+'HULP-velden'!$AP$99</f>
        <v>91.5</v>
      </c>
    </row>
    <row r="390" spans="2:16" ht="15" x14ac:dyDescent="0.25">
      <c r="B390" s="223"/>
      <c r="C390" s="223"/>
      <c r="D390" s="223"/>
      <c r="E390" s="223"/>
      <c r="F390" s="223"/>
      <c r="G390" s="223"/>
      <c r="H390" s="226">
        <f>'HULP-velden'!$AE$100</f>
        <v>422000</v>
      </c>
      <c r="I390" s="223"/>
      <c r="J390" s="331">
        <f>+'HULP-velden'!$AJ$100</f>
        <v>31</v>
      </c>
      <c r="K390" s="331">
        <f>+'HULP-velden'!$AK$100</f>
        <v>41</v>
      </c>
      <c r="L390" s="331">
        <f>+'HULP-velden'!$AL$100</f>
        <v>51</v>
      </c>
      <c r="M390" s="331">
        <f>+'HULP-velden'!$AM$100</f>
        <v>61</v>
      </c>
      <c r="N390" s="331">
        <f>+'HULP-velden'!$AN$100</f>
        <v>71</v>
      </c>
      <c r="O390" s="331">
        <f>+'HULP-velden'!$AO$100</f>
        <v>81</v>
      </c>
      <c r="P390" s="331">
        <f>+'HULP-velden'!$AP$100</f>
        <v>91</v>
      </c>
    </row>
    <row r="391" spans="2:16" ht="15" x14ac:dyDescent="0.25">
      <c r="B391" s="223"/>
      <c r="C391" s="223"/>
      <c r="D391" s="223"/>
      <c r="E391" s="223"/>
      <c r="F391" s="223"/>
      <c r="G391" s="223"/>
      <c r="H391" s="226">
        <f>'HULP-velden'!$AE$101</f>
        <v>421000</v>
      </c>
      <c r="I391" s="223"/>
      <c r="J391" s="331">
        <f>+'HULP-velden'!$AJ$101</f>
        <v>30.5</v>
      </c>
      <c r="K391" s="331">
        <f>+'HULP-velden'!$AK$101</f>
        <v>40.5</v>
      </c>
      <c r="L391" s="331">
        <f>+'HULP-velden'!$AL$101</f>
        <v>50.5</v>
      </c>
      <c r="M391" s="331">
        <f>+'HULP-velden'!$AM$101</f>
        <v>60.5</v>
      </c>
      <c r="N391" s="331">
        <f>+'HULP-velden'!$AN$101</f>
        <v>70.5</v>
      </c>
      <c r="O391" s="331">
        <f>+'HULP-velden'!$AO$101</f>
        <v>80.5</v>
      </c>
      <c r="P391" s="331">
        <f>+'HULP-velden'!$AP$101</f>
        <v>90.5</v>
      </c>
    </row>
    <row r="392" spans="2:16" ht="15" x14ac:dyDescent="0.25">
      <c r="B392" s="223"/>
      <c r="C392" s="223"/>
      <c r="D392" s="223"/>
      <c r="E392" s="223"/>
      <c r="F392" s="223"/>
      <c r="G392" s="223"/>
      <c r="H392" s="226">
        <f>'HULP-velden'!$AE$102</f>
        <v>420000</v>
      </c>
      <c r="I392" s="223"/>
      <c r="J392" s="331">
        <f>+'HULP-velden'!$AJ$102</f>
        <v>30</v>
      </c>
      <c r="K392" s="331">
        <f>+'HULP-velden'!$AK$102</f>
        <v>40</v>
      </c>
      <c r="L392" s="331">
        <f>+'HULP-velden'!$AL$102</f>
        <v>50</v>
      </c>
      <c r="M392" s="331">
        <f>+'HULP-velden'!$AM$102</f>
        <v>60</v>
      </c>
      <c r="N392" s="331">
        <f>+'HULP-velden'!$AN$102</f>
        <v>70</v>
      </c>
      <c r="O392" s="331">
        <f>+'HULP-velden'!$AO$102</f>
        <v>80</v>
      </c>
      <c r="P392" s="331">
        <f>+'HULP-velden'!$AP$102</f>
        <v>90</v>
      </c>
    </row>
    <row r="393" spans="2:16" ht="15" x14ac:dyDescent="0.25">
      <c r="B393" s="223"/>
      <c r="C393" s="223"/>
      <c r="D393" s="223"/>
      <c r="E393" s="223"/>
      <c r="F393" s="223"/>
      <c r="G393" s="223"/>
      <c r="H393" s="226">
        <f>'HULP-velden'!$AE$103</f>
        <v>419000</v>
      </c>
      <c r="I393" s="223"/>
      <c r="J393" s="331">
        <f>+'HULP-velden'!$AJ$103</f>
        <v>29.5</v>
      </c>
      <c r="K393" s="331">
        <f>+'HULP-velden'!$AK$103</f>
        <v>39.5</v>
      </c>
      <c r="L393" s="331">
        <f>+'HULP-velden'!$AL$103</f>
        <v>49.5</v>
      </c>
      <c r="M393" s="331">
        <f>+'HULP-velden'!$AM$103</f>
        <v>59.5</v>
      </c>
      <c r="N393" s="331">
        <f>+'HULP-velden'!$AN$103</f>
        <v>69.5</v>
      </c>
      <c r="O393" s="331">
        <f>+'HULP-velden'!$AO$103</f>
        <v>79.5</v>
      </c>
      <c r="P393" s="331">
        <f>+'HULP-velden'!$AP$103</f>
        <v>89.5</v>
      </c>
    </row>
    <row r="394" spans="2:16" ht="15" x14ac:dyDescent="0.25">
      <c r="B394" s="223"/>
      <c r="C394" s="223"/>
      <c r="D394" s="223"/>
      <c r="E394" s="223"/>
      <c r="F394" s="223"/>
      <c r="G394" s="223"/>
      <c r="H394" s="226">
        <f>'HULP-velden'!$AE$104</f>
        <v>418000</v>
      </c>
      <c r="I394" s="223"/>
      <c r="J394" s="331">
        <f>+'HULP-velden'!$AJ$104</f>
        <v>28.999999999999996</v>
      </c>
      <c r="K394" s="331">
        <f>+'HULP-velden'!$AK$104</f>
        <v>39</v>
      </c>
      <c r="L394" s="331">
        <f>+'HULP-velden'!$AL$104</f>
        <v>49</v>
      </c>
      <c r="M394" s="331">
        <f>+'HULP-velden'!$AM$104</f>
        <v>59</v>
      </c>
      <c r="N394" s="331">
        <f>+'HULP-velden'!$AN$104</f>
        <v>69</v>
      </c>
      <c r="O394" s="331">
        <f>+'HULP-velden'!$AO$104</f>
        <v>79</v>
      </c>
      <c r="P394" s="331">
        <f>+'HULP-velden'!$AP$104</f>
        <v>89</v>
      </c>
    </row>
    <row r="395" spans="2:16" ht="15" x14ac:dyDescent="0.25">
      <c r="B395" s="223"/>
      <c r="C395" s="223"/>
      <c r="D395" s="223"/>
      <c r="E395" s="223"/>
      <c r="F395" s="223"/>
      <c r="G395" s="223"/>
      <c r="H395" s="226">
        <f>'HULP-velden'!$AE$105</f>
        <v>417000</v>
      </c>
      <c r="I395" s="223"/>
      <c r="J395" s="331">
        <f>+'HULP-velden'!$AJ$105</f>
        <v>28.499999999999996</v>
      </c>
      <c r="K395" s="331">
        <f>+'HULP-velden'!$AK$105</f>
        <v>38.5</v>
      </c>
      <c r="L395" s="331">
        <f>+'HULP-velden'!$AL$105</f>
        <v>48.5</v>
      </c>
      <c r="M395" s="331">
        <f>+'HULP-velden'!$AM$105</f>
        <v>58.5</v>
      </c>
      <c r="N395" s="331">
        <f>+'HULP-velden'!$AN$105</f>
        <v>68.5</v>
      </c>
      <c r="O395" s="331">
        <f>+'HULP-velden'!$AO$105</f>
        <v>78.5</v>
      </c>
      <c r="P395" s="331">
        <f>+'HULP-velden'!$AP$105</f>
        <v>88.5</v>
      </c>
    </row>
    <row r="396" spans="2:16" ht="15" x14ac:dyDescent="0.25">
      <c r="B396" s="223"/>
      <c r="C396" s="223"/>
      <c r="D396" s="223"/>
      <c r="E396" s="223"/>
      <c r="F396" s="223"/>
      <c r="G396" s="223"/>
      <c r="H396" s="226">
        <f>'HULP-velden'!$AE$106</f>
        <v>416000</v>
      </c>
      <c r="I396" s="223"/>
      <c r="J396" s="331">
        <f>+'HULP-velden'!$AJ$106</f>
        <v>28.000000000000004</v>
      </c>
      <c r="K396" s="331">
        <f>+'HULP-velden'!$AK$106</f>
        <v>38</v>
      </c>
      <c r="L396" s="331">
        <f>+'HULP-velden'!$AL$106</f>
        <v>48</v>
      </c>
      <c r="M396" s="331">
        <f>+'HULP-velden'!$AM$106</f>
        <v>57.999999999999993</v>
      </c>
      <c r="N396" s="331">
        <f>+'HULP-velden'!$AN$106</f>
        <v>68</v>
      </c>
      <c r="O396" s="331">
        <f>+'HULP-velden'!$AO$106</f>
        <v>78</v>
      </c>
      <c r="P396" s="331">
        <f>+'HULP-velden'!$AP$106</f>
        <v>88</v>
      </c>
    </row>
    <row r="397" spans="2:16" ht="15" x14ac:dyDescent="0.25">
      <c r="B397" s="223"/>
      <c r="C397" s="223"/>
      <c r="D397" s="223"/>
      <c r="E397" s="223"/>
      <c r="F397" s="223"/>
      <c r="G397" s="223"/>
      <c r="H397" s="226">
        <f>'HULP-velden'!$AE$107</f>
        <v>415000</v>
      </c>
      <c r="I397" s="223"/>
      <c r="J397" s="331">
        <f>+'HULP-velden'!$AJ$107</f>
        <v>27.500000000000004</v>
      </c>
      <c r="K397" s="331">
        <f>+'HULP-velden'!$AK$107</f>
        <v>37.5</v>
      </c>
      <c r="L397" s="331">
        <f>+'HULP-velden'!$AL$107</f>
        <v>47.5</v>
      </c>
      <c r="M397" s="331">
        <f>+'HULP-velden'!$AM$107</f>
        <v>57.499999999999993</v>
      </c>
      <c r="N397" s="331">
        <f>+'HULP-velden'!$AN$107</f>
        <v>67.5</v>
      </c>
      <c r="O397" s="331">
        <f>+'HULP-velden'!$AO$107</f>
        <v>77.5</v>
      </c>
      <c r="P397" s="331">
        <f>+'HULP-velden'!$AP$107</f>
        <v>87.5</v>
      </c>
    </row>
    <row r="398" spans="2:16" ht="15" x14ac:dyDescent="0.25">
      <c r="B398" s="223"/>
      <c r="C398" s="223"/>
      <c r="D398" s="223"/>
      <c r="E398" s="223"/>
      <c r="F398" s="223"/>
      <c r="G398" s="223"/>
      <c r="H398" s="226">
        <f>'HULP-velden'!$AE$108</f>
        <v>414000</v>
      </c>
      <c r="I398" s="223"/>
      <c r="J398" s="331">
        <f>+'HULP-velden'!$AJ$108</f>
        <v>27</v>
      </c>
      <c r="K398" s="331">
        <f>+'HULP-velden'!$AK$108</f>
        <v>37</v>
      </c>
      <c r="L398" s="331">
        <f>+'HULP-velden'!$AL$108</f>
        <v>47</v>
      </c>
      <c r="M398" s="331">
        <f>+'HULP-velden'!$AM$108</f>
        <v>56.999999999999993</v>
      </c>
      <c r="N398" s="331">
        <f>+'HULP-velden'!$AN$108</f>
        <v>67</v>
      </c>
      <c r="O398" s="331">
        <f>+'HULP-velden'!$AO$108</f>
        <v>77</v>
      </c>
      <c r="P398" s="331">
        <f>+'HULP-velden'!$AP$108</f>
        <v>87</v>
      </c>
    </row>
    <row r="399" spans="2:16" ht="15" x14ac:dyDescent="0.25">
      <c r="B399" s="223"/>
      <c r="C399" s="223"/>
      <c r="D399" s="223"/>
      <c r="E399" s="223"/>
      <c r="F399" s="223"/>
      <c r="G399" s="223"/>
      <c r="H399" s="226">
        <f>'HULP-velden'!$AE$109</f>
        <v>413000</v>
      </c>
      <c r="I399" s="223"/>
      <c r="J399" s="331">
        <f>+'HULP-velden'!$AJ$109</f>
        <v>26.5</v>
      </c>
      <c r="K399" s="331">
        <f>+'HULP-velden'!$AK$109</f>
        <v>36.5</v>
      </c>
      <c r="L399" s="331">
        <f>+'HULP-velden'!$AL$109</f>
        <v>46.5</v>
      </c>
      <c r="M399" s="331">
        <f>+'HULP-velden'!$AM$109</f>
        <v>56.499999999999993</v>
      </c>
      <c r="N399" s="331">
        <f>+'HULP-velden'!$AN$109</f>
        <v>66.5</v>
      </c>
      <c r="O399" s="331">
        <f>+'HULP-velden'!$AO$109</f>
        <v>76.5</v>
      </c>
      <c r="P399" s="331">
        <f>+'HULP-velden'!$AP$109</f>
        <v>86.5</v>
      </c>
    </row>
    <row r="400" spans="2:16" ht="15" x14ac:dyDescent="0.25">
      <c r="B400" s="223"/>
      <c r="C400" s="223"/>
      <c r="D400" s="223"/>
      <c r="E400" s="223"/>
      <c r="F400" s="223"/>
      <c r="G400" s="223"/>
      <c r="H400" s="226">
        <f>'HULP-velden'!$AE$110</f>
        <v>412000</v>
      </c>
      <c r="I400" s="223"/>
      <c r="J400" s="331">
        <f>+'HULP-velden'!$AJ$110</f>
        <v>26</v>
      </c>
      <c r="K400" s="331">
        <f>+'HULP-velden'!$AK$110</f>
        <v>36</v>
      </c>
      <c r="L400" s="331">
        <f>+'HULP-velden'!$AL$110</f>
        <v>46</v>
      </c>
      <c r="M400" s="331">
        <f>+'HULP-velden'!$AM$110</f>
        <v>56.000000000000007</v>
      </c>
      <c r="N400" s="331">
        <f>+'HULP-velden'!$AN$110</f>
        <v>66</v>
      </c>
      <c r="O400" s="331">
        <f>+'HULP-velden'!$AO$110</f>
        <v>76</v>
      </c>
      <c r="P400" s="331">
        <f>+'HULP-velden'!$AP$110</f>
        <v>86</v>
      </c>
    </row>
    <row r="401" spans="2:16" ht="15" x14ac:dyDescent="0.25">
      <c r="B401" s="223"/>
      <c r="C401" s="223"/>
      <c r="D401" s="223"/>
      <c r="E401" s="223"/>
      <c r="F401" s="223"/>
      <c r="G401" s="223"/>
      <c r="H401" s="226">
        <f>'HULP-velden'!$AE$111</f>
        <v>411000</v>
      </c>
      <c r="I401" s="223"/>
      <c r="J401" s="331">
        <f>+'HULP-velden'!$AJ$111</f>
        <v>25.5</v>
      </c>
      <c r="K401" s="331">
        <f>+'HULP-velden'!$AK$111</f>
        <v>35.5</v>
      </c>
      <c r="L401" s="331">
        <f>+'HULP-velden'!$AL$111</f>
        <v>45.5</v>
      </c>
      <c r="M401" s="331">
        <f>+'HULP-velden'!$AM$111</f>
        <v>55.500000000000007</v>
      </c>
      <c r="N401" s="331">
        <f>+'HULP-velden'!$AN$111</f>
        <v>65.5</v>
      </c>
      <c r="O401" s="331">
        <f>+'HULP-velden'!$AO$111</f>
        <v>75.5</v>
      </c>
      <c r="P401" s="331">
        <f>+'HULP-velden'!$AP$111</f>
        <v>85.5</v>
      </c>
    </row>
    <row r="402" spans="2:16" ht="15" x14ac:dyDescent="0.25">
      <c r="B402" s="223"/>
      <c r="C402" s="223"/>
      <c r="D402" s="223"/>
      <c r="E402" s="223"/>
      <c r="F402" s="223"/>
      <c r="G402" s="223"/>
      <c r="H402" s="226">
        <f>'HULP-velden'!$AE$112</f>
        <v>410000</v>
      </c>
      <c r="I402" s="223"/>
      <c r="J402" s="331">
        <f>+'HULP-velden'!$AJ$112</f>
        <v>25</v>
      </c>
      <c r="K402" s="331">
        <f>+'HULP-velden'!$AK$112</f>
        <v>35</v>
      </c>
      <c r="L402" s="331">
        <f>+'HULP-velden'!$AL$112</f>
        <v>45</v>
      </c>
      <c r="M402" s="331">
        <f>+'HULP-velden'!$AM$112</f>
        <v>55.000000000000007</v>
      </c>
      <c r="N402" s="331">
        <f>+'HULP-velden'!$AN$112</f>
        <v>65</v>
      </c>
      <c r="O402" s="331">
        <f>+'HULP-velden'!$AO$112</f>
        <v>75</v>
      </c>
      <c r="P402" s="331">
        <f>+'HULP-velden'!$AP$112</f>
        <v>85</v>
      </c>
    </row>
    <row r="403" spans="2:16" ht="15" x14ac:dyDescent="0.25">
      <c r="B403" s="223"/>
      <c r="C403" s="223"/>
      <c r="D403" s="223"/>
      <c r="E403" s="223"/>
      <c r="F403" s="223"/>
      <c r="G403" s="223"/>
      <c r="H403" s="226">
        <f>'HULP-velden'!$AE$113</f>
        <v>409000</v>
      </c>
      <c r="I403" s="223"/>
      <c r="J403" s="331">
        <f>+'HULP-velden'!$AJ$113</f>
        <v>24.5</v>
      </c>
      <c r="K403" s="331">
        <f>+'HULP-velden'!$AK$113</f>
        <v>34.5</v>
      </c>
      <c r="L403" s="331">
        <f>+'HULP-velden'!$AL$113</f>
        <v>44.5</v>
      </c>
      <c r="M403" s="331">
        <f>+'HULP-velden'!$AM$113</f>
        <v>54.500000000000007</v>
      </c>
      <c r="N403" s="331">
        <f>+'HULP-velden'!$AN$113</f>
        <v>64.5</v>
      </c>
      <c r="O403" s="331">
        <f>+'HULP-velden'!$AO$113</f>
        <v>74.5</v>
      </c>
      <c r="P403" s="331">
        <f>+'HULP-velden'!$AP$113</f>
        <v>84.5</v>
      </c>
    </row>
    <row r="404" spans="2:16" ht="15" x14ac:dyDescent="0.25">
      <c r="B404" s="223"/>
      <c r="C404" s="223"/>
      <c r="D404" s="223"/>
      <c r="E404" s="223"/>
      <c r="F404" s="223"/>
      <c r="G404" s="223"/>
      <c r="H404" s="226">
        <f>'HULP-velden'!$AE$114</f>
        <v>408000</v>
      </c>
      <c r="I404" s="223"/>
      <c r="J404" s="331">
        <f>+'HULP-velden'!$AJ$114</f>
        <v>24</v>
      </c>
      <c r="K404" s="331">
        <f>+'HULP-velden'!$AK$114</f>
        <v>34</v>
      </c>
      <c r="L404" s="331">
        <f>+'HULP-velden'!$AL$114</f>
        <v>44</v>
      </c>
      <c r="M404" s="331">
        <f>+'HULP-velden'!$AM$114</f>
        <v>54</v>
      </c>
      <c r="N404" s="331">
        <f>+'HULP-velden'!$AN$114</f>
        <v>64</v>
      </c>
      <c r="O404" s="331">
        <f>+'HULP-velden'!$AO$114</f>
        <v>74</v>
      </c>
      <c r="P404" s="331">
        <f>+'HULP-velden'!$AP$114</f>
        <v>84</v>
      </c>
    </row>
    <row r="405" spans="2:16" ht="15" x14ac:dyDescent="0.25">
      <c r="B405" s="223"/>
      <c r="C405" s="223"/>
      <c r="D405" s="223"/>
      <c r="E405" s="223"/>
      <c r="F405" s="223"/>
      <c r="G405" s="223"/>
      <c r="H405" s="226">
        <f>'HULP-velden'!$AE$115</f>
        <v>407000</v>
      </c>
      <c r="I405" s="223"/>
      <c r="J405" s="331">
        <f>+'HULP-velden'!$AJ$115</f>
        <v>23.5</v>
      </c>
      <c r="K405" s="331">
        <f>+'HULP-velden'!$AK$115</f>
        <v>33.5</v>
      </c>
      <c r="L405" s="331">
        <f>+'HULP-velden'!$AL$115</f>
        <v>43.5</v>
      </c>
      <c r="M405" s="331">
        <f>+'HULP-velden'!$AM$115</f>
        <v>53.5</v>
      </c>
      <c r="N405" s="331">
        <f>+'HULP-velden'!$AN$115</f>
        <v>63.5</v>
      </c>
      <c r="O405" s="331">
        <f>+'HULP-velden'!$AO$115</f>
        <v>73.5</v>
      </c>
      <c r="P405" s="331">
        <f>+'HULP-velden'!$AP$115</f>
        <v>83.5</v>
      </c>
    </row>
    <row r="406" spans="2:16" ht="15" x14ac:dyDescent="0.25">
      <c r="B406" s="223"/>
      <c r="C406" s="223"/>
      <c r="D406" s="223"/>
      <c r="E406" s="223"/>
      <c r="F406" s="223"/>
      <c r="G406" s="223"/>
      <c r="H406" s="226">
        <f>'HULP-velden'!$AE$116</f>
        <v>406000</v>
      </c>
      <c r="I406" s="223"/>
      <c r="J406" s="331">
        <f>+'HULP-velden'!$AJ$116</f>
        <v>23</v>
      </c>
      <c r="K406" s="331">
        <f>+'HULP-velden'!$AK$116</f>
        <v>33</v>
      </c>
      <c r="L406" s="331">
        <f>+'HULP-velden'!$AL$116</f>
        <v>43</v>
      </c>
      <c r="M406" s="331">
        <f>+'HULP-velden'!$AM$116</f>
        <v>53</v>
      </c>
      <c r="N406" s="331">
        <f>+'HULP-velden'!$AN$116</f>
        <v>63</v>
      </c>
      <c r="O406" s="331">
        <f>+'HULP-velden'!$AO$116</f>
        <v>73</v>
      </c>
      <c r="P406" s="331">
        <f>+'HULP-velden'!$AP$116</f>
        <v>83</v>
      </c>
    </row>
    <row r="407" spans="2:16" ht="15" x14ac:dyDescent="0.25">
      <c r="B407" s="223"/>
      <c r="C407" s="223"/>
      <c r="D407" s="223"/>
      <c r="E407" s="223"/>
      <c r="F407" s="223"/>
      <c r="G407" s="223"/>
      <c r="H407" s="226">
        <f>'HULP-velden'!$AE$117</f>
        <v>405000</v>
      </c>
      <c r="I407" s="223"/>
      <c r="J407" s="331">
        <f>+'HULP-velden'!$AJ$117</f>
        <v>22.5</v>
      </c>
      <c r="K407" s="331">
        <f>+'HULP-velden'!$AK$117</f>
        <v>32.5</v>
      </c>
      <c r="L407" s="331">
        <f>+'HULP-velden'!$AL$117</f>
        <v>42.5</v>
      </c>
      <c r="M407" s="331">
        <f>+'HULP-velden'!$AM$117</f>
        <v>52.5</v>
      </c>
      <c r="N407" s="331">
        <f>+'HULP-velden'!$AN$117</f>
        <v>62.5</v>
      </c>
      <c r="O407" s="331">
        <f>+'HULP-velden'!$AO$117</f>
        <v>72.5</v>
      </c>
      <c r="P407" s="331">
        <f>+'HULP-velden'!$AP$117</f>
        <v>82.5</v>
      </c>
    </row>
    <row r="408" spans="2:16" ht="15" x14ac:dyDescent="0.25">
      <c r="B408" s="223"/>
      <c r="C408" s="223"/>
      <c r="D408" s="223"/>
      <c r="E408" s="223"/>
      <c r="F408" s="223"/>
      <c r="G408" s="223"/>
      <c r="H408" s="226">
        <f>'HULP-velden'!$AE$118</f>
        <v>404000</v>
      </c>
      <c r="I408" s="223"/>
      <c r="J408" s="331">
        <f>+'HULP-velden'!$AJ$118</f>
        <v>22</v>
      </c>
      <c r="K408" s="331">
        <f>+'HULP-velden'!$AK$118</f>
        <v>32</v>
      </c>
      <c r="L408" s="331">
        <f>+'HULP-velden'!$AL$118</f>
        <v>42</v>
      </c>
      <c r="M408" s="331">
        <f>+'HULP-velden'!$AM$118</f>
        <v>52</v>
      </c>
      <c r="N408" s="331">
        <f>+'HULP-velden'!$AN$118</f>
        <v>62</v>
      </c>
      <c r="O408" s="331">
        <f>+'HULP-velden'!$AO$118</f>
        <v>72</v>
      </c>
      <c r="P408" s="331">
        <f>+'HULP-velden'!$AP$118</f>
        <v>82</v>
      </c>
    </row>
    <row r="409" spans="2:16" ht="15" x14ac:dyDescent="0.25">
      <c r="B409" s="223"/>
      <c r="C409" s="223"/>
      <c r="D409" s="223"/>
      <c r="E409" s="223"/>
      <c r="F409" s="223"/>
      <c r="G409" s="223"/>
      <c r="H409" s="226">
        <f>'HULP-velden'!$AE$119</f>
        <v>403000</v>
      </c>
      <c r="I409" s="223"/>
      <c r="J409" s="331">
        <f>+'HULP-velden'!$AJ$119</f>
        <v>21.5</v>
      </c>
      <c r="K409" s="331">
        <f>+'HULP-velden'!$AK$119</f>
        <v>31.5</v>
      </c>
      <c r="L409" s="331">
        <f>+'HULP-velden'!$AL$119</f>
        <v>41.5</v>
      </c>
      <c r="M409" s="331">
        <f>+'HULP-velden'!$AM$119</f>
        <v>51.5</v>
      </c>
      <c r="N409" s="331">
        <f>+'HULP-velden'!$AN$119</f>
        <v>61.5</v>
      </c>
      <c r="O409" s="331">
        <f>+'HULP-velden'!$AO$119</f>
        <v>71.5</v>
      </c>
      <c r="P409" s="331">
        <f>+'HULP-velden'!$AP$119</f>
        <v>81.5</v>
      </c>
    </row>
    <row r="410" spans="2:16" ht="15" x14ac:dyDescent="0.25">
      <c r="B410" s="223"/>
      <c r="C410" s="223"/>
      <c r="D410" s="223"/>
      <c r="E410" s="223"/>
      <c r="F410" s="223"/>
      <c r="G410" s="223"/>
      <c r="H410" s="226">
        <f>'HULP-velden'!$AE$120</f>
        <v>402000</v>
      </c>
      <c r="I410" s="223"/>
      <c r="J410" s="331">
        <f>+'HULP-velden'!$AJ$120</f>
        <v>21</v>
      </c>
      <c r="K410" s="331">
        <f>+'HULP-velden'!$AK$120</f>
        <v>31</v>
      </c>
      <c r="L410" s="331">
        <f>+'HULP-velden'!$AL$120</f>
        <v>41</v>
      </c>
      <c r="M410" s="331">
        <f>+'HULP-velden'!$AM$120</f>
        <v>51</v>
      </c>
      <c r="N410" s="331">
        <f>+'HULP-velden'!$AN$120</f>
        <v>61</v>
      </c>
      <c r="O410" s="331">
        <f>+'HULP-velden'!$AO$120</f>
        <v>71</v>
      </c>
      <c r="P410" s="331">
        <f>+'HULP-velden'!$AP$120</f>
        <v>81</v>
      </c>
    </row>
    <row r="411" spans="2:16" ht="15" x14ac:dyDescent="0.25">
      <c r="B411" s="223"/>
      <c r="C411" s="223"/>
      <c r="D411" s="223"/>
      <c r="E411" s="223"/>
      <c r="F411" s="223"/>
      <c r="G411" s="223"/>
      <c r="H411" s="226">
        <f>'HULP-velden'!$AE$121</f>
        <v>401000</v>
      </c>
      <c r="I411" s="223"/>
      <c r="J411" s="331">
        <f>+'HULP-velden'!$AJ$121</f>
        <v>20.5</v>
      </c>
      <c r="K411" s="331">
        <f>+'HULP-velden'!$AK$121</f>
        <v>30.5</v>
      </c>
      <c r="L411" s="331">
        <f>+'HULP-velden'!$AL$121</f>
        <v>40.5</v>
      </c>
      <c r="M411" s="331">
        <f>+'HULP-velden'!$AM$121</f>
        <v>50.5</v>
      </c>
      <c r="N411" s="331">
        <f>+'HULP-velden'!$AN$121</f>
        <v>60.5</v>
      </c>
      <c r="O411" s="331">
        <f>+'HULP-velden'!$AO$121</f>
        <v>70.5</v>
      </c>
      <c r="P411" s="331">
        <f>+'HULP-velden'!$AP$121</f>
        <v>80.5</v>
      </c>
    </row>
    <row r="412" spans="2:16" ht="15" x14ac:dyDescent="0.25">
      <c r="B412" s="223"/>
      <c r="C412" s="223"/>
      <c r="D412" s="223"/>
      <c r="E412" s="223"/>
      <c r="F412" s="223"/>
      <c r="G412" s="223"/>
      <c r="H412" s="226">
        <f>'HULP-velden'!$AE$122</f>
        <v>400000</v>
      </c>
      <c r="I412" s="223"/>
      <c r="J412" s="331">
        <f>+'HULP-velden'!$AJ$122</f>
        <v>20</v>
      </c>
      <c r="K412" s="331">
        <f>+'HULP-velden'!$AK$122</f>
        <v>30</v>
      </c>
      <c r="L412" s="331">
        <f>+'HULP-velden'!$AL$122</f>
        <v>40</v>
      </c>
      <c r="M412" s="331">
        <f>+'HULP-velden'!$AM$122</f>
        <v>50</v>
      </c>
      <c r="N412" s="331">
        <f>+'HULP-velden'!$AN$122</f>
        <v>60</v>
      </c>
      <c r="O412" s="331">
        <f>+'HULP-velden'!$AO$122</f>
        <v>70</v>
      </c>
      <c r="P412" s="331">
        <f>+'HULP-velden'!$AP$122</f>
        <v>80</v>
      </c>
    </row>
    <row r="413" spans="2:16" ht="15" x14ac:dyDescent="0.25">
      <c r="B413" s="223"/>
      <c r="C413" s="223"/>
      <c r="D413" s="223"/>
      <c r="E413" s="223"/>
      <c r="F413" s="223"/>
      <c r="G413" s="223"/>
      <c r="H413" s="226">
        <f>'HULP-velden'!$AE$123</f>
        <v>399000</v>
      </c>
      <c r="I413" s="223"/>
      <c r="J413" s="331">
        <f>+'HULP-velden'!$AJ$123</f>
        <v>19.5</v>
      </c>
      <c r="K413" s="331">
        <f>+'HULP-velden'!$AK$123</f>
        <v>29.5</v>
      </c>
      <c r="L413" s="331">
        <f>+'HULP-velden'!$AL$123</f>
        <v>39.5</v>
      </c>
      <c r="M413" s="331">
        <f>+'HULP-velden'!$AM$123</f>
        <v>49.5</v>
      </c>
      <c r="N413" s="331">
        <f>+'HULP-velden'!$AN$123</f>
        <v>59.5</v>
      </c>
      <c r="O413" s="331">
        <f>+'HULP-velden'!$AO$123</f>
        <v>69.5</v>
      </c>
      <c r="P413" s="331">
        <f>+'HULP-velden'!$AP$123</f>
        <v>79.5</v>
      </c>
    </row>
    <row r="414" spans="2:16" ht="15" x14ac:dyDescent="0.25">
      <c r="B414" s="223"/>
      <c r="C414" s="223"/>
      <c r="D414" s="223"/>
      <c r="E414" s="223"/>
      <c r="F414" s="223"/>
      <c r="G414" s="223"/>
      <c r="H414" s="226">
        <f>'HULP-velden'!$AE$124</f>
        <v>398000</v>
      </c>
      <c r="I414" s="223"/>
      <c r="J414" s="331">
        <f>+'HULP-velden'!$AJ$124</f>
        <v>19</v>
      </c>
      <c r="K414" s="331">
        <f>+'HULP-velden'!$AK$124</f>
        <v>28.999999999999996</v>
      </c>
      <c r="L414" s="331">
        <f>+'HULP-velden'!$AL$124</f>
        <v>39</v>
      </c>
      <c r="M414" s="331">
        <f>+'HULP-velden'!$AM$124</f>
        <v>49</v>
      </c>
      <c r="N414" s="331">
        <f>+'HULP-velden'!$AN$124</f>
        <v>59</v>
      </c>
      <c r="O414" s="331">
        <f>+'HULP-velden'!$AO$124</f>
        <v>69</v>
      </c>
      <c r="P414" s="331">
        <f>+'HULP-velden'!$AP$124</f>
        <v>79</v>
      </c>
    </row>
    <row r="415" spans="2:16" ht="15" x14ac:dyDescent="0.25">
      <c r="B415" s="223"/>
      <c r="C415" s="223"/>
      <c r="D415" s="223"/>
      <c r="E415" s="223"/>
      <c r="F415" s="223"/>
      <c r="G415" s="223"/>
      <c r="H415" s="226">
        <f>'HULP-velden'!$AE$125</f>
        <v>397000</v>
      </c>
      <c r="I415" s="223"/>
      <c r="J415" s="331">
        <f>+'HULP-velden'!$AJ$125</f>
        <v>18.5</v>
      </c>
      <c r="K415" s="331">
        <f>+'HULP-velden'!$AK$125</f>
        <v>28.499999999999996</v>
      </c>
      <c r="L415" s="331">
        <f>+'HULP-velden'!$AL$125</f>
        <v>38.5</v>
      </c>
      <c r="M415" s="331">
        <f>+'HULP-velden'!$AM$125</f>
        <v>48.5</v>
      </c>
      <c r="N415" s="331">
        <f>+'HULP-velden'!$AN$125</f>
        <v>58.5</v>
      </c>
      <c r="O415" s="331">
        <f>+'HULP-velden'!$AO$125</f>
        <v>68.5</v>
      </c>
      <c r="P415" s="331">
        <f>+'HULP-velden'!$AP$125</f>
        <v>78.5</v>
      </c>
    </row>
    <row r="416" spans="2:16" ht="15" x14ac:dyDescent="0.25">
      <c r="B416" s="223"/>
      <c r="C416" s="223"/>
      <c r="D416" s="223"/>
      <c r="E416" s="223"/>
      <c r="F416" s="223"/>
      <c r="G416" s="223"/>
      <c r="H416" s="226">
        <f>'HULP-velden'!$AE$126</f>
        <v>396000</v>
      </c>
      <c r="I416" s="223"/>
      <c r="J416" s="331">
        <f>+'HULP-velden'!$AJ$126</f>
        <v>18</v>
      </c>
      <c r="K416" s="331">
        <f>+'HULP-velden'!$AK$126</f>
        <v>28.000000000000004</v>
      </c>
      <c r="L416" s="331">
        <f>+'HULP-velden'!$AL$126</f>
        <v>38</v>
      </c>
      <c r="M416" s="331">
        <f>+'HULP-velden'!$AM$126</f>
        <v>48</v>
      </c>
      <c r="N416" s="331">
        <f>+'HULP-velden'!$AN$126</f>
        <v>57.999999999999993</v>
      </c>
      <c r="O416" s="331">
        <f>+'HULP-velden'!$AO$126</f>
        <v>68</v>
      </c>
      <c r="P416" s="331">
        <f>+'HULP-velden'!$AP$126</f>
        <v>78</v>
      </c>
    </row>
    <row r="417" spans="2:16" ht="15" x14ac:dyDescent="0.25">
      <c r="B417" s="223"/>
      <c r="C417" s="223"/>
      <c r="D417" s="223"/>
      <c r="E417" s="223"/>
      <c r="F417" s="223"/>
      <c r="G417" s="223"/>
      <c r="H417" s="226">
        <f>'HULP-velden'!$AE$127</f>
        <v>395000</v>
      </c>
      <c r="I417" s="223"/>
      <c r="J417" s="331">
        <f>+'HULP-velden'!$AJ$127</f>
        <v>17.5</v>
      </c>
      <c r="K417" s="331">
        <f>+'HULP-velden'!$AK$127</f>
        <v>27.500000000000004</v>
      </c>
      <c r="L417" s="331">
        <f>+'HULP-velden'!$AL$127</f>
        <v>37.5</v>
      </c>
      <c r="M417" s="331">
        <f>+'HULP-velden'!$AM$127</f>
        <v>47.5</v>
      </c>
      <c r="N417" s="331">
        <f>+'HULP-velden'!$AN$127</f>
        <v>57.499999999999993</v>
      </c>
      <c r="O417" s="331">
        <f>+'HULP-velden'!$AO$127</f>
        <v>67.5</v>
      </c>
      <c r="P417" s="331">
        <f>+'HULP-velden'!$AP$127</f>
        <v>77.5</v>
      </c>
    </row>
    <row r="418" spans="2:16" ht="15" x14ac:dyDescent="0.25">
      <c r="B418" s="223"/>
      <c r="C418" s="223"/>
      <c r="D418" s="223"/>
      <c r="E418" s="223"/>
      <c r="F418" s="223"/>
      <c r="G418" s="223"/>
      <c r="H418" s="226">
        <f>'HULP-velden'!$AE$128</f>
        <v>394000</v>
      </c>
      <c r="I418" s="223"/>
      <c r="J418" s="331">
        <f>+'HULP-velden'!$AJ$128</f>
        <v>17</v>
      </c>
      <c r="K418" s="331">
        <f>+'HULP-velden'!$AK$128</f>
        <v>27</v>
      </c>
      <c r="L418" s="331">
        <f>+'HULP-velden'!$AL$128</f>
        <v>37</v>
      </c>
      <c r="M418" s="331">
        <f>+'HULP-velden'!$AM$128</f>
        <v>47</v>
      </c>
      <c r="N418" s="331">
        <f>+'HULP-velden'!$AN$128</f>
        <v>56.999999999999993</v>
      </c>
      <c r="O418" s="331">
        <f>+'HULP-velden'!$AO$128</f>
        <v>67</v>
      </c>
      <c r="P418" s="331">
        <f>+'HULP-velden'!$AP$128</f>
        <v>77</v>
      </c>
    </row>
    <row r="419" spans="2:16" ht="15" x14ac:dyDescent="0.25">
      <c r="B419" s="223"/>
      <c r="C419" s="223"/>
      <c r="D419" s="223"/>
      <c r="E419" s="223"/>
      <c r="F419" s="223"/>
      <c r="G419" s="223"/>
      <c r="H419" s="226">
        <f>'HULP-velden'!$AE$129</f>
        <v>393000</v>
      </c>
      <c r="I419" s="223"/>
      <c r="J419" s="331">
        <f>+'HULP-velden'!$AJ$129</f>
        <v>16.5</v>
      </c>
      <c r="K419" s="331">
        <f>+'HULP-velden'!$AK$129</f>
        <v>26.5</v>
      </c>
      <c r="L419" s="331">
        <f>+'HULP-velden'!$AL$129</f>
        <v>36.5</v>
      </c>
      <c r="M419" s="331">
        <f>+'HULP-velden'!$AM$129</f>
        <v>46.5</v>
      </c>
      <c r="N419" s="331">
        <f>+'HULP-velden'!$AN$129</f>
        <v>56.499999999999993</v>
      </c>
      <c r="O419" s="331">
        <f>+'HULP-velden'!$AO$129</f>
        <v>66.5</v>
      </c>
      <c r="P419" s="331">
        <f>+'HULP-velden'!$AP$129</f>
        <v>76.5</v>
      </c>
    </row>
    <row r="420" spans="2:16" ht="15" x14ac:dyDescent="0.25">
      <c r="B420" s="223"/>
      <c r="C420" s="223"/>
      <c r="D420" s="223"/>
      <c r="E420" s="223"/>
      <c r="F420" s="223"/>
      <c r="G420" s="223"/>
      <c r="H420" s="226">
        <f>'HULP-velden'!$AE$130</f>
        <v>392000</v>
      </c>
      <c r="I420" s="223"/>
      <c r="J420" s="331">
        <f>+'HULP-velden'!$AJ$130</f>
        <v>16</v>
      </c>
      <c r="K420" s="331">
        <f>+'HULP-velden'!$AK$130</f>
        <v>26</v>
      </c>
      <c r="L420" s="331">
        <f>+'HULP-velden'!$AL$130</f>
        <v>36</v>
      </c>
      <c r="M420" s="331">
        <f>+'HULP-velden'!$AM$130</f>
        <v>46</v>
      </c>
      <c r="N420" s="331">
        <f>+'HULP-velden'!$AN$130</f>
        <v>56.000000000000007</v>
      </c>
      <c r="O420" s="331">
        <f>+'HULP-velden'!$AO$130</f>
        <v>66</v>
      </c>
      <c r="P420" s="331">
        <f>+'HULP-velden'!$AP$130</f>
        <v>76</v>
      </c>
    </row>
    <row r="421" spans="2:16" ht="15" x14ac:dyDescent="0.25">
      <c r="B421" s="223"/>
      <c r="C421" s="223"/>
      <c r="D421" s="223"/>
      <c r="E421" s="223"/>
      <c r="F421" s="223"/>
      <c r="G421" s="223"/>
      <c r="H421" s="226">
        <f>'HULP-velden'!$AE$131</f>
        <v>391000</v>
      </c>
      <c r="I421" s="223"/>
      <c r="J421" s="331">
        <f>+'HULP-velden'!$AJ$131</f>
        <v>15.5</v>
      </c>
      <c r="K421" s="331">
        <f>+'HULP-velden'!$AK$131</f>
        <v>25.5</v>
      </c>
      <c r="L421" s="331">
        <f>+'HULP-velden'!$AL$131</f>
        <v>35.5</v>
      </c>
      <c r="M421" s="331">
        <f>+'HULP-velden'!$AM$131</f>
        <v>45.5</v>
      </c>
      <c r="N421" s="331">
        <f>+'HULP-velden'!$AN$131</f>
        <v>55.500000000000007</v>
      </c>
      <c r="O421" s="331">
        <f>+'HULP-velden'!$AO$131</f>
        <v>65.5</v>
      </c>
      <c r="P421" s="331">
        <f>+'HULP-velden'!$AP$131</f>
        <v>75.5</v>
      </c>
    </row>
    <row r="422" spans="2:16" ht="15" x14ac:dyDescent="0.25">
      <c r="B422" s="223"/>
      <c r="C422" s="223"/>
      <c r="D422" s="223"/>
      <c r="E422" s="223"/>
      <c r="F422" s="223"/>
      <c r="G422" s="223"/>
      <c r="H422" s="226">
        <f>'HULP-velden'!$AE$132</f>
        <v>390000</v>
      </c>
      <c r="I422" s="223"/>
      <c r="J422" s="331">
        <f>+'HULP-velden'!$AJ$132</f>
        <v>15</v>
      </c>
      <c r="K422" s="331">
        <f>+'HULP-velden'!$AK$132</f>
        <v>25</v>
      </c>
      <c r="L422" s="331">
        <f>+'HULP-velden'!$AL$132</f>
        <v>35</v>
      </c>
      <c r="M422" s="331">
        <f>+'HULP-velden'!$AM$132</f>
        <v>45</v>
      </c>
      <c r="N422" s="331">
        <f>+'HULP-velden'!$AN$132</f>
        <v>55.000000000000007</v>
      </c>
      <c r="O422" s="331">
        <f>+'HULP-velden'!$AO$132</f>
        <v>65</v>
      </c>
      <c r="P422" s="331">
        <f>+'HULP-velden'!$AP$132</f>
        <v>75</v>
      </c>
    </row>
    <row r="423" spans="2:16" ht="15" x14ac:dyDescent="0.25">
      <c r="B423" s="223"/>
      <c r="C423" s="223"/>
      <c r="D423" s="223"/>
      <c r="E423" s="223"/>
      <c r="F423" s="223"/>
      <c r="G423" s="223"/>
      <c r="H423" s="226">
        <f>'HULP-velden'!$AE$133</f>
        <v>389000</v>
      </c>
      <c r="I423" s="223"/>
      <c r="J423" s="331">
        <f>+'HULP-velden'!$AJ$133</f>
        <v>14.499999999999998</v>
      </c>
      <c r="K423" s="331">
        <f>+'HULP-velden'!$AK$133</f>
        <v>24.5</v>
      </c>
      <c r="L423" s="331">
        <f>+'HULP-velden'!$AL$133</f>
        <v>34.5</v>
      </c>
      <c r="M423" s="331">
        <f>+'HULP-velden'!$AM$133</f>
        <v>44.5</v>
      </c>
      <c r="N423" s="331">
        <f>+'HULP-velden'!$AN$133</f>
        <v>54.500000000000007</v>
      </c>
      <c r="O423" s="331">
        <f>+'HULP-velden'!$AO$133</f>
        <v>64.5</v>
      </c>
      <c r="P423" s="331">
        <f>+'HULP-velden'!$AP$133</f>
        <v>74.5</v>
      </c>
    </row>
    <row r="424" spans="2:16" ht="15" x14ac:dyDescent="0.25">
      <c r="B424" s="223"/>
      <c r="C424" s="223"/>
      <c r="D424" s="223"/>
      <c r="E424" s="223"/>
      <c r="F424" s="223"/>
      <c r="G424" s="223"/>
      <c r="H424" s="226">
        <f>'HULP-velden'!$AE$134</f>
        <v>388000</v>
      </c>
      <c r="I424" s="223"/>
      <c r="J424" s="331">
        <f>+'HULP-velden'!$AJ$134</f>
        <v>14.000000000000002</v>
      </c>
      <c r="K424" s="331">
        <f>+'HULP-velden'!$AK$134</f>
        <v>24</v>
      </c>
      <c r="L424" s="331">
        <f>+'HULP-velden'!$AL$134</f>
        <v>34</v>
      </c>
      <c r="M424" s="331">
        <f>+'HULP-velden'!$AM$134</f>
        <v>44</v>
      </c>
      <c r="N424" s="331">
        <f>+'HULP-velden'!$AN$134</f>
        <v>54</v>
      </c>
      <c r="O424" s="331">
        <f>+'HULP-velden'!$AO$134</f>
        <v>64</v>
      </c>
      <c r="P424" s="331">
        <f>+'HULP-velden'!$AP$134</f>
        <v>74</v>
      </c>
    </row>
    <row r="425" spans="2:16" ht="15" x14ac:dyDescent="0.25">
      <c r="B425" s="223"/>
      <c r="C425" s="223"/>
      <c r="D425" s="223"/>
      <c r="E425" s="223"/>
      <c r="F425" s="223"/>
      <c r="G425" s="223"/>
      <c r="H425" s="226">
        <f>'HULP-velden'!$AE$135</f>
        <v>387000</v>
      </c>
      <c r="I425" s="223"/>
      <c r="J425" s="331">
        <f>+'HULP-velden'!$AJ$135</f>
        <v>13.5</v>
      </c>
      <c r="K425" s="331">
        <f>+'HULP-velden'!$AK$135</f>
        <v>23.5</v>
      </c>
      <c r="L425" s="331">
        <f>+'HULP-velden'!$AL$135</f>
        <v>33.5</v>
      </c>
      <c r="M425" s="331">
        <f>+'HULP-velden'!$AM$135</f>
        <v>43.5</v>
      </c>
      <c r="N425" s="331">
        <f>+'HULP-velden'!$AN$135</f>
        <v>53.5</v>
      </c>
      <c r="O425" s="331">
        <f>+'HULP-velden'!$AO$135</f>
        <v>63.5</v>
      </c>
      <c r="P425" s="331">
        <f>+'HULP-velden'!$AP$135</f>
        <v>73.5</v>
      </c>
    </row>
    <row r="426" spans="2:16" ht="15" x14ac:dyDescent="0.25">
      <c r="B426" s="223"/>
      <c r="C426" s="223"/>
      <c r="D426" s="223"/>
      <c r="E426" s="223"/>
      <c r="F426" s="223"/>
      <c r="G426" s="223"/>
      <c r="H426" s="226">
        <f>'HULP-velden'!$AE$136</f>
        <v>386000</v>
      </c>
      <c r="I426" s="223"/>
      <c r="J426" s="331">
        <f>+'HULP-velden'!$AJ$136</f>
        <v>13</v>
      </c>
      <c r="K426" s="331">
        <f>+'HULP-velden'!$AK$136</f>
        <v>23</v>
      </c>
      <c r="L426" s="331">
        <f>+'HULP-velden'!$AL$136</f>
        <v>33</v>
      </c>
      <c r="M426" s="331">
        <f>+'HULP-velden'!$AM$136</f>
        <v>43</v>
      </c>
      <c r="N426" s="331">
        <f>+'HULP-velden'!$AN$136</f>
        <v>53</v>
      </c>
      <c r="O426" s="331">
        <f>+'HULP-velden'!$AO$136</f>
        <v>63</v>
      </c>
      <c r="P426" s="331">
        <f>+'HULP-velden'!$AP$136</f>
        <v>73</v>
      </c>
    </row>
    <row r="427" spans="2:16" ht="15" x14ac:dyDescent="0.25">
      <c r="B427" s="223"/>
      <c r="C427" s="223"/>
      <c r="D427" s="223"/>
      <c r="E427" s="223"/>
      <c r="F427" s="223"/>
      <c r="G427" s="223"/>
      <c r="H427" s="226">
        <f>'HULP-velden'!$AE$137</f>
        <v>385000</v>
      </c>
      <c r="I427" s="223"/>
      <c r="J427" s="331">
        <f>+'HULP-velden'!$AJ$137</f>
        <v>12.5</v>
      </c>
      <c r="K427" s="331">
        <f>+'HULP-velden'!$AK$137</f>
        <v>22.5</v>
      </c>
      <c r="L427" s="331">
        <f>+'HULP-velden'!$AL$137</f>
        <v>32.5</v>
      </c>
      <c r="M427" s="331">
        <f>+'HULP-velden'!$AM$137</f>
        <v>42.5</v>
      </c>
      <c r="N427" s="331">
        <f>+'HULP-velden'!$AN$137</f>
        <v>52.5</v>
      </c>
      <c r="O427" s="331">
        <f>+'HULP-velden'!$AO$137</f>
        <v>62.5</v>
      </c>
      <c r="P427" s="331">
        <f>+'HULP-velden'!$AP$137</f>
        <v>72.5</v>
      </c>
    </row>
    <row r="428" spans="2:16" ht="15" x14ac:dyDescent="0.25">
      <c r="B428" s="223"/>
      <c r="C428" s="223"/>
      <c r="D428" s="223"/>
      <c r="E428" s="223"/>
      <c r="F428" s="223"/>
      <c r="G428" s="223"/>
      <c r="H428" s="226">
        <f>'HULP-velden'!$AE$138</f>
        <v>384000</v>
      </c>
      <c r="I428" s="223"/>
      <c r="J428" s="331">
        <f>+'HULP-velden'!$AJ$138</f>
        <v>12</v>
      </c>
      <c r="K428" s="331">
        <f>+'HULP-velden'!$AK$138</f>
        <v>22</v>
      </c>
      <c r="L428" s="331">
        <f>+'HULP-velden'!$AL$138</f>
        <v>32</v>
      </c>
      <c r="M428" s="331">
        <f>+'HULP-velden'!$AM$138</f>
        <v>42</v>
      </c>
      <c r="N428" s="331">
        <f>+'HULP-velden'!$AN$138</f>
        <v>52</v>
      </c>
      <c r="O428" s="331">
        <f>+'HULP-velden'!$AO$138</f>
        <v>62</v>
      </c>
      <c r="P428" s="331">
        <f>+'HULP-velden'!$AP$138</f>
        <v>72</v>
      </c>
    </row>
    <row r="429" spans="2:16" ht="15" x14ac:dyDescent="0.25">
      <c r="B429" s="223"/>
      <c r="C429" s="223"/>
      <c r="D429" s="223"/>
      <c r="E429" s="223"/>
      <c r="F429" s="223"/>
      <c r="G429" s="223"/>
      <c r="H429" s="226">
        <f>'HULP-velden'!$AE$139</f>
        <v>383000</v>
      </c>
      <c r="I429" s="223"/>
      <c r="J429" s="331">
        <f>+'HULP-velden'!$AJ$139</f>
        <v>11.5</v>
      </c>
      <c r="K429" s="331">
        <f>+'HULP-velden'!$AK$139</f>
        <v>21.5</v>
      </c>
      <c r="L429" s="331">
        <f>+'HULP-velden'!$AL$139</f>
        <v>31.5</v>
      </c>
      <c r="M429" s="331">
        <f>+'HULP-velden'!$AM$139</f>
        <v>41.5</v>
      </c>
      <c r="N429" s="331">
        <f>+'HULP-velden'!$AN$139</f>
        <v>51.5</v>
      </c>
      <c r="O429" s="331">
        <f>+'HULP-velden'!$AO$139</f>
        <v>61.5</v>
      </c>
      <c r="P429" s="331">
        <f>+'HULP-velden'!$AP$139</f>
        <v>71.5</v>
      </c>
    </row>
    <row r="430" spans="2:16" ht="15" x14ac:dyDescent="0.25">
      <c r="B430" s="223"/>
      <c r="C430" s="223"/>
      <c r="D430" s="223"/>
      <c r="E430" s="223"/>
      <c r="F430" s="223"/>
      <c r="G430" s="223"/>
      <c r="H430" s="226">
        <f>'HULP-velden'!$AE$140</f>
        <v>382000</v>
      </c>
      <c r="I430" s="223"/>
      <c r="J430" s="331">
        <f>+'HULP-velden'!$AJ$140</f>
        <v>11</v>
      </c>
      <c r="K430" s="331">
        <f>+'HULP-velden'!$AK$140</f>
        <v>21</v>
      </c>
      <c r="L430" s="331">
        <f>+'HULP-velden'!$AL$140</f>
        <v>31</v>
      </c>
      <c r="M430" s="331">
        <f>+'HULP-velden'!$AM$140</f>
        <v>41</v>
      </c>
      <c r="N430" s="331">
        <f>+'HULP-velden'!$AN$140</f>
        <v>51</v>
      </c>
      <c r="O430" s="331">
        <f>+'HULP-velden'!$AO$140</f>
        <v>61</v>
      </c>
      <c r="P430" s="331">
        <f>+'HULP-velden'!$AP$140</f>
        <v>71</v>
      </c>
    </row>
    <row r="431" spans="2:16" ht="15" x14ac:dyDescent="0.25">
      <c r="B431" s="223"/>
      <c r="C431" s="223"/>
      <c r="D431" s="223"/>
      <c r="E431" s="223"/>
      <c r="F431" s="223"/>
      <c r="G431" s="223"/>
      <c r="H431" s="226">
        <f>'HULP-velden'!$AE$141</f>
        <v>381000</v>
      </c>
      <c r="I431" s="223"/>
      <c r="J431" s="331">
        <f>+'HULP-velden'!$AJ$141</f>
        <v>10.5</v>
      </c>
      <c r="K431" s="331">
        <f>+'HULP-velden'!$AK$141</f>
        <v>20.5</v>
      </c>
      <c r="L431" s="331">
        <f>+'HULP-velden'!$AL$141</f>
        <v>30.5</v>
      </c>
      <c r="M431" s="331">
        <f>+'HULP-velden'!$AM$141</f>
        <v>40.5</v>
      </c>
      <c r="N431" s="331">
        <f>+'HULP-velden'!$AN$141</f>
        <v>50.5</v>
      </c>
      <c r="O431" s="331">
        <f>+'HULP-velden'!$AO$141</f>
        <v>60.5</v>
      </c>
      <c r="P431" s="331">
        <f>+'HULP-velden'!$AP$141</f>
        <v>70.5</v>
      </c>
    </row>
    <row r="432" spans="2:16" ht="15" x14ac:dyDescent="0.25">
      <c r="B432" s="223"/>
      <c r="C432" s="223"/>
      <c r="D432" s="223"/>
      <c r="E432" s="223"/>
      <c r="F432" s="223"/>
      <c r="G432" s="223"/>
      <c r="H432" s="226">
        <f>'HULP-velden'!$AE$142</f>
        <v>380000</v>
      </c>
      <c r="I432" s="223"/>
      <c r="J432" s="331">
        <f>+'HULP-velden'!$AJ$142</f>
        <v>10</v>
      </c>
      <c r="K432" s="331">
        <f>+'HULP-velden'!$AK$142</f>
        <v>20</v>
      </c>
      <c r="L432" s="331">
        <f>+'HULP-velden'!$AL$142</f>
        <v>30</v>
      </c>
      <c r="M432" s="331">
        <f>+'HULP-velden'!$AM$142</f>
        <v>40</v>
      </c>
      <c r="N432" s="331">
        <f>+'HULP-velden'!$AN$142</f>
        <v>50</v>
      </c>
      <c r="O432" s="331">
        <f>+'HULP-velden'!$AO$142</f>
        <v>60</v>
      </c>
      <c r="P432" s="331">
        <f>+'HULP-velden'!$AP$142</f>
        <v>70</v>
      </c>
    </row>
    <row r="433" spans="2:16" ht="15" x14ac:dyDescent="0.25">
      <c r="B433" s="223"/>
      <c r="C433" s="223"/>
      <c r="D433" s="223"/>
      <c r="E433" s="223"/>
      <c r="F433" s="223"/>
      <c r="G433" s="223"/>
      <c r="H433" s="226">
        <f>'HULP-velden'!$AE$143</f>
        <v>379000</v>
      </c>
      <c r="I433" s="223"/>
      <c r="J433" s="331">
        <f>+'HULP-velden'!$AJ$143</f>
        <v>9.5</v>
      </c>
      <c r="K433" s="331">
        <f>+'HULP-velden'!$AK$143</f>
        <v>19.5</v>
      </c>
      <c r="L433" s="331">
        <f>+'HULP-velden'!$AL$143</f>
        <v>29.5</v>
      </c>
      <c r="M433" s="331">
        <f>+'HULP-velden'!$AM$143</f>
        <v>39.5</v>
      </c>
      <c r="N433" s="331">
        <f>+'HULP-velden'!$AN$143</f>
        <v>49.5</v>
      </c>
      <c r="O433" s="331">
        <f>+'HULP-velden'!$AO$143</f>
        <v>59.5</v>
      </c>
      <c r="P433" s="331">
        <f>+'HULP-velden'!$AP$143</f>
        <v>69.5</v>
      </c>
    </row>
    <row r="434" spans="2:16" ht="15" x14ac:dyDescent="0.25">
      <c r="B434" s="223"/>
      <c r="C434" s="223"/>
      <c r="D434" s="223"/>
      <c r="E434" s="223"/>
      <c r="F434" s="223"/>
      <c r="G434" s="223"/>
      <c r="H434" s="226">
        <f>'HULP-velden'!$AE$144</f>
        <v>378000</v>
      </c>
      <c r="I434" s="223"/>
      <c r="J434" s="331">
        <f>+'HULP-velden'!$AJ$144</f>
        <v>9</v>
      </c>
      <c r="K434" s="331">
        <f>+'HULP-velden'!$AK$144</f>
        <v>19</v>
      </c>
      <c r="L434" s="331">
        <f>+'HULP-velden'!$AL$144</f>
        <v>28.999999999999996</v>
      </c>
      <c r="M434" s="331">
        <f>+'HULP-velden'!$AM$144</f>
        <v>39</v>
      </c>
      <c r="N434" s="331">
        <f>+'HULP-velden'!$AN$144</f>
        <v>49</v>
      </c>
      <c r="O434" s="331">
        <f>+'HULP-velden'!$AO$144</f>
        <v>59</v>
      </c>
      <c r="P434" s="331">
        <f>+'HULP-velden'!$AP$144</f>
        <v>69</v>
      </c>
    </row>
    <row r="435" spans="2:16" ht="15" x14ac:dyDescent="0.25">
      <c r="B435" s="223"/>
      <c r="C435" s="223"/>
      <c r="D435" s="223"/>
      <c r="E435" s="223"/>
      <c r="F435" s="223"/>
      <c r="G435" s="223"/>
      <c r="H435" s="226">
        <f>'HULP-velden'!$AE$145</f>
        <v>377000</v>
      </c>
      <c r="I435" s="223"/>
      <c r="J435" s="331">
        <f>+'HULP-velden'!$AJ$145</f>
        <v>8.5</v>
      </c>
      <c r="K435" s="331">
        <f>+'HULP-velden'!$AK$145</f>
        <v>18.5</v>
      </c>
      <c r="L435" s="331">
        <f>+'HULP-velden'!$AL$145</f>
        <v>28.499999999999996</v>
      </c>
      <c r="M435" s="331">
        <f>+'HULP-velden'!$AM$145</f>
        <v>38.5</v>
      </c>
      <c r="N435" s="331">
        <f>+'HULP-velden'!$AN$145</f>
        <v>48.5</v>
      </c>
      <c r="O435" s="331">
        <f>+'HULP-velden'!$AO$145</f>
        <v>58.5</v>
      </c>
      <c r="P435" s="331">
        <f>+'HULP-velden'!$AP$145</f>
        <v>68.5</v>
      </c>
    </row>
    <row r="436" spans="2:16" ht="15" x14ac:dyDescent="0.25">
      <c r="B436" s="223"/>
      <c r="C436" s="223"/>
      <c r="D436" s="223"/>
      <c r="E436" s="223"/>
      <c r="F436" s="223"/>
      <c r="G436" s="223"/>
      <c r="H436" s="226">
        <f>'HULP-velden'!$AE$146</f>
        <v>376000</v>
      </c>
      <c r="I436" s="223"/>
      <c r="J436" s="331">
        <f>+'HULP-velden'!$AJ$146</f>
        <v>8</v>
      </c>
      <c r="K436" s="331">
        <f>+'HULP-velden'!$AK$146</f>
        <v>18</v>
      </c>
      <c r="L436" s="331">
        <f>+'HULP-velden'!$AL$146</f>
        <v>28.000000000000004</v>
      </c>
      <c r="M436" s="331">
        <f>+'HULP-velden'!$AM$146</f>
        <v>38</v>
      </c>
      <c r="N436" s="331">
        <f>+'HULP-velden'!$AN$146</f>
        <v>48</v>
      </c>
      <c r="O436" s="331">
        <f>+'HULP-velden'!$AO$146</f>
        <v>57.999999999999993</v>
      </c>
      <c r="P436" s="331">
        <f>+'HULP-velden'!$AP$146</f>
        <v>68</v>
      </c>
    </row>
    <row r="437" spans="2:16" ht="15" x14ac:dyDescent="0.25">
      <c r="B437" s="223"/>
      <c r="C437" s="223"/>
      <c r="D437" s="223"/>
      <c r="E437" s="223"/>
      <c r="F437" s="223"/>
      <c r="G437" s="223"/>
      <c r="H437" s="226">
        <f>'HULP-velden'!$AE$147</f>
        <v>375000</v>
      </c>
      <c r="I437" s="223"/>
      <c r="J437" s="331">
        <f>+'HULP-velden'!$AJ$147</f>
        <v>7.5</v>
      </c>
      <c r="K437" s="331">
        <f>+'HULP-velden'!$AK$147</f>
        <v>17.5</v>
      </c>
      <c r="L437" s="331">
        <f>+'HULP-velden'!$AL$147</f>
        <v>27.500000000000004</v>
      </c>
      <c r="M437" s="331">
        <f>+'HULP-velden'!$AM$147</f>
        <v>37.5</v>
      </c>
      <c r="N437" s="331">
        <f>+'HULP-velden'!$AN$147</f>
        <v>47.5</v>
      </c>
      <c r="O437" s="331">
        <f>+'HULP-velden'!$AO$147</f>
        <v>57.499999999999993</v>
      </c>
      <c r="P437" s="331">
        <f>+'HULP-velden'!$AP$147</f>
        <v>67.5</v>
      </c>
    </row>
    <row r="438" spans="2:16" ht="15" x14ac:dyDescent="0.25">
      <c r="B438" s="223"/>
      <c r="C438" s="223"/>
      <c r="D438" s="223"/>
      <c r="E438" s="223"/>
      <c r="F438" s="223"/>
      <c r="G438" s="223"/>
      <c r="H438" s="226">
        <f>'HULP-velden'!$AE$148</f>
        <v>374000</v>
      </c>
      <c r="I438" s="223"/>
      <c r="J438" s="331">
        <f>+'HULP-velden'!$AJ$148</f>
        <v>7.0000000000000009</v>
      </c>
      <c r="K438" s="331">
        <f>+'HULP-velden'!$AK$148</f>
        <v>17</v>
      </c>
      <c r="L438" s="331">
        <f>+'HULP-velden'!$AL$148</f>
        <v>27</v>
      </c>
      <c r="M438" s="331">
        <f>+'HULP-velden'!$AM$148</f>
        <v>37</v>
      </c>
      <c r="N438" s="331">
        <f>+'HULP-velden'!$AN$148</f>
        <v>47</v>
      </c>
      <c r="O438" s="331">
        <f>+'HULP-velden'!$AO$148</f>
        <v>56.999999999999993</v>
      </c>
      <c r="P438" s="331">
        <f>+'HULP-velden'!$AP$148</f>
        <v>67</v>
      </c>
    </row>
    <row r="439" spans="2:16" ht="15" x14ac:dyDescent="0.25">
      <c r="B439" s="223"/>
      <c r="C439" s="223"/>
      <c r="D439" s="223"/>
      <c r="E439" s="223"/>
      <c r="F439" s="223"/>
      <c r="G439" s="223"/>
      <c r="H439" s="226">
        <f>'HULP-velden'!$AE$149</f>
        <v>373000</v>
      </c>
      <c r="I439" s="223"/>
      <c r="J439" s="331">
        <f>+'HULP-velden'!$AJ$149</f>
        <v>6.5</v>
      </c>
      <c r="K439" s="331">
        <f>+'HULP-velden'!$AK$149</f>
        <v>16.5</v>
      </c>
      <c r="L439" s="331">
        <f>+'HULP-velden'!$AL$149</f>
        <v>26.5</v>
      </c>
      <c r="M439" s="331">
        <f>+'HULP-velden'!$AM$149</f>
        <v>36.5</v>
      </c>
      <c r="N439" s="331">
        <f>+'HULP-velden'!$AN$149</f>
        <v>46.5</v>
      </c>
      <c r="O439" s="331">
        <f>+'HULP-velden'!$AO$149</f>
        <v>56.499999999999993</v>
      </c>
      <c r="P439" s="331">
        <f>+'HULP-velden'!$AP$149</f>
        <v>66.5</v>
      </c>
    </row>
    <row r="440" spans="2:16" ht="15" x14ac:dyDescent="0.25">
      <c r="B440" s="223"/>
      <c r="C440" s="223"/>
      <c r="D440" s="223"/>
      <c r="E440" s="223"/>
      <c r="F440" s="223"/>
      <c r="G440" s="223"/>
      <c r="H440" s="226">
        <f>'HULP-velden'!$AE$150</f>
        <v>372000</v>
      </c>
      <c r="I440" s="223"/>
      <c r="J440" s="331">
        <f>+'HULP-velden'!$AJ$150</f>
        <v>6</v>
      </c>
      <c r="K440" s="331">
        <f>+'HULP-velden'!$AK$150</f>
        <v>16</v>
      </c>
      <c r="L440" s="331">
        <f>+'HULP-velden'!$AL$150</f>
        <v>26</v>
      </c>
      <c r="M440" s="331">
        <f>+'HULP-velden'!$AM$150</f>
        <v>36</v>
      </c>
      <c r="N440" s="331">
        <f>+'HULP-velden'!$AN$150</f>
        <v>46</v>
      </c>
      <c r="O440" s="331">
        <f>+'HULP-velden'!$AO$150</f>
        <v>56.000000000000007</v>
      </c>
      <c r="P440" s="331">
        <f>+'HULP-velden'!$AP$150</f>
        <v>66</v>
      </c>
    </row>
    <row r="441" spans="2:16" ht="15" x14ac:dyDescent="0.25">
      <c r="B441" s="223"/>
      <c r="C441" s="223"/>
      <c r="D441" s="223"/>
      <c r="E441" s="223"/>
      <c r="F441" s="223"/>
      <c r="G441" s="223"/>
      <c r="H441" s="226">
        <f>'HULP-velden'!$AE$151</f>
        <v>371000</v>
      </c>
      <c r="I441" s="223"/>
      <c r="J441" s="331">
        <f>+'HULP-velden'!$AJ$151</f>
        <v>5.5</v>
      </c>
      <c r="K441" s="331">
        <f>+'HULP-velden'!$AK$151</f>
        <v>15.5</v>
      </c>
      <c r="L441" s="331">
        <f>+'HULP-velden'!$AL$151</f>
        <v>25.5</v>
      </c>
      <c r="M441" s="331">
        <f>+'HULP-velden'!$AM$151</f>
        <v>35.5</v>
      </c>
      <c r="N441" s="331">
        <f>+'HULP-velden'!$AN$151</f>
        <v>45.5</v>
      </c>
      <c r="O441" s="331">
        <f>+'HULP-velden'!$AO$151</f>
        <v>55.500000000000007</v>
      </c>
      <c r="P441" s="331">
        <f>+'HULP-velden'!$AP$151</f>
        <v>65.5</v>
      </c>
    </row>
    <row r="442" spans="2:16" ht="15" x14ac:dyDescent="0.25">
      <c r="B442" s="223"/>
      <c r="C442" s="223"/>
      <c r="D442" s="223"/>
      <c r="E442" s="223"/>
      <c r="F442" s="223"/>
      <c r="G442" s="223"/>
      <c r="H442" s="226">
        <f>'HULP-velden'!$AE$152</f>
        <v>370000</v>
      </c>
      <c r="I442" s="223"/>
      <c r="J442" s="331">
        <f>+'HULP-velden'!$AJ$152</f>
        <v>5</v>
      </c>
      <c r="K442" s="331">
        <f>+'HULP-velden'!$AK$152</f>
        <v>15</v>
      </c>
      <c r="L442" s="331">
        <f>+'HULP-velden'!$AL$152</f>
        <v>25</v>
      </c>
      <c r="M442" s="331">
        <f>+'HULP-velden'!$AM$152</f>
        <v>35</v>
      </c>
      <c r="N442" s="331">
        <f>+'HULP-velden'!$AN$152</f>
        <v>45</v>
      </c>
      <c r="O442" s="331">
        <f>+'HULP-velden'!$AO$152</f>
        <v>55.000000000000007</v>
      </c>
      <c r="P442" s="331">
        <f>+'HULP-velden'!$AP$152</f>
        <v>65</v>
      </c>
    </row>
    <row r="443" spans="2:16" ht="15" x14ac:dyDescent="0.25">
      <c r="B443" s="223"/>
      <c r="C443" s="223"/>
      <c r="D443" s="223"/>
      <c r="E443" s="223"/>
      <c r="F443" s="223"/>
      <c r="G443" s="223"/>
      <c r="H443" s="226">
        <f>'HULP-velden'!$AE$153</f>
        <v>369000</v>
      </c>
      <c r="I443" s="223"/>
      <c r="J443" s="331">
        <f>+'HULP-velden'!$AJ$153</f>
        <v>4.5</v>
      </c>
      <c r="K443" s="331">
        <f>+'HULP-velden'!$AK$153</f>
        <v>14.499999999999998</v>
      </c>
      <c r="L443" s="331">
        <f>+'HULP-velden'!$AL$153</f>
        <v>24.5</v>
      </c>
      <c r="M443" s="331">
        <f>+'HULP-velden'!$AM$153</f>
        <v>34.5</v>
      </c>
      <c r="N443" s="331">
        <f>+'HULP-velden'!$AN$153</f>
        <v>44.5</v>
      </c>
      <c r="O443" s="331">
        <f>+'HULP-velden'!$AO$153</f>
        <v>54.500000000000007</v>
      </c>
      <c r="P443" s="331">
        <f>+'HULP-velden'!$AP$153</f>
        <v>64.5</v>
      </c>
    </row>
    <row r="444" spans="2:16" ht="15" x14ac:dyDescent="0.25">
      <c r="B444" s="223"/>
      <c r="C444" s="223"/>
      <c r="D444" s="223"/>
      <c r="E444" s="223"/>
      <c r="F444" s="223"/>
      <c r="G444" s="223"/>
      <c r="H444" s="226">
        <f>'HULP-velden'!$AE$154</f>
        <v>368000</v>
      </c>
      <c r="I444" s="223"/>
      <c r="J444" s="331">
        <f>+'HULP-velden'!$AJ$154</f>
        <v>4</v>
      </c>
      <c r="K444" s="331">
        <f>+'HULP-velden'!$AK$154</f>
        <v>14.000000000000002</v>
      </c>
      <c r="L444" s="331">
        <f>+'HULP-velden'!$AL$154</f>
        <v>24</v>
      </c>
      <c r="M444" s="331">
        <f>+'HULP-velden'!$AM$154</f>
        <v>34</v>
      </c>
      <c r="N444" s="331">
        <f>+'HULP-velden'!$AN$154</f>
        <v>44</v>
      </c>
      <c r="O444" s="331">
        <f>+'HULP-velden'!$AO$154</f>
        <v>54</v>
      </c>
      <c r="P444" s="331">
        <f>+'HULP-velden'!$AP$154</f>
        <v>64</v>
      </c>
    </row>
    <row r="445" spans="2:16" ht="15" x14ac:dyDescent="0.25">
      <c r="B445" s="223"/>
      <c r="C445" s="223"/>
      <c r="D445" s="223"/>
      <c r="E445" s="223"/>
      <c r="F445" s="223"/>
      <c r="G445" s="223"/>
      <c r="H445" s="226">
        <f>'HULP-velden'!$AE$155</f>
        <v>367000</v>
      </c>
      <c r="I445" s="223"/>
      <c r="J445" s="331">
        <f>+'HULP-velden'!$AJ$155</f>
        <v>3.5000000000000004</v>
      </c>
      <c r="K445" s="331">
        <f>+'HULP-velden'!$AK$155</f>
        <v>13.5</v>
      </c>
      <c r="L445" s="331">
        <f>+'HULP-velden'!$AL$155</f>
        <v>23.5</v>
      </c>
      <c r="M445" s="331">
        <f>+'HULP-velden'!$AM$155</f>
        <v>33.5</v>
      </c>
      <c r="N445" s="331">
        <f>+'HULP-velden'!$AN$155</f>
        <v>43.5</v>
      </c>
      <c r="O445" s="331">
        <f>+'HULP-velden'!$AO$155</f>
        <v>53.5</v>
      </c>
      <c r="P445" s="331">
        <f>+'HULP-velden'!$AP$155</f>
        <v>63.5</v>
      </c>
    </row>
    <row r="446" spans="2:16" ht="15" x14ac:dyDescent="0.25">
      <c r="B446" s="223"/>
      <c r="C446" s="223"/>
      <c r="D446" s="223"/>
      <c r="E446" s="223"/>
      <c r="F446" s="223"/>
      <c r="G446" s="223"/>
      <c r="H446" s="226">
        <f>'HULP-velden'!$AE$156</f>
        <v>366000</v>
      </c>
      <c r="I446" s="223"/>
      <c r="J446" s="331">
        <f>+'HULP-velden'!$AJ$156</f>
        <v>3</v>
      </c>
      <c r="K446" s="331">
        <f>+'HULP-velden'!$AK$156</f>
        <v>13</v>
      </c>
      <c r="L446" s="331">
        <f>+'HULP-velden'!$AL$156</f>
        <v>23</v>
      </c>
      <c r="M446" s="331">
        <f>+'HULP-velden'!$AM$156</f>
        <v>33</v>
      </c>
      <c r="N446" s="331">
        <f>+'HULP-velden'!$AN$156</f>
        <v>43</v>
      </c>
      <c r="O446" s="331">
        <f>+'HULP-velden'!$AO$156</f>
        <v>53</v>
      </c>
      <c r="P446" s="331">
        <f>+'HULP-velden'!$AP$156</f>
        <v>63</v>
      </c>
    </row>
    <row r="447" spans="2:16" ht="15" x14ac:dyDescent="0.25">
      <c r="B447" s="223"/>
      <c r="C447" s="223"/>
      <c r="D447" s="223"/>
      <c r="E447" s="223"/>
      <c r="F447" s="223"/>
      <c r="G447" s="223"/>
      <c r="H447" s="226">
        <f>'HULP-velden'!$AE$157</f>
        <v>365000</v>
      </c>
      <c r="I447" s="223"/>
      <c r="J447" s="331">
        <f>+'HULP-velden'!$AJ$157</f>
        <v>2.5</v>
      </c>
      <c r="K447" s="331">
        <f>+'HULP-velden'!$AK$157</f>
        <v>12.5</v>
      </c>
      <c r="L447" s="331">
        <f>+'HULP-velden'!$AL$157</f>
        <v>22.5</v>
      </c>
      <c r="M447" s="331">
        <f>+'HULP-velden'!$AM$157</f>
        <v>32.5</v>
      </c>
      <c r="N447" s="331">
        <f>+'HULP-velden'!$AN$157</f>
        <v>42.5</v>
      </c>
      <c r="O447" s="331">
        <f>+'HULP-velden'!$AO$157</f>
        <v>52.5</v>
      </c>
      <c r="P447" s="331">
        <f>+'HULP-velden'!$AP$157</f>
        <v>62.5</v>
      </c>
    </row>
    <row r="448" spans="2:16" ht="15" x14ac:dyDescent="0.25">
      <c r="B448" s="223"/>
      <c r="C448" s="223"/>
      <c r="D448" s="223"/>
      <c r="E448" s="223"/>
      <c r="F448" s="223"/>
      <c r="G448" s="223"/>
      <c r="H448" s="226">
        <f>'HULP-velden'!$AE$158</f>
        <v>364000</v>
      </c>
      <c r="I448" s="223"/>
      <c r="J448" s="331">
        <f>+'HULP-velden'!$AJ$158</f>
        <v>2</v>
      </c>
      <c r="K448" s="331">
        <f>+'HULP-velden'!$AK$158</f>
        <v>12</v>
      </c>
      <c r="L448" s="331">
        <f>+'HULP-velden'!$AL$158</f>
        <v>22</v>
      </c>
      <c r="M448" s="331">
        <f>+'HULP-velden'!$AM$158</f>
        <v>32</v>
      </c>
      <c r="N448" s="331">
        <f>+'HULP-velden'!$AN$158</f>
        <v>42</v>
      </c>
      <c r="O448" s="331">
        <f>+'HULP-velden'!$AO$158</f>
        <v>52</v>
      </c>
      <c r="P448" s="331">
        <f>+'HULP-velden'!$AP$158</f>
        <v>62</v>
      </c>
    </row>
    <row r="449" spans="2:16" ht="15" x14ac:dyDescent="0.25">
      <c r="B449" s="223"/>
      <c r="C449" s="223"/>
      <c r="D449" s="223"/>
      <c r="E449" s="223"/>
      <c r="F449" s="223"/>
      <c r="G449" s="223"/>
      <c r="H449" s="226">
        <f>'HULP-velden'!$AE$159</f>
        <v>363000</v>
      </c>
      <c r="I449" s="223"/>
      <c r="J449" s="331">
        <f>+'HULP-velden'!$AJ$159</f>
        <v>1.5</v>
      </c>
      <c r="K449" s="331">
        <f>+'HULP-velden'!$AK$159</f>
        <v>11.5</v>
      </c>
      <c r="L449" s="331">
        <f>+'HULP-velden'!$AL$159</f>
        <v>21.5</v>
      </c>
      <c r="M449" s="331">
        <f>+'HULP-velden'!$AM$159</f>
        <v>31.5</v>
      </c>
      <c r="N449" s="331">
        <f>+'HULP-velden'!$AN$159</f>
        <v>41.5</v>
      </c>
      <c r="O449" s="331">
        <f>+'HULP-velden'!$AO$159</f>
        <v>51.5</v>
      </c>
      <c r="P449" s="331">
        <f>+'HULP-velden'!$AP$159</f>
        <v>61.5</v>
      </c>
    </row>
    <row r="450" spans="2:16" ht="15" x14ac:dyDescent="0.25">
      <c r="B450" s="223"/>
      <c r="C450" s="223"/>
      <c r="D450" s="223"/>
      <c r="E450" s="223"/>
      <c r="F450" s="223"/>
      <c r="G450" s="223"/>
      <c r="H450" s="226">
        <f>'HULP-velden'!$AE$160</f>
        <v>362000</v>
      </c>
      <c r="I450" s="223"/>
      <c r="J450" s="331">
        <f>+'HULP-velden'!$AJ$160</f>
        <v>1</v>
      </c>
      <c r="K450" s="331">
        <f>+'HULP-velden'!$AK$160</f>
        <v>11</v>
      </c>
      <c r="L450" s="331">
        <f>+'HULP-velden'!$AL$160</f>
        <v>21</v>
      </c>
      <c r="M450" s="331">
        <f>+'HULP-velden'!$AM$160</f>
        <v>31</v>
      </c>
      <c r="N450" s="331">
        <f>+'HULP-velden'!$AN$160</f>
        <v>41</v>
      </c>
      <c r="O450" s="331">
        <f>+'HULP-velden'!$AO$160</f>
        <v>51</v>
      </c>
      <c r="P450" s="331">
        <f>+'HULP-velden'!$AP$160</f>
        <v>61</v>
      </c>
    </row>
    <row r="451" spans="2:16" ht="15" x14ac:dyDescent="0.25">
      <c r="B451" s="223"/>
      <c r="C451" s="223"/>
      <c r="D451" s="223"/>
      <c r="E451" s="223"/>
      <c r="F451" s="223"/>
      <c r="G451" s="223"/>
      <c r="H451" s="226">
        <f>'HULP-velden'!$AE$161</f>
        <v>361000</v>
      </c>
      <c r="I451" s="223"/>
      <c r="J451" s="331">
        <f>+'HULP-velden'!$AJ$161</f>
        <v>0.5</v>
      </c>
      <c r="K451" s="331">
        <f>+'HULP-velden'!$AK$161</f>
        <v>10.5</v>
      </c>
      <c r="L451" s="331">
        <f>+'HULP-velden'!$AL$161</f>
        <v>20.5</v>
      </c>
      <c r="M451" s="331">
        <f>+'HULP-velden'!$AM$161</f>
        <v>30.5</v>
      </c>
      <c r="N451" s="331">
        <f>+'HULP-velden'!$AN$161</f>
        <v>40.5</v>
      </c>
      <c r="O451" s="331">
        <f>+'HULP-velden'!$AO$161</f>
        <v>50.5</v>
      </c>
      <c r="P451" s="331">
        <f>+'HULP-velden'!$AP$161</f>
        <v>60.5</v>
      </c>
    </row>
    <row r="452" spans="2:16" ht="15" x14ac:dyDescent="0.25">
      <c r="B452" s="223"/>
      <c r="C452" s="223"/>
      <c r="D452" s="223"/>
      <c r="E452" s="223"/>
      <c r="F452" s="223"/>
      <c r="G452" s="223"/>
      <c r="H452" s="226">
        <f>'HULP-velden'!$AE$162</f>
        <v>360000</v>
      </c>
      <c r="I452" s="223"/>
      <c r="J452" s="331">
        <f>+'HULP-velden'!$AJ$162</f>
        <v>0</v>
      </c>
      <c r="K452" s="331">
        <f>+'HULP-velden'!$AK$162</f>
        <v>10</v>
      </c>
      <c r="L452" s="331">
        <f>+'HULP-velden'!$AL$162</f>
        <v>20</v>
      </c>
      <c r="M452" s="331">
        <f>+'HULP-velden'!$AM$162</f>
        <v>30</v>
      </c>
      <c r="N452" s="331">
        <f>+'HULP-velden'!$AN$162</f>
        <v>40</v>
      </c>
      <c r="O452" s="331">
        <f>+'HULP-velden'!$AO$162</f>
        <v>50</v>
      </c>
      <c r="P452" s="331">
        <f>+'HULP-velden'!$AP$162</f>
        <v>60</v>
      </c>
    </row>
    <row r="453" spans="2:16" ht="15" x14ac:dyDescent="0.25">
      <c r="B453" s="223"/>
      <c r="C453" s="223"/>
      <c r="D453" s="223"/>
      <c r="E453" s="223"/>
      <c r="F453" s="223"/>
      <c r="G453" s="223"/>
      <c r="H453" s="226">
        <f>'HULP-velden'!$AE$163</f>
        <v>359000</v>
      </c>
      <c r="I453" s="223"/>
      <c r="J453" s="331">
        <f>+'HULP-velden'!$AJ$163</f>
        <v>-0.5</v>
      </c>
      <c r="K453" s="331">
        <f>+'HULP-velden'!$AK$163</f>
        <v>9.5</v>
      </c>
      <c r="L453" s="331">
        <f>+'HULP-velden'!$AL$163</f>
        <v>19.5</v>
      </c>
      <c r="M453" s="331">
        <f>+'HULP-velden'!$AM$163</f>
        <v>29.5</v>
      </c>
      <c r="N453" s="331">
        <f>+'HULP-velden'!$AN$163</f>
        <v>39.5</v>
      </c>
      <c r="O453" s="331">
        <f>+'HULP-velden'!$AO$163</f>
        <v>49.5</v>
      </c>
      <c r="P453" s="331">
        <f>+'HULP-velden'!$AP$163</f>
        <v>59.5</v>
      </c>
    </row>
    <row r="454" spans="2:16" ht="15" x14ac:dyDescent="0.25">
      <c r="B454" s="223"/>
      <c r="C454" s="223"/>
      <c r="D454" s="223"/>
      <c r="E454" s="223"/>
      <c r="F454" s="223"/>
      <c r="G454" s="223"/>
      <c r="H454" s="226">
        <f>'HULP-velden'!$AE$164</f>
        <v>358000</v>
      </c>
      <c r="I454" s="223"/>
      <c r="J454" s="331">
        <f>+'HULP-velden'!$AJ$164</f>
        <v>-1</v>
      </c>
      <c r="K454" s="331">
        <f>+'HULP-velden'!$AK$164</f>
        <v>9</v>
      </c>
      <c r="L454" s="331">
        <f>+'HULP-velden'!$AL$164</f>
        <v>19</v>
      </c>
      <c r="M454" s="331">
        <f>+'HULP-velden'!$AM$164</f>
        <v>28.999999999999996</v>
      </c>
      <c r="N454" s="331">
        <f>+'HULP-velden'!$AN$164</f>
        <v>39</v>
      </c>
      <c r="O454" s="331">
        <f>+'HULP-velden'!$AO$164</f>
        <v>49</v>
      </c>
      <c r="P454" s="331">
        <f>+'HULP-velden'!$AP$164</f>
        <v>59</v>
      </c>
    </row>
    <row r="455" spans="2:16" ht="15" x14ac:dyDescent="0.25">
      <c r="B455" s="223"/>
      <c r="C455" s="223"/>
      <c r="D455" s="223"/>
      <c r="E455" s="223"/>
      <c r="F455" s="223"/>
      <c r="G455" s="223"/>
      <c r="H455" s="226">
        <f>'HULP-velden'!$AE$165</f>
        <v>357000</v>
      </c>
      <c r="I455" s="223"/>
      <c r="J455" s="331">
        <f>+'HULP-velden'!$AJ$165</f>
        <v>-1.5</v>
      </c>
      <c r="K455" s="331">
        <f>+'HULP-velden'!$AK$165</f>
        <v>8.5</v>
      </c>
      <c r="L455" s="331">
        <f>+'HULP-velden'!$AL$165</f>
        <v>18.5</v>
      </c>
      <c r="M455" s="331">
        <f>+'HULP-velden'!$AM$165</f>
        <v>28.499999999999996</v>
      </c>
      <c r="N455" s="331">
        <f>+'HULP-velden'!$AN$165</f>
        <v>38.5</v>
      </c>
      <c r="O455" s="331">
        <f>+'HULP-velden'!$AO$165</f>
        <v>48.5</v>
      </c>
      <c r="P455" s="331">
        <f>+'HULP-velden'!$AP$165</f>
        <v>58.5</v>
      </c>
    </row>
    <row r="456" spans="2:16" ht="15" x14ac:dyDescent="0.25">
      <c r="B456" s="223"/>
      <c r="C456" s="223"/>
      <c r="D456" s="223"/>
      <c r="E456" s="223"/>
      <c r="F456" s="223"/>
      <c r="G456" s="223"/>
      <c r="H456" s="226">
        <f>'HULP-velden'!$AE$167</f>
        <v>356000</v>
      </c>
      <c r="I456" s="223"/>
      <c r="J456" s="331">
        <f>+'HULP-velden'!$AJ$167</f>
        <v>-2</v>
      </c>
      <c r="K456" s="331">
        <f>+'HULP-velden'!$AK$167</f>
        <v>8</v>
      </c>
      <c r="L456" s="331">
        <f>+'HULP-velden'!$AL$167</f>
        <v>18</v>
      </c>
      <c r="M456" s="331">
        <f>+'HULP-velden'!$AM$167</f>
        <v>28.000000000000004</v>
      </c>
      <c r="N456" s="331">
        <f>+'HULP-velden'!$AN$167</f>
        <v>38</v>
      </c>
      <c r="O456" s="331">
        <f>+'HULP-velden'!$AO$167</f>
        <v>48</v>
      </c>
      <c r="P456" s="331">
        <f>+'HULP-velden'!$AP$167</f>
        <v>57.999999999999993</v>
      </c>
    </row>
    <row r="457" spans="2:16" ht="15" x14ac:dyDescent="0.25">
      <c r="B457" s="223"/>
      <c r="C457" s="223"/>
      <c r="D457" s="223"/>
      <c r="E457" s="223"/>
      <c r="F457" s="223"/>
      <c r="G457" s="223"/>
      <c r="H457" s="226">
        <f>'HULP-velden'!$AE$168</f>
        <v>355000</v>
      </c>
      <c r="I457" s="223"/>
      <c r="J457" s="331">
        <f>+'HULP-velden'!$AJ$168</f>
        <v>-2.5</v>
      </c>
      <c r="K457" s="331">
        <f>+'HULP-velden'!$AK$168</f>
        <v>7.5</v>
      </c>
      <c r="L457" s="331">
        <f>+'HULP-velden'!$AL$168</f>
        <v>17.5</v>
      </c>
      <c r="M457" s="331">
        <f>+'HULP-velden'!$AM$168</f>
        <v>27.500000000000004</v>
      </c>
      <c r="N457" s="331">
        <f>+'HULP-velden'!$AN$168</f>
        <v>37.5</v>
      </c>
      <c r="O457" s="331">
        <f>+'HULP-velden'!$AO$168</f>
        <v>47.5</v>
      </c>
      <c r="P457" s="331">
        <f>+'HULP-velden'!$AP$168</f>
        <v>57.499999999999993</v>
      </c>
    </row>
    <row r="458" spans="2:16" ht="15" x14ac:dyDescent="0.25">
      <c r="B458" s="223"/>
      <c r="C458" s="223"/>
      <c r="D458" s="223"/>
      <c r="E458" s="223"/>
      <c r="F458" s="223"/>
      <c r="G458" s="223"/>
      <c r="H458" s="226">
        <f>'HULP-velden'!$AE$169</f>
        <v>354000</v>
      </c>
      <c r="I458" s="223"/>
      <c r="J458" s="331">
        <f>+'HULP-velden'!$AJ$169</f>
        <v>-3</v>
      </c>
      <c r="K458" s="331">
        <f>+'HULP-velden'!$AK$169</f>
        <v>7.0000000000000009</v>
      </c>
      <c r="L458" s="331">
        <f>+'HULP-velden'!$AL$169</f>
        <v>17</v>
      </c>
      <c r="M458" s="331">
        <f>+'HULP-velden'!$AM$169</f>
        <v>27</v>
      </c>
      <c r="N458" s="331">
        <f>+'HULP-velden'!$AN$169</f>
        <v>37</v>
      </c>
      <c r="O458" s="331">
        <f>+'HULP-velden'!$AO$169</f>
        <v>47</v>
      </c>
      <c r="P458" s="331">
        <f>+'HULP-velden'!$AP$169</f>
        <v>56.999999999999993</v>
      </c>
    </row>
    <row r="459" spans="2:16" ht="15" x14ac:dyDescent="0.25">
      <c r="B459" s="223"/>
      <c r="C459" s="223"/>
      <c r="D459" s="223"/>
      <c r="E459" s="223"/>
      <c r="F459" s="223"/>
      <c r="G459" s="223"/>
      <c r="H459" s="226">
        <f>'HULP-velden'!$AE$170</f>
        <v>353000</v>
      </c>
      <c r="I459" s="223"/>
      <c r="J459" s="331">
        <f>+'HULP-velden'!$AJ$170</f>
        <v>-3.5000000000000004</v>
      </c>
      <c r="K459" s="331">
        <f>+'HULP-velden'!$AK$170</f>
        <v>6.5</v>
      </c>
      <c r="L459" s="331">
        <f>+'HULP-velden'!$AL$170</f>
        <v>16.5</v>
      </c>
      <c r="M459" s="331">
        <f>+'HULP-velden'!$AM$170</f>
        <v>26.5</v>
      </c>
      <c r="N459" s="331">
        <f>+'HULP-velden'!$AN$170</f>
        <v>36.5</v>
      </c>
      <c r="O459" s="331">
        <f>+'HULP-velden'!$AO$170</f>
        <v>46.5</v>
      </c>
      <c r="P459" s="331">
        <f>+'HULP-velden'!$AP$170</f>
        <v>56.499999999999993</v>
      </c>
    </row>
    <row r="460" spans="2:16" ht="15" x14ac:dyDescent="0.25">
      <c r="B460" s="223"/>
      <c r="C460" s="223"/>
      <c r="D460" s="223"/>
      <c r="E460" s="223"/>
      <c r="F460" s="223"/>
      <c r="G460" s="223"/>
      <c r="H460" s="226">
        <f>'HULP-velden'!$AE$171</f>
        <v>352000</v>
      </c>
      <c r="I460" s="223"/>
      <c r="J460" s="331">
        <f>+'HULP-velden'!$AJ$171</f>
        <v>-4</v>
      </c>
      <c r="K460" s="331">
        <f>+'HULP-velden'!$AK$171</f>
        <v>6</v>
      </c>
      <c r="L460" s="331">
        <f>+'HULP-velden'!$AL$171</f>
        <v>16</v>
      </c>
      <c r="M460" s="331">
        <f>+'HULP-velden'!$AM$171</f>
        <v>26</v>
      </c>
      <c r="N460" s="331">
        <f>+'HULP-velden'!$AN$171</f>
        <v>36</v>
      </c>
      <c r="O460" s="331">
        <f>+'HULP-velden'!$AO$171</f>
        <v>46</v>
      </c>
      <c r="P460" s="331">
        <f>+'HULP-velden'!$AP$171</f>
        <v>56.000000000000007</v>
      </c>
    </row>
    <row r="461" spans="2:16" ht="15" x14ac:dyDescent="0.25">
      <c r="B461" s="223"/>
      <c r="C461" s="223"/>
      <c r="D461" s="223"/>
      <c r="E461" s="223"/>
      <c r="F461" s="223"/>
      <c r="G461" s="223"/>
      <c r="H461" s="226">
        <f>'HULP-velden'!$AE$172</f>
        <v>351000</v>
      </c>
      <c r="I461" s="223"/>
      <c r="J461" s="331">
        <f>+'HULP-velden'!$AJ$172</f>
        <v>-4.5</v>
      </c>
      <c r="K461" s="331">
        <f>+'HULP-velden'!$AK$172</f>
        <v>5.5</v>
      </c>
      <c r="L461" s="331">
        <f>+'HULP-velden'!$AL$172</f>
        <v>15.5</v>
      </c>
      <c r="M461" s="331">
        <f>+'HULP-velden'!$AM$172</f>
        <v>25.5</v>
      </c>
      <c r="N461" s="331">
        <f>+'HULP-velden'!$AN$172</f>
        <v>35.5</v>
      </c>
      <c r="O461" s="331">
        <f>+'HULP-velden'!$AO$172</f>
        <v>45.5</v>
      </c>
      <c r="P461" s="331">
        <f>+'HULP-velden'!$AP$172</f>
        <v>55.500000000000007</v>
      </c>
    </row>
    <row r="462" spans="2:16" ht="15" x14ac:dyDescent="0.25">
      <c r="B462" s="223"/>
      <c r="C462" s="223"/>
      <c r="D462" s="223"/>
      <c r="E462" s="223"/>
      <c r="F462" s="223"/>
      <c r="G462" s="223"/>
      <c r="H462" s="226">
        <f>'HULP-velden'!$AE$173</f>
        <v>350000</v>
      </c>
      <c r="I462" s="223"/>
      <c r="J462" s="331">
        <f>+'HULP-velden'!$AJ$173</f>
        <v>-5</v>
      </c>
      <c r="K462" s="331">
        <f>+'HULP-velden'!$AK$173</f>
        <v>5</v>
      </c>
      <c r="L462" s="331">
        <f>+'HULP-velden'!$AL$173</f>
        <v>15</v>
      </c>
      <c r="M462" s="331">
        <f>+'HULP-velden'!$AM$173</f>
        <v>25</v>
      </c>
      <c r="N462" s="331">
        <f>+'HULP-velden'!$AN$173</f>
        <v>35</v>
      </c>
      <c r="O462" s="331">
        <f>+'HULP-velden'!$AO$173</f>
        <v>45</v>
      </c>
      <c r="P462" s="331">
        <f>+'HULP-velden'!$AP$173</f>
        <v>55.000000000000007</v>
      </c>
    </row>
    <row r="463" spans="2:16" ht="15" x14ac:dyDescent="0.25">
      <c r="B463" s="223"/>
      <c r="C463" s="223"/>
      <c r="D463" s="223"/>
      <c r="E463" s="223"/>
      <c r="F463" s="223"/>
      <c r="G463" s="223"/>
      <c r="H463" s="226">
        <f>'HULP-velden'!$AE$174</f>
        <v>349000</v>
      </c>
      <c r="I463" s="223"/>
      <c r="J463" s="331">
        <f>+'HULP-velden'!$AJ$174</f>
        <v>-5.5</v>
      </c>
      <c r="K463" s="331">
        <f>+'HULP-velden'!$AK$174</f>
        <v>4.5</v>
      </c>
      <c r="L463" s="331">
        <f>+'HULP-velden'!$AL$174</f>
        <v>14.499999999999998</v>
      </c>
      <c r="M463" s="331">
        <f>+'HULP-velden'!$AM$174</f>
        <v>24.5</v>
      </c>
      <c r="N463" s="331">
        <f>+'HULP-velden'!$AN$174</f>
        <v>34.5</v>
      </c>
      <c r="O463" s="331">
        <f>+'HULP-velden'!$AO$174</f>
        <v>44.5</v>
      </c>
      <c r="P463" s="331">
        <f>+'HULP-velden'!$AP$174</f>
        <v>54.500000000000007</v>
      </c>
    </row>
    <row r="464" spans="2:16" ht="15" x14ac:dyDescent="0.25">
      <c r="B464" s="223"/>
      <c r="C464" s="223"/>
      <c r="D464" s="223"/>
      <c r="E464" s="223"/>
      <c r="F464" s="223"/>
      <c r="G464" s="223"/>
      <c r="H464" s="226">
        <f>'HULP-velden'!$AE$175</f>
        <v>348000</v>
      </c>
      <c r="I464" s="223"/>
      <c r="J464" s="331">
        <f>+'HULP-velden'!$AJ$175</f>
        <v>-6</v>
      </c>
      <c r="K464" s="331">
        <f>+'HULP-velden'!$AK$175</f>
        <v>4</v>
      </c>
      <c r="L464" s="331">
        <f>+'HULP-velden'!$AL$175</f>
        <v>14.000000000000002</v>
      </c>
      <c r="M464" s="331">
        <f>+'HULP-velden'!$AM$175</f>
        <v>24</v>
      </c>
      <c r="N464" s="331">
        <f>+'HULP-velden'!$AN$175</f>
        <v>34</v>
      </c>
      <c r="O464" s="331">
        <f>+'HULP-velden'!$AO$175</f>
        <v>44</v>
      </c>
      <c r="P464" s="331">
        <f>+'HULP-velden'!$AP$175</f>
        <v>54</v>
      </c>
    </row>
    <row r="465" spans="2:16" ht="15" x14ac:dyDescent="0.25">
      <c r="B465" s="223"/>
      <c r="C465" s="223"/>
      <c r="D465" s="223"/>
      <c r="E465" s="223"/>
      <c r="F465" s="223"/>
      <c r="G465" s="223"/>
      <c r="H465" s="226">
        <f>'HULP-velden'!$AE$176</f>
        <v>347000</v>
      </c>
      <c r="I465" s="223"/>
      <c r="J465" s="331">
        <f>+'HULP-velden'!$AJ$176</f>
        <v>-6.5</v>
      </c>
      <c r="K465" s="331">
        <f>+'HULP-velden'!$AK$176</f>
        <v>3.5000000000000004</v>
      </c>
      <c r="L465" s="331">
        <f>+'HULP-velden'!$AL$176</f>
        <v>13.5</v>
      </c>
      <c r="M465" s="331">
        <f>+'HULP-velden'!$AM$176</f>
        <v>23.5</v>
      </c>
      <c r="N465" s="331">
        <f>+'HULP-velden'!$AN$176</f>
        <v>33.5</v>
      </c>
      <c r="O465" s="331">
        <f>+'HULP-velden'!$AO$176</f>
        <v>43.5</v>
      </c>
      <c r="P465" s="331">
        <f>+'HULP-velden'!$AP$176</f>
        <v>53.5</v>
      </c>
    </row>
    <row r="466" spans="2:16" ht="15" x14ac:dyDescent="0.25">
      <c r="B466" s="223"/>
      <c r="C466" s="223"/>
      <c r="D466" s="223"/>
      <c r="E466" s="223"/>
      <c r="F466" s="223"/>
      <c r="G466" s="223"/>
      <c r="H466" s="226">
        <f>'HULP-velden'!$AE$177</f>
        <v>346000</v>
      </c>
      <c r="I466" s="223"/>
      <c r="J466" s="331">
        <f>+'HULP-velden'!$AJ$177</f>
        <v>-7.0000000000000009</v>
      </c>
      <c r="K466" s="331">
        <f>+'HULP-velden'!$AK$177</f>
        <v>3</v>
      </c>
      <c r="L466" s="331">
        <f>+'HULP-velden'!$AL$177</f>
        <v>13</v>
      </c>
      <c r="M466" s="331">
        <f>+'HULP-velden'!$AM$177</f>
        <v>23</v>
      </c>
      <c r="N466" s="331">
        <f>+'HULP-velden'!$AN$177</f>
        <v>33</v>
      </c>
      <c r="O466" s="331">
        <f>+'HULP-velden'!$AO$177</f>
        <v>43</v>
      </c>
      <c r="P466" s="331">
        <f>+'HULP-velden'!$AP$177</f>
        <v>53</v>
      </c>
    </row>
    <row r="467" spans="2:16" ht="15" x14ac:dyDescent="0.25">
      <c r="B467" s="223"/>
      <c r="C467" s="223"/>
      <c r="D467" s="223"/>
      <c r="E467" s="223"/>
      <c r="F467" s="223"/>
      <c r="G467" s="223"/>
      <c r="H467" s="226">
        <f>'HULP-velden'!$AE$178</f>
        <v>345000</v>
      </c>
      <c r="I467" s="223"/>
      <c r="J467" s="331">
        <f>+'HULP-velden'!$AJ$178</f>
        <v>-7.5</v>
      </c>
      <c r="K467" s="331">
        <f>+'HULP-velden'!$AK$178</f>
        <v>2.5</v>
      </c>
      <c r="L467" s="331">
        <f>+'HULP-velden'!$AL$178</f>
        <v>12.5</v>
      </c>
      <c r="M467" s="331">
        <f>+'HULP-velden'!$AM$178</f>
        <v>22.5</v>
      </c>
      <c r="N467" s="331">
        <f>+'HULP-velden'!$AN$178</f>
        <v>32.5</v>
      </c>
      <c r="O467" s="331">
        <f>+'HULP-velden'!$AO$178</f>
        <v>42.5</v>
      </c>
      <c r="P467" s="331">
        <f>+'HULP-velden'!$AP$178</f>
        <v>52.5</v>
      </c>
    </row>
    <row r="468" spans="2:16" ht="15" x14ac:dyDescent="0.25">
      <c r="B468" s="223"/>
      <c r="C468" s="223"/>
      <c r="D468" s="223"/>
      <c r="E468" s="223"/>
      <c r="F468" s="223"/>
      <c r="G468" s="223"/>
      <c r="H468" s="226">
        <f>'HULP-velden'!$AE$179</f>
        <v>344000</v>
      </c>
      <c r="I468" s="223"/>
      <c r="J468" s="331">
        <f>+'HULP-velden'!$AJ$179</f>
        <v>-8</v>
      </c>
      <c r="K468" s="331">
        <f>+'HULP-velden'!$AK$179</f>
        <v>2</v>
      </c>
      <c r="L468" s="331">
        <f>+'HULP-velden'!$AL$179</f>
        <v>12</v>
      </c>
      <c r="M468" s="331">
        <f>+'HULP-velden'!$AM$179</f>
        <v>22</v>
      </c>
      <c r="N468" s="331">
        <f>+'HULP-velden'!$AN$179</f>
        <v>32</v>
      </c>
      <c r="O468" s="331">
        <f>+'HULP-velden'!$AO$179</f>
        <v>42</v>
      </c>
      <c r="P468" s="331">
        <f>+'HULP-velden'!$AP$179</f>
        <v>52</v>
      </c>
    </row>
    <row r="469" spans="2:16" ht="15" x14ac:dyDescent="0.25">
      <c r="B469" s="223"/>
      <c r="C469" s="223"/>
      <c r="D469" s="223"/>
      <c r="E469" s="223"/>
      <c r="F469" s="223"/>
      <c r="G469" s="223"/>
      <c r="H469" s="226">
        <f>'HULP-velden'!$AE$180</f>
        <v>343000</v>
      </c>
      <c r="I469" s="223"/>
      <c r="J469" s="331">
        <f>+'HULP-velden'!$AJ$180</f>
        <v>-8.5</v>
      </c>
      <c r="K469" s="331">
        <f>+'HULP-velden'!$AK$180</f>
        <v>1.5</v>
      </c>
      <c r="L469" s="331">
        <f>+'HULP-velden'!$AL$180</f>
        <v>11.5</v>
      </c>
      <c r="M469" s="331">
        <f>+'HULP-velden'!$AM$180</f>
        <v>21.5</v>
      </c>
      <c r="N469" s="331">
        <f>+'HULP-velden'!$AN$180</f>
        <v>31.5</v>
      </c>
      <c r="O469" s="331">
        <f>+'HULP-velden'!$AO$180</f>
        <v>41.5</v>
      </c>
      <c r="P469" s="331">
        <f>+'HULP-velden'!$AP$180</f>
        <v>51.5</v>
      </c>
    </row>
    <row r="470" spans="2:16" ht="15" x14ac:dyDescent="0.25">
      <c r="B470" s="223"/>
      <c r="C470" s="223"/>
      <c r="D470" s="223"/>
      <c r="E470" s="223"/>
      <c r="F470" s="223"/>
      <c r="G470" s="223"/>
      <c r="H470" s="226">
        <f>'HULP-velden'!$AE$181</f>
        <v>342000</v>
      </c>
      <c r="I470" s="223"/>
      <c r="J470" s="331">
        <f>+'HULP-velden'!$AJ$181</f>
        <v>-9</v>
      </c>
      <c r="K470" s="331">
        <f>+'HULP-velden'!$AK$181</f>
        <v>1</v>
      </c>
      <c r="L470" s="331">
        <f>+'HULP-velden'!$AL$181</f>
        <v>11</v>
      </c>
      <c r="M470" s="331">
        <f>+'HULP-velden'!$AM$181</f>
        <v>21</v>
      </c>
      <c r="N470" s="331">
        <f>+'HULP-velden'!$AN$181</f>
        <v>31</v>
      </c>
      <c r="O470" s="331">
        <f>+'HULP-velden'!$AO$181</f>
        <v>41</v>
      </c>
      <c r="P470" s="331">
        <f>+'HULP-velden'!$AP$181</f>
        <v>51</v>
      </c>
    </row>
    <row r="471" spans="2:16" ht="15" x14ac:dyDescent="0.25">
      <c r="B471" s="223"/>
      <c r="C471" s="223"/>
      <c r="D471" s="223"/>
      <c r="E471" s="223"/>
      <c r="F471" s="223"/>
      <c r="G471" s="223"/>
      <c r="H471" s="226">
        <f>'HULP-velden'!$AE$182</f>
        <v>341000</v>
      </c>
      <c r="I471" s="223"/>
      <c r="J471" s="331">
        <f>+'HULP-velden'!$AJ$182</f>
        <v>-9.5</v>
      </c>
      <c r="K471" s="331">
        <f>+'HULP-velden'!$AK$182</f>
        <v>0.5</v>
      </c>
      <c r="L471" s="331">
        <f>+'HULP-velden'!$AL$182</f>
        <v>10.5</v>
      </c>
      <c r="M471" s="331">
        <f>+'HULP-velden'!$AM$182</f>
        <v>20.5</v>
      </c>
      <c r="N471" s="331">
        <f>+'HULP-velden'!$AN$182</f>
        <v>30.5</v>
      </c>
      <c r="O471" s="331">
        <f>+'HULP-velden'!$AO$182</f>
        <v>40.5</v>
      </c>
      <c r="P471" s="331">
        <f>+'HULP-velden'!$AP$182</f>
        <v>50.5</v>
      </c>
    </row>
    <row r="472" spans="2:16" ht="15" x14ac:dyDescent="0.25">
      <c r="B472" s="223"/>
      <c r="C472" s="223"/>
      <c r="D472" s="223"/>
      <c r="E472" s="223"/>
      <c r="F472" s="223"/>
      <c r="G472" s="223"/>
      <c r="H472" s="226">
        <f>'HULP-velden'!$AE$183</f>
        <v>340000</v>
      </c>
      <c r="I472" s="223"/>
      <c r="J472" s="331">
        <f>+'HULP-velden'!$AJ$183</f>
        <v>-10</v>
      </c>
      <c r="K472" s="331">
        <f>+'HULP-velden'!$AK$183</f>
        <v>0</v>
      </c>
      <c r="L472" s="331">
        <f>+'HULP-velden'!$AL$183</f>
        <v>10</v>
      </c>
      <c r="M472" s="331">
        <f>+'HULP-velden'!$AM$183</f>
        <v>20</v>
      </c>
      <c r="N472" s="331">
        <f>+'HULP-velden'!$AN$183</f>
        <v>30</v>
      </c>
      <c r="O472" s="331">
        <f>+'HULP-velden'!$AO$183</f>
        <v>40</v>
      </c>
      <c r="P472" s="331">
        <f>+'HULP-velden'!$AP$183</f>
        <v>50</v>
      </c>
    </row>
    <row r="473" spans="2:16" ht="15" x14ac:dyDescent="0.25">
      <c r="B473" s="223"/>
      <c r="C473" s="223"/>
      <c r="D473" s="223"/>
      <c r="E473" s="223"/>
      <c r="F473" s="223"/>
      <c r="G473" s="223"/>
      <c r="H473" s="226">
        <f>'HULP-velden'!$AE$184</f>
        <v>339000</v>
      </c>
      <c r="I473" s="223"/>
      <c r="J473" s="331">
        <f>+'HULP-velden'!$AJ$184</f>
        <v>-10.5</v>
      </c>
      <c r="K473" s="331">
        <f>+'HULP-velden'!$AK$184</f>
        <v>-0.5</v>
      </c>
      <c r="L473" s="331">
        <f>+'HULP-velden'!$AL$184</f>
        <v>9.5</v>
      </c>
      <c r="M473" s="331">
        <f>+'HULP-velden'!$AM$184</f>
        <v>19.5</v>
      </c>
      <c r="N473" s="331">
        <f>+'HULP-velden'!$AN$184</f>
        <v>29.5</v>
      </c>
      <c r="O473" s="331">
        <f>+'HULP-velden'!$AO$184</f>
        <v>39.5</v>
      </c>
      <c r="P473" s="331">
        <f>+'HULP-velden'!$AP$184</f>
        <v>49.5</v>
      </c>
    </row>
    <row r="474" spans="2:16" ht="15" x14ac:dyDescent="0.25">
      <c r="B474" s="223"/>
      <c r="C474" s="223"/>
      <c r="D474" s="223"/>
      <c r="E474" s="223"/>
      <c r="F474" s="223"/>
      <c r="G474" s="223"/>
      <c r="H474" s="226">
        <f>'HULP-velden'!$AE$185</f>
        <v>338000</v>
      </c>
      <c r="I474" s="223"/>
      <c r="J474" s="331">
        <f>+'HULP-velden'!$AJ$185</f>
        <v>-11</v>
      </c>
      <c r="K474" s="331">
        <f>+'HULP-velden'!$AK$185</f>
        <v>-1</v>
      </c>
      <c r="L474" s="331">
        <f>+'HULP-velden'!$AL$185</f>
        <v>9</v>
      </c>
      <c r="M474" s="331">
        <f>+'HULP-velden'!$AM$185</f>
        <v>19</v>
      </c>
      <c r="N474" s="331">
        <f>+'HULP-velden'!$AN$185</f>
        <v>28.999999999999996</v>
      </c>
      <c r="O474" s="331">
        <f>+'HULP-velden'!$AO$185</f>
        <v>39</v>
      </c>
      <c r="P474" s="331">
        <f>+'HULP-velden'!$AP$185</f>
        <v>49</v>
      </c>
    </row>
    <row r="475" spans="2:16" ht="15" x14ac:dyDescent="0.25">
      <c r="B475" s="223"/>
      <c r="C475" s="223"/>
      <c r="D475" s="223"/>
      <c r="E475" s="223"/>
      <c r="F475" s="223"/>
      <c r="G475" s="223"/>
      <c r="H475" s="226">
        <f>'HULP-velden'!$AE$186</f>
        <v>337000</v>
      </c>
      <c r="I475" s="223"/>
      <c r="J475" s="331">
        <f>+'HULP-velden'!$AJ$186</f>
        <v>-11.5</v>
      </c>
      <c r="K475" s="331">
        <f>+'HULP-velden'!$AK$186</f>
        <v>-1.5</v>
      </c>
      <c r="L475" s="331">
        <f>+'HULP-velden'!$AL$186</f>
        <v>8.5</v>
      </c>
      <c r="M475" s="331">
        <f>+'HULP-velden'!$AM$186</f>
        <v>18.5</v>
      </c>
      <c r="N475" s="331">
        <f>+'HULP-velden'!$AN$186</f>
        <v>28.499999999999996</v>
      </c>
      <c r="O475" s="331">
        <f>+'HULP-velden'!$AO$186</f>
        <v>38.5</v>
      </c>
      <c r="P475" s="331">
        <f>+'HULP-velden'!$AP$186</f>
        <v>48.5</v>
      </c>
    </row>
    <row r="476" spans="2:16" ht="15" x14ac:dyDescent="0.25">
      <c r="B476" s="223"/>
      <c r="C476" s="223"/>
      <c r="D476" s="223"/>
      <c r="E476" s="223"/>
      <c r="F476" s="223"/>
      <c r="G476" s="223"/>
      <c r="H476" s="226">
        <f>'HULP-velden'!$AE$187</f>
        <v>336000</v>
      </c>
      <c r="I476" s="223"/>
      <c r="J476" s="331">
        <f>+'HULP-velden'!$AJ$187</f>
        <v>-12</v>
      </c>
      <c r="K476" s="331">
        <f>+'HULP-velden'!$AK$187</f>
        <v>-2</v>
      </c>
      <c r="L476" s="331">
        <f>+'HULP-velden'!$AL$187</f>
        <v>8</v>
      </c>
      <c r="M476" s="331">
        <f>+'HULP-velden'!$AM$187</f>
        <v>18</v>
      </c>
      <c r="N476" s="331">
        <f>+'HULP-velden'!$AN$187</f>
        <v>28.000000000000004</v>
      </c>
      <c r="O476" s="331">
        <f>+'HULP-velden'!$AO$187</f>
        <v>38</v>
      </c>
      <c r="P476" s="331">
        <f>+'HULP-velden'!$AP$187</f>
        <v>48</v>
      </c>
    </row>
    <row r="477" spans="2:16" ht="15" x14ac:dyDescent="0.25">
      <c r="B477" s="223"/>
      <c r="C477" s="223"/>
      <c r="D477" s="223"/>
      <c r="E477" s="223"/>
      <c r="F477" s="223"/>
      <c r="G477" s="223"/>
      <c r="H477" s="226">
        <f>'HULP-velden'!$AE$188</f>
        <v>335000</v>
      </c>
      <c r="I477" s="223"/>
      <c r="J477" s="331">
        <f>+'HULP-velden'!$AJ$188</f>
        <v>-12.5</v>
      </c>
      <c r="K477" s="331">
        <f>+'HULP-velden'!$AK$188</f>
        <v>-2.5</v>
      </c>
      <c r="L477" s="331">
        <f>+'HULP-velden'!$AL$188</f>
        <v>7.5</v>
      </c>
      <c r="M477" s="331">
        <f>+'HULP-velden'!$AM$188</f>
        <v>17.5</v>
      </c>
      <c r="N477" s="331">
        <f>+'HULP-velden'!$AN$188</f>
        <v>27.500000000000004</v>
      </c>
      <c r="O477" s="331">
        <f>+'HULP-velden'!$AO$188</f>
        <v>37.5</v>
      </c>
      <c r="P477" s="331">
        <f>+'HULP-velden'!$AP$188</f>
        <v>47.5</v>
      </c>
    </row>
    <row r="478" spans="2:16" ht="15" x14ac:dyDescent="0.25">
      <c r="B478" s="223"/>
      <c r="C478" s="223"/>
      <c r="D478" s="223"/>
      <c r="E478" s="223"/>
      <c r="F478" s="223"/>
      <c r="G478" s="223"/>
      <c r="H478" s="226">
        <f>'HULP-velden'!$AE$189</f>
        <v>334000</v>
      </c>
      <c r="I478" s="223"/>
      <c r="J478" s="331">
        <f>+'HULP-velden'!$AJ$189</f>
        <v>-13</v>
      </c>
      <c r="K478" s="331">
        <f>+'HULP-velden'!$AK$189</f>
        <v>-3</v>
      </c>
      <c r="L478" s="331">
        <f>+'HULP-velden'!$AL$189</f>
        <v>7.0000000000000009</v>
      </c>
      <c r="M478" s="331">
        <f>+'HULP-velden'!$AM$189</f>
        <v>17</v>
      </c>
      <c r="N478" s="331">
        <f>+'HULP-velden'!$AN$189</f>
        <v>27</v>
      </c>
      <c r="O478" s="331">
        <f>+'HULP-velden'!$AO$189</f>
        <v>37</v>
      </c>
      <c r="P478" s="331">
        <f>+'HULP-velden'!$AP$189</f>
        <v>47</v>
      </c>
    </row>
    <row r="479" spans="2:16" ht="15" x14ac:dyDescent="0.25">
      <c r="B479" s="223"/>
      <c r="C479" s="223"/>
      <c r="D479" s="223"/>
      <c r="E479" s="223"/>
      <c r="F479" s="223"/>
      <c r="G479" s="223"/>
      <c r="H479" s="226">
        <f>'HULP-velden'!$AE$190</f>
        <v>333000</v>
      </c>
      <c r="I479" s="223"/>
      <c r="J479" s="331">
        <f>+'HULP-velden'!$AJ$190</f>
        <v>-13.5</v>
      </c>
      <c r="K479" s="331">
        <f>+'HULP-velden'!$AK$190</f>
        <v>-3.5000000000000004</v>
      </c>
      <c r="L479" s="331">
        <f>+'HULP-velden'!$AL$190</f>
        <v>6.5</v>
      </c>
      <c r="M479" s="331">
        <f>+'HULP-velden'!$AM$190</f>
        <v>16.5</v>
      </c>
      <c r="N479" s="331">
        <f>+'HULP-velden'!$AN$190</f>
        <v>26.5</v>
      </c>
      <c r="O479" s="331">
        <f>+'HULP-velden'!$AO$190</f>
        <v>36.5</v>
      </c>
      <c r="P479" s="331">
        <f>+'HULP-velden'!$AP$190</f>
        <v>46.5</v>
      </c>
    </row>
    <row r="480" spans="2:16" ht="15" x14ac:dyDescent="0.25">
      <c r="B480" s="223"/>
      <c r="C480" s="223"/>
      <c r="D480" s="223"/>
      <c r="E480" s="223"/>
      <c r="F480" s="223"/>
      <c r="G480" s="223"/>
      <c r="H480" s="226">
        <f>'HULP-velden'!$AE$191</f>
        <v>332000</v>
      </c>
      <c r="I480" s="223"/>
      <c r="J480" s="331">
        <f>+'HULP-velden'!$AJ$191</f>
        <v>-14.000000000000002</v>
      </c>
      <c r="K480" s="331">
        <f>+'HULP-velden'!$AK$191</f>
        <v>-4</v>
      </c>
      <c r="L480" s="331">
        <f>+'HULP-velden'!$AL$191</f>
        <v>6</v>
      </c>
      <c r="M480" s="331">
        <f>+'HULP-velden'!$AM$191</f>
        <v>16</v>
      </c>
      <c r="N480" s="331">
        <f>+'HULP-velden'!$AN$191</f>
        <v>26</v>
      </c>
      <c r="O480" s="331">
        <f>+'HULP-velden'!$AO$191</f>
        <v>36</v>
      </c>
      <c r="P480" s="331">
        <f>+'HULP-velden'!$AP$191</f>
        <v>46</v>
      </c>
    </row>
    <row r="481" spans="2:16" ht="15" x14ac:dyDescent="0.25">
      <c r="B481" s="223"/>
      <c r="C481" s="223"/>
      <c r="D481" s="223"/>
      <c r="E481" s="223"/>
      <c r="F481" s="223"/>
      <c r="G481" s="223"/>
      <c r="H481" s="226">
        <f>'HULP-velden'!$AE$192</f>
        <v>331000</v>
      </c>
      <c r="I481" s="223"/>
      <c r="J481" s="331">
        <f>+'HULP-velden'!$AJ$192</f>
        <v>-14.499999999999998</v>
      </c>
      <c r="K481" s="331">
        <f>+'HULP-velden'!$AK$192</f>
        <v>-4.5</v>
      </c>
      <c r="L481" s="331">
        <f>+'HULP-velden'!$AL$192</f>
        <v>5.5</v>
      </c>
      <c r="M481" s="331">
        <f>+'HULP-velden'!$AM$192</f>
        <v>15.5</v>
      </c>
      <c r="N481" s="331">
        <f>+'HULP-velden'!$AN$192</f>
        <v>25.5</v>
      </c>
      <c r="O481" s="331">
        <f>+'HULP-velden'!$AO$192</f>
        <v>35.5</v>
      </c>
      <c r="P481" s="331">
        <f>+'HULP-velden'!$AP$192</f>
        <v>45.5</v>
      </c>
    </row>
    <row r="482" spans="2:16" ht="15" x14ac:dyDescent="0.25">
      <c r="B482" s="223"/>
      <c r="C482" s="223"/>
      <c r="D482" s="223"/>
      <c r="E482" s="223"/>
      <c r="F482" s="223"/>
      <c r="G482" s="223"/>
      <c r="H482" s="226">
        <f>'HULP-velden'!$AE$193</f>
        <v>330000</v>
      </c>
      <c r="I482" s="223"/>
      <c r="J482" s="331">
        <f>+'HULP-velden'!$AJ$193</f>
        <v>-15</v>
      </c>
      <c r="K482" s="331">
        <f>+'HULP-velden'!$AK$193</f>
        <v>-5</v>
      </c>
      <c r="L482" s="331">
        <f>+'HULP-velden'!$AL$193</f>
        <v>5</v>
      </c>
      <c r="M482" s="331">
        <f>+'HULP-velden'!$AM$193</f>
        <v>15</v>
      </c>
      <c r="N482" s="331">
        <f>+'HULP-velden'!$AN$193</f>
        <v>25</v>
      </c>
      <c r="O482" s="331">
        <f>+'HULP-velden'!$AO$193</f>
        <v>35</v>
      </c>
      <c r="P482" s="331">
        <f>+'HULP-velden'!$AP$193</f>
        <v>45</v>
      </c>
    </row>
    <row r="483" spans="2:16" ht="15" x14ac:dyDescent="0.25">
      <c r="B483" s="223"/>
      <c r="C483" s="223"/>
      <c r="D483" s="223"/>
      <c r="E483" s="223"/>
      <c r="F483" s="223"/>
      <c r="G483" s="223"/>
      <c r="H483" s="226">
        <f>'HULP-velden'!$AE$194</f>
        <v>329000</v>
      </c>
      <c r="I483" s="223"/>
      <c r="J483" s="331">
        <f>+'HULP-velden'!$AJ$194</f>
        <v>-15.5</v>
      </c>
      <c r="K483" s="331">
        <f>+'HULP-velden'!$AK$194</f>
        <v>-5.5</v>
      </c>
      <c r="L483" s="331">
        <f>+'HULP-velden'!$AL$194</f>
        <v>4.5</v>
      </c>
      <c r="M483" s="331">
        <f>+'HULP-velden'!$AM$194</f>
        <v>14.499999999999998</v>
      </c>
      <c r="N483" s="331">
        <f>+'HULP-velden'!$AN$194</f>
        <v>24.5</v>
      </c>
      <c r="O483" s="331">
        <f>+'HULP-velden'!$AO$194</f>
        <v>34.5</v>
      </c>
      <c r="P483" s="331">
        <f>+'HULP-velden'!$AP$194</f>
        <v>44.5</v>
      </c>
    </row>
    <row r="484" spans="2:16" ht="15" x14ac:dyDescent="0.25">
      <c r="B484" s="223"/>
      <c r="C484" s="223"/>
      <c r="D484" s="223"/>
      <c r="E484" s="223"/>
      <c r="F484" s="223"/>
      <c r="G484" s="223"/>
      <c r="H484" s="226">
        <f>'HULP-velden'!$AE$195</f>
        <v>328000</v>
      </c>
      <c r="I484" s="223"/>
      <c r="J484" s="331">
        <f>+'HULP-velden'!$AJ$195</f>
        <v>-16</v>
      </c>
      <c r="K484" s="331">
        <f>+'HULP-velden'!$AK$195</f>
        <v>-6</v>
      </c>
      <c r="L484" s="331">
        <f>+'HULP-velden'!$AL$195</f>
        <v>4</v>
      </c>
      <c r="M484" s="331">
        <f>+'HULP-velden'!$AM$195</f>
        <v>14.000000000000002</v>
      </c>
      <c r="N484" s="331">
        <f>+'HULP-velden'!$AN$195</f>
        <v>24</v>
      </c>
      <c r="O484" s="331">
        <f>+'HULP-velden'!$AO$195</f>
        <v>34</v>
      </c>
      <c r="P484" s="331">
        <f>+'HULP-velden'!$AP$195</f>
        <v>44</v>
      </c>
    </row>
    <row r="485" spans="2:16" ht="15" x14ac:dyDescent="0.25">
      <c r="B485" s="223"/>
      <c r="C485" s="223"/>
      <c r="D485" s="223"/>
      <c r="E485" s="223"/>
      <c r="F485" s="223"/>
      <c r="G485" s="223"/>
      <c r="H485" s="226">
        <f>'HULP-velden'!$AE$196</f>
        <v>327000</v>
      </c>
      <c r="I485" s="223"/>
      <c r="J485" s="331">
        <f>+'HULP-velden'!$AJ$196</f>
        <v>-16.5</v>
      </c>
      <c r="K485" s="331">
        <f>+'HULP-velden'!$AK$196</f>
        <v>-6.5</v>
      </c>
      <c r="L485" s="331">
        <f>+'HULP-velden'!$AL$196</f>
        <v>3.5000000000000004</v>
      </c>
      <c r="M485" s="331">
        <f>+'HULP-velden'!$AM$196</f>
        <v>13.5</v>
      </c>
      <c r="N485" s="331">
        <f>+'HULP-velden'!$AN$196</f>
        <v>23.5</v>
      </c>
      <c r="O485" s="331">
        <f>+'HULP-velden'!$AO$196</f>
        <v>33.5</v>
      </c>
      <c r="P485" s="331">
        <f>+'HULP-velden'!$AP$196</f>
        <v>43.5</v>
      </c>
    </row>
    <row r="486" spans="2:16" ht="15" x14ac:dyDescent="0.25">
      <c r="B486" s="223"/>
      <c r="C486" s="223"/>
      <c r="D486" s="223"/>
      <c r="E486" s="223"/>
      <c r="F486" s="223"/>
      <c r="G486" s="223"/>
      <c r="H486" s="226">
        <f>'HULP-velden'!$AE$197</f>
        <v>326000</v>
      </c>
      <c r="I486" s="223"/>
      <c r="J486" s="331">
        <f>+'HULP-velden'!$AJ$197</f>
        <v>-17</v>
      </c>
      <c r="K486" s="331">
        <f>+'HULP-velden'!$AK$197</f>
        <v>-7.0000000000000009</v>
      </c>
      <c r="L486" s="331">
        <f>+'HULP-velden'!$AL$197</f>
        <v>3</v>
      </c>
      <c r="M486" s="331">
        <f>+'HULP-velden'!$AM$197</f>
        <v>13</v>
      </c>
      <c r="N486" s="331">
        <f>+'HULP-velden'!$AN$197</f>
        <v>23</v>
      </c>
      <c r="O486" s="331">
        <f>+'HULP-velden'!$AO$197</f>
        <v>33</v>
      </c>
      <c r="P486" s="331">
        <f>+'HULP-velden'!$AP$197</f>
        <v>43</v>
      </c>
    </row>
    <row r="487" spans="2:16" ht="15" x14ac:dyDescent="0.25">
      <c r="B487" s="223"/>
      <c r="C487" s="223"/>
      <c r="D487" s="223"/>
      <c r="E487" s="223"/>
      <c r="F487" s="223"/>
      <c r="G487" s="223"/>
      <c r="H487" s="226">
        <f>'HULP-velden'!$AE$198</f>
        <v>325000</v>
      </c>
      <c r="I487" s="223"/>
      <c r="J487" s="331">
        <f>+'HULP-velden'!$AJ$198</f>
        <v>-17.5</v>
      </c>
      <c r="K487" s="331">
        <f>+'HULP-velden'!$AK$198</f>
        <v>-7.5</v>
      </c>
      <c r="L487" s="331">
        <f>+'HULP-velden'!$AL$198</f>
        <v>2.5</v>
      </c>
      <c r="M487" s="331">
        <f>+'HULP-velden'!$AM$198</f>
        <v>12.5</v>
      </c>
      <c r="N487" s="331">
        <f>+'HULP-velden'!$AN$198</f>
        <v>22.5</v>
      </c>
      <c r="O487" s="331">
        <f>+'HULP-velden'!$AO$198</f>
        <v>32.5</v>
      </c>
      <c r="P487" s="331">
        <f>+'HULP-velden'!$AP$198</f>
        <v>42.5</v>
      </c>
    </row>
    <row r="488" spans="2:16" ht="15" x14ac:dyDescent="0.25">
      <c r="B488" s="223"/>
      <c r="C488" s="223"/>
      <c r="D488" s="223"/>
      <c r="E488" s="223"/>
      <c r="F488" s="223"/>
      <c r="G488" s="223"/>
      <c r="H488" s="226">
        <f>'HULP-velden'!$AE$199</f>
        <v>324000</v>
      </c>
      <c r="I488" s="223"/>
      <c r="J488" s="331">
        <f>+'HULP-velden'!$AJ$199</f>
        <v>-18</v>
      </c>
      <c r="K488" s="331">
        <f>+'HULP-velden'!$AK$199</f>
        <v>-8</v>
      </c>
      <c r="L488" s="331">
        <f>+'HULP-velden'!$AL$199</f>
        <v>2</v>
      </c>
      <c r="M488" s="331">
        <f>+'HULP-velden'!$AM$199</f>
        <v>12</v>
      </c>
      <c r="N488" s="331">
        <f>+'HULP-velden'!$AN$199</f>
        <v>22</v>
      </c>
      <c r="O488" s="331">
        <f>+'HULP-velden'!$AO$199</f>
        <v>32</v>
      </c>
      <c r="P488" s="331">
        <f>+'HULP-velden'!$AP$199</f>
        <v>42</v>
      </c>
    </row>
    <row r="489" spans="2:16" ht="15" x14ac:dyDescent="0.25">
      <c r="B489" s="223"/>
      <c r="C489" s="223"/>
      <c r="D489" s="223"/>
      <c r="E489" s="223"/>
      <c r="F489" s="223"/>
      <c r="G489" s="223"/>
      <c r="H489" s="226">
        <f>'HULP-velden'!$AE$200</f>
        <v>323000</v>
      </c>
      <c r="I489" s="223"/>
      <c r="J489" s="331">
        <f>+'HULP-velden'!$AJ$200</f>
        <v>-18.5</v>
      </c>
      <c r="K489" s="331">
        <f>+'HULP-velden'!$AK$200</f>
        <v>-8.5</v>
      </c>
      <c r="L489" s="331">
        <f>+'HULP-velden'!$AL$200</f>
        <v>1.5</v>
      </c>
      <c r="M489" s="331">
        <f>+'HULP-velden'!$AM$200</f>
        <v>11.5</v>
      </c>
      <c r="N489" s="331">
        <f>+'HULP-velden'!$AN$200</f>
        <v>21.5</v>
      </c>
      <c r="O489" s="331">
        <f>+'HULP-velden'!$AO$200</f>
        <v>31.5</v>
      </c>
      <c r="P489" s="331">
        <f>+'HULP-velden'!$AP$200</f>
        <v>41.5</v>
      </c>
    </row>
    <row r="490" spans="2:16" ht="15" x14ac:dyDescent="0.25">
      <c r="B490" s="223"/>
      <c r="C490" s="223"/>
      <c r="D490" s="223"/>
      <c r="E490" s="223"/>
      <c r="F490" s="223"/>
      <c r="G490" s="223"/>
      <c r="H490" s="226">
        <f>'HULP-velden'!$AE$201</f>
        <v>322000</v>
      </c>
      <c r="I490" s="223"/>
      <c r="J490" s="331">
        <f>+'HULP-velden'!$AJ$201</f>
        <v>-19</v>
      </c>
      <c r="K490" s="331">
        <f>+'HULP-velden'!$AK$201</f>
        <v>-9</v>
      </c>
      <c r="L490" s="331">
        <f>+'HULP-velden'!$AL$201</f>
        <v>1</v>
      </c>
      <c r="M490" s="331">
        <f>+'HULP-velden'!$AM$201</f>
        <v>11</v>
      </c>
      <c r="N490" s="331">
        <f>+'HULP-velden'!$AN$201</f>
        <v>21</v>
      </c>
      <c r="O490" s="331">
        <f>+'HULP-velden'!$AO$201</f>
        <v>31</v>
      </c>
      <c r="P490" s="331">
        <f>+'HULP-velden'!$AP$201</f>
        <v>41</v>
      </c>
    </row>
    <row r="491" spans="2:16" ht="15" x14ac:dyDescent="0.25">
      <c r="B491" s="223"/>
      <c r="C491" s="223"/>
      <c r="D491" s="223"/>
      <c r="E491" s="223"/>
      <c r="F491" s="223"/>
      <c r="G491" s="223"/>
      <c r="H491" s="226">
        <f>'HULP-velden'!$AE$202</f>
        <v>321000</v>
      </c>
      <c r="I491" s="223"/>
      <c r="J491" s="331">
        <f>+'HULP-velden'!$AJ$202</f>
        <v>-19.5</v>
      </c>
      <c r="K491" s="331">
        <f>+'HULP-velden'!$AK$202</f>
        <v>-9.5</v>
      </c>
      <c r="L491" s="331">
        <f>+'HULP-velden'!$AL$202</f>
        <v>0.5</v>
      </c>
      <c r="M491" s="331">
        <f>+'HULP-velden'!$AM$202</f>
        <v>10.5</v>
      </c>
      <c r="N491" s="331">
        <f>+'HULP-velden'!$AN$202</f>
        <v>20.5</v>
      </c>
      <c r="O491" s="331">
        <f>+'HULP-velden'!$AO$202</f>
        <v>30.5</v>
      </c>
      <c r="P491" s="331">
        <f>+'HULP-velden'!$AP$202</f>
        <v>40.5</v>
      </c>
    </row>
    <row r="492" spans="2:16" ht="15" x14ac:dyDescent="0.25">
      <c r="B492" s="223"/>
      <c r="C492" s="223"/>
      <c r="D492" s="223"/>
      <c r="E492" s="223"/>
      <c r="F492" s="223"/>
      <c r="G492" s="223"/>
      <c r="H492" s="226">
        <f>'HULP-velden'!$AE$203</f>
        <v>320000</v>
      </c>
      <c r="I492" s="223"/>
      <c r="J492" s="331">
        <f>+'HULP-velden'!$AJ$203</f>
        <v>-20</v>
      </c>
      <c r="K492" s="331">
        <f>+'HULP-velden'!$AK$203</f>
        <v>-10</v>
      </c>
      <c r="L492" s="331">
        <f>+'HULP-velden'!$AL$203</f>
        <v>0</v>
      </c>
      <c r="M492" s="331">
        <f>+'HULP-velden'!$AM$203</f>
        <v>10</v>
      </c>
      <c r="N492" s="331">
        <f>+'HULP-velden'!$AN$203</f>
        <v>20</v>
      </c>
      <c r="O492" s="331">
        <f>+'HULP-velden'!$AO$203</f>
        <v>30</v>
      </c>
      <c r="P492" s="331">
        <f>+'HULP-velden'!$AP$203</f>
        <v>40</v>
      </c>
    </row>
    <row r="493" spans="2:16" ht="15" x14ac:dyDescent="0.25">
      <c r="B493" s="223"/>
      <c r="C493" s="223"/>
      <c r="D493" s="223"/>
      <c r="E493" s="223"/>
      <c r="F493" s="223"/>
      <c r="G493" s="223"/>
      <c r="H493" s="226">
        <f>'HULP-velden'!$AE$204</f>
        <v>319000</v>
      </c>
      <c r="I493" s="223"/>
      <c r="J493" s="331">
        <f>+'HULP-velden'!$AJ$204</f>
        <v>-20.5</v>
      </c>
      <c r="K493" s="331">
        <f>+'HULP-velden'!$AK$204</f>
        <v>-10.5</v>
      </c>
      <c r="L493" s="331">
        <f>+'HULP-velden'!$AL$204</f>
        <v>-0.5</v>
      </c>
      <c r="M493" s="331">
        <f>+'HULP-velden'!$AM$204</f>
        <v>9.5</v>
      </c>
      <c r="N493" s="331">
        <f>+'HULP-velden'!$AN$204</f>
        <v>19.5</v>
      </c>
      <c r="O493" s="331">
        <f>+'HULP-velden'!$AO$204</f>
        <v>29.5</v>
      </c>
      <c r="P493" s="331">
        <f>+'HULP-velden'!$AP$204</f>
        <v>39.5</v>
      </c>
    </row>
    <row r="494" spans="2:16" ht="15" x14ac:dyDescent="0.25">
      <c r="B494" s="223"/>
      <c r="C494" s="223"/>
      <c r="D494" s="223"/>
      <c r="E494" s="223"/>
      <c r="F494" s="223"/>
      <c r="G494" s="223"/>
      <c r="H494" s="226">
        <f>'HULP-velden'!$AE$205</f>
        <v>318000</v>
      </c>
      <c r="I494" s="223"/>
      <c r="J494" s="331">
        <f>+'HULP-velden'!$AJ$205</f>
        <v>-21</v>
      </c>
      <c r="K494" s="331">
        <f>+'HULP-velden'!$AK$205</f>
        <v>-11</v>
      </c>
      <c r="L494" s="331">
        <f>+'HULP-velden'!$AL$205</f>
        <v>-1</v>
      </c>
      <c r="M494" s="331">
        <f>+'HULP-velden'!$AM$205</f>
        <v>9</v>
      </c>
      <c r="N494" s="331">
        <f>+'HULP-velden'!$AN$205</f>
        <v>19</v>
      </c>
      <c r="O494" s="331">
        <f>+'HULP-velden'!$AO$205</f>
        <v>28.999999999999996</v>
      </c>
      <c r="P494" s="331">
        <f>+'HULP-velden'!$AP$205</f>
        <v>39</v>
      </c>
    </row>
    <row r="495" spans="2:16" ht="15" x14ac:dyDescent="0.25">
      <c r="B495" s="223"/>
      <c r="C495" s="223"/>
      <c r="D495" s="223"/>
      <c r="E495" s="223"/>
      <c r="F495" s="223"/>
      <c r="G495" s="223"/>
      <c r="H495" s="226">
        <f>'HULP-velden'!$AE$206</f>
        <v>317000</v>
      </c>
      <c r="I495" s="223"/>
      <c r="J495" s="331">
        <f>+'HULP-velden'!$AJ$206</f>
        <v>-21.5</v>
      </c>
      <c r="K495" s="331">
        <f>+'HULP-velden'!$AK$206</f>
        <v>-11.5</v>
      </c>
      <c r="L495" s="331">
        <f>+'HULP-velden'!$AL$206</f>
        <v>-1.5</v>
      </c>
      <c r="M495" s="331">
        <f>+'HULP-velden'!$AM$206</f>
        <v>8.5</v>
      </c>
      <c r="N495" s="331">
        <f>+'HULP-velden'!$AN$206</f>
        <v>18.5</v>
      </c>
      <c r="O495" s="331">
        <f>+'HULP-velden'!$AO$206</f>
        <v>28.499999999999996</v>
      </c>
      <c r="P495" s="331">
        <f>+'HULP-velden'!$AP$206</f>
        <v>38.5</v>
      </c>
    </row>
    <row r="496" spans="2:16" ht="15" x14ac:dyDescent="0.25">
      <c r="B496" s="223"/>
      <c r="C496" s="223"/>
      <c r="D496" s="223"/>
      <c r="E496" s="223"/>
      <c r="F496" s="223"/>
      <c r="G496" s="223"/>
      <c r="H496" s="226">
        <f>'HULP-velden'!$AE$207</f>
        <v>316000</v>
      </c>
      <c r="I496" s="223"/>
      <c r="J496" s="331">
        <f>+'HULP-velden'!$AJ$207</f>
        <v>-22</v>
      </c>
      <c r="K496" s="331">
        <f>+'HULP-velden'!$AK$207</f>
        <v>-12</v>
      </c>
      <c r="L496" s="331">
        <f>+'HULP-velden'!$AL$207</f>
        <v>-2</v>
      </c>
      <c r="M496" s="331">
        <f>+'HULP-velden'!$AM$207</f>
        <v>8</v>
      </c>
      <c r="N496" s="331">
        <f>+'HULP-velden'!$AN$207</f>
        <v>18</v>
      </c>
      <c r="O496" s="331">
        <f>+'HULP-velden'!$AO$207</f>
        <v>28.000000000000004</v>
      </c>
      <c r="P496" s="331">
        <f>+'HULP-velden'!$AP$207</f>
        <v>38</v>
      </c>
    </row>
    <row r="497" spans="2:16" ht="15" x14ac:dyDescent="0.25">
      <c r="B497" s="223"/>
      <c r="C497" s="223"/>
      <c r="D497" s="223"/>
      <c r="E497" s="223"/>
      <c r="F497" s="223"/>
      <c r="G497" s="223"/>
      <c r="H497" s="226">
        <f>'HULP-velden'!$AE$208</f>
        <v>315000</v>
      </c>
      <c r="I497" s="223"/>
      <c r="J497" s="331">
        <f>+'HULP-velden'!$AJ$208</f>
        <v>-22.5</v>
      </c>
      <c r="K497" s="331">
        <f>+'HULP-velden'!$AK$208</f>
        <v>-12.5</v>
      </c>
      <c r="L497" s="331">
        <f>+'HULP-velden'!$AL$208</f>
        <v>-2.5</v>
      </c>
      <c r="M497" s="331">
        <f>+'HULP-velden'!$AM$208</f>
        <v>7.5</v>
      </c>
      <c r="N497" s="331">
        <f>+'HULP-velden'!$AN$208</f>
        <v>17.5</v>
      </c>
      <c r="O497" s="331">
        <f>+'HULP-velden'!$AO$208</f>
        <v>27.500000000000004</v>
      </c>
      <c r="P497" s="331">
        <f>+'HULP-velden'!$AP$208</f>
        <v>37.5</v>
      </c>
    </row>
    <row r="498" spans="2:16" ht="15" x14ac:dyDescent="0.25">
      <c r="B498" s="223"/>
      <c r="C498" s="223"/>
      <c r="D498" s="223"/>
      <c r="E498" s="223"/>
      <c r="F498" s="223"/>
      <c r="G498" s="223"/>
      <c r="H498" s="226">
        <f>'HULP-velden'!$AE$209</f>
        <v>314000</v>
      </c>
      <c r="I498" s="223"/>
      <c r="J498" s="331">
        <f>+'HULP-velden'!$AJ$209</f>
        <v>-23</v>
      </c>
      <c r="K498" s="331">
        <f>+'HULP-velden'!$AK$209</f>
        <v>-13</v>
      </c>
      <c r="L498" s="331">
        <f>+'HULP-velden'!$AL$209</f>
        <v>-3</v>
      </c>
      <c r="M498" s="331">
        <f>+'HULP-velden'!$AM$209</f>
        <v>7.0000000000000009</v>
      </c>
      <c r="N498" s="331">
        <f>+'HULP-velden'!$AN$209</f>
        <v>17</v>
      </c>
      <c r="O498" s="331">
        <f>+'HULP-velden'!$AO$209</f>
        <v>27</v>
      </c>
      <c r="P498" s="331">
        <f>+'HULP-velden'!$AP$209</f>
        <v>37</v>
      </c>
    </row>
    <row r="499" spans="2:16" ht="15" x14ac:dyDescent="0.25">
      <c r="B499" s="223"/>
      <c r="C499" s="223"/>
      <c r="D499" s="223"/>
      <c r="E499" s="223"/>
      <c r="F499" s="223"/>
      <c r="G499" s="223"/>
      <c r="H499" s="226">
        <f>'HULP-velden'!$AE$210</f>
        <v>313000</v>
      </c>
      <c r="I499" s="223"/>
      <c r="J499" s="331">
        <f>+'HULP-velden'!$AJ$210</f>
        <v>-23.5</v>
      </c>
      <c r="K499" s="331">
        <f>+'HULP-velden'!$AK$210</f>
        <v>-13.5</v>
      </c>
      <c r="L499" s="331">
        <f>+'HULP-velden'!$AL$210</f>
        <v>-3.5000000000000004</v>
      </c>
      <c r="M499" s="331">
        <f>+'HULP-velden'!$AM$210</f>
        <v>6.5</v>
      </c>
      <c r="N499" s="331">
        <f>+'HULP-velden'!$AN$210</f>
        <v>16.5</v>
      </c>
      <c r="O499" s="331">
        <f>+'HULP-velden'!$AO$210</f>
        <v>26.5</v>
      </c>
      <c r="P499" s="331">
        <f>+'HULP-velden'!$AP$210</f>
        <v>36.5</v>
      </c>
    </row>
    <row r="500" spans="2:16" ht="15" x14ac:dyDescent="0.25">
      <c r="B500" s="223"/>
      <c r="C500" s="223"/>
      <c r="D500" s="223"/>
      <c r="E500" s="223"/>
      <c r="F500" s="223"/>
      <c r="G500" s="223"/>
      <c r="H500" s="226">
        <f>'HULP-velden'!$AE$211</f>
        <v>312000</v>
      </c>
      <c r="I500" s="223"/>
      <c r="J500" s="331">
        <f>+'HULP-velden'!$AJ$211</f>
        <v>-24</v>
      </c>
      <c r="K500" s="331">
        <f>+'HULP-velden'!$AK$211</f>
        <v>-14.000000000000002</v>
      </c>
      <c r="L500" s="331">
        <f>+'HULP-velden'!$AL$211</f>
        <v>-4</v>
      </c>
      <c r="M500" s="331">
        <f>+'HULP-velden'!$AM$211</f>
        <v>6</v>
      </c>
      <c r="N500" s="331">
        <f>+'HULP-velden'!$AN$211</f>
        <v>16</v>
      </c>
      <c r="O500" s="331">
        <f>+'HULP-velden'!$AO$211</f>
        <v>26</v>
      </c>
      <c r="P500" s="331">
        <f>+'HULP-velden'!$AP$211</f>
        <v>36</v>
      </c>
    </row>
    <row r="501" spans="2:16" ht="15" x14ac:dyDescent="0.25">
      <c r="B501" s="223"/>
      <c r="C501" s="223"/>
      <c r="D501" s="223"/>
      <c r="E501" s="223"/>
      <c r="F501" s="223"/>
      <c r="G501" s="223"/>
      <c r="H501" s="226">
        <f>'HULP-velden'!$AE$212</f>
        <v>311000</v>
      </c>
      <c r="I501" s="223"/>
      <c r="J501" s="331">
        <f>+'HULP-velden'!$AJ$212</f>
        <v>-24.5</v>
      </c>
      <c r="K501" s="331">
        <f>+'HULP-velden'!$AK$212</f>
        <v>-14.499999999999998</v>
      </c>
      <c r="L501" s="331">
        <f>+'HULP-velden'!$AL$212</f>
        <v>-4.5</v>
      </c>
      <c r="M501" s="331">
        <f>+'HULP-velden'!$AM$212</f>
        <v>5.5</v>
      </c>
      <c r="N501" s="331">
        <f>+'HULP-velden'!$AN$212</f>
        <v>15.5</v>
      </c>
      <c r="O501" s="331">
        <f>+'HULP-velden'!$AO$212</f>
        <v>25.5</v>
      </c>
      <c r="P501" s="331">
        <f>+'HULP-velden'!$AP$212</f>
        <v>35.5</v>
      </c>
    </row>
    <row r="502" spans="2:16" ht="15" x14ac:dyDescent="0.25">
      <c r="B502" s="223"/>
      <c r="C502" s="223"/>
      <c r="D502" s="223"/>
      <c r="E502" s="223"/>
      <c r="F502" s="223"/>
      <c r="G502" s="223"/>
      <c r="H502" s="226">
        <f>'HULP-velden'!$AE$213</f>
        <v>310000</v>
      </c>
      <c r="I502" s="223"/>
      <c r="J502" s="331">
        <f>+'HULP-velden'!$AJ$213</f>
        <v>-25</v>
      </c>
      <c r="K502" s="331">
        <f>+'HULP-velden'!$AK$213</f>
        <v>-15</v>
      </c>
      <c r="L502" s="331">
        <f>+'HULP-velden'!$AL$213</f>
        <v>-5</v>
      </c>
      <c r="M502" s="331">
        <f>+'HULP-velden'!$AM$213</f>
        <v>5</v>
      </c>
      <c r="N502" s="331">
        <f>+'HULP-velden'!$AN$213</f>
        <v>15</v>
      </c>
      <c r="O502" s="331">
        <f>+'HULP-velden'!$AO$213</f>
        <v>25</v>
      </c>
      <c r="P502" s="331">
        <f>+'HULP-velden'!$AP$213</f>
        <v>35</v>
      </c>
    </row>
    <row r="503" spans="2:16" ht="15" x14ac:dyDescent="0.25">
      <c r="B503" s="223"/>
      <c r="C503" s="223"/>
      <c r="D503" s="223"/>
      <c r="E503" s="223"/>
      <c r="F503" s="223"/>
      <c r="G503" s="223"/>
      <c r="H503" s="226">
        <f>'HULP-velden'!$AE$214</f>
        <v>309000</v>
      </c>
      <c r="I503" s="223"/>
      <c r="J503" s="331">
        <f>+'HULP-velden'!$AJ$214</f>
        <v>-25.5</v>
      </c>
      <c r="K503" s="331">
        <f>+'HULP-velden'!$AK$214</f>
        <v>-15.5</v>
      </c>
      <c r="L503" s="331">
        <f>+'HULP-velden'!$AL$214</f>
        <v>-5.5</v>
      </c>
      <c r="M503" s="331">
        <f>+'HULP-velden'!$AM$214</f>
        <v>4.5</v>
      </c>
      <c r="N503" s="331">
        <f>+'HULP-velden'!$AN$214</f>
        <v>14.499999999999998</v>
      </c>
      <c r="O503" s="331">
        <f>+'HULP-velden'!$AO$214</f>
        <v>24.5</v>
      </c>
      <c r="P503" s="331">
        <f>+'HULP-velden'!$AP$214</f>
        <v>34.5</v>
      </c>
    </row>
    <row r="504" spans="2:16" ht="15" x14ac:dyDescent="0.25">
      <c r="B504" s="223"/>
      <c r="C504" s="223"/>
      <c r="D504" s="223"/>
      <c r="E504" s="223"/>
      <c r="F504" s="223"/>
      <c r="G504" s="223"/>
      <c r="H504" s="226">
        <f>'HULP-velden'!$AE$215</f>
        <v>308000</v>
      </c>
      <c r="I504" s="223"/>
      <c r="J504" s="331">
        <f>+'HULP-velden'!$AJ$215</f>
        <v>-26</v>
      </c>
      <c r="K504" s="331">
        <f>+'HULP-velden'!$AK$215</f>
        <v>-16</v>
      </c>
      <c r="L504" s="331">
        <f>+'HULP-velden'!$AL$215</f>
        <v>-6</v>
      </c>
      <c r="M504" s="331">
        <f>+'HULP-velden'!$AM$215</f>
        <v>4</v>
      </c>
      <c r="N504" s="331">
        <f>+'HULP-velden'!$AN$215</f>
        <v>14.000000000000002</v>
      </c>
      <c r="O504" s="331">
        <f>+'HULP-velden'!$AO$215</f>
        <v>24</v>
      </c>
      <c r="P504" s="331">
        <f>+'HULP-velden'!$AP$215</f>
        <v>34</v>
      </c>
    </row>
    <row r="505" spans="2:16" ht="15" x14ac:dyDescent="0.25">
      <c r="B505" s="223"/>
      <c r="C505" s="223"/>
      <c r="D505" s="223"/>
      <c r="E505" s="223"/>
      <c r="F505" s="223"/>
      <c r="G505" s="223"/>
      <c r="H505" s="226">
        <f>'HULP-velden'!$AE$216</f>
        <v>307000</v>
      </c>
      <c r="I505" s="223"/>
      <c r="J505" s="331">
        <f>+'HULP-velden'!$AJ$216</f>
        <v>-26.5</v>
      </c>
      <c r="K505" s="331">
        <f>+'HULP-velden'!$AK$216</f>
        <v>-16.5</v>
      </c>
      <c r="L505" s="331">
        <f>+'HULP-velden'!$AL$216</f>
        <v>-6.5</v>
      </c>
      <c r="M505" s="331">
        <f>+'HULP-velden'!$AM$216</f>
        <v>3.5000000000000004</v>
      </c>
      <c r="N505" s="331">
        <f>+'HULP-velden'!$AN$216</f>
        <v>13.5</v>
      </c>
      <c r="O505" s="331">
        <f>+'HULP-velden'!$AO$216</f>
        <v>23.5</v>
      </c>
      <c r="P505" s="331">
        <f>+'HULP-velden'!$AP$216</f>
        <v>33.5</v>
      </c>
    </row>
    <row r="506" spans="2:16" ht="15" x14ac:dyDescent="0.25">
      <c r="B506" s="223"/>
      <c r="C506" s="223"/>
      <c r="D506" s="223"/>
      <c r="E506" s="223"/>
      <c r="F506" s="223"/>
      <c r="G506" s="223"/>
      <c r="H506" s="226">
        <f>'HULP-velden'!$AE$217</f>
        <v>306000</v>
      </c>
      <c r="I506" s="223"/>
      <c r="J506" s="331">
        <f>+'HULP-velden'!$AJ$217</f>
        <v>-27</v>
      </c>
      <c r="K506" s="331">
        <f>+'HULP-velden'!$AK$217</f>
        <v>-17</v>
      </c>
      <c r="L506" s="331">
        <f>+'HULP-velden'!$AL$217</f>
        <v>-7.0000000000000009</v>
      </c>
      <c r="M506" s="331">
        <f>+'HULP-velden'!$AM$217</f>
        <v>3</v>
      </c>
      <c r="N506" s="331">
        <f>+'HULP-velden'!$AN$217</f>
        <v>13</v>
      </c>
      <c r="O506" s="331">
        <f>+'HULP-velden'!$AO$217</f>
        <v>23</v>
      </c>
      <c r="P506" s="331">
        <f>+'HULP-velden'!$AP$217</f>
        <v>33</v>
      </c>
    </row>
    <row r="507" spans="2:16" ht="15" x14ac:dyDescent="0.25">
      <c r="B507" s="223"/>
      <c r="C507" s="223"/>
      <c r="D507" s="223"/>
      <c r="E507" s="223"/>
      <c r="F507" s="223"/>
      <c r="G507" s="223"/>
      <c r="H507" s="226">
        <f>'HULP-velden'!$AE$218</f>
        <v>305000</v>
      </c>
      <c r="I507" s="223"/>
      <c r="J507" s="331">
        <f>+'HULP-velden'!$AJ$218</f>
        <v>-27.500000000000004</v>
      </c>
      <c r="K507" s="331">
        <f>+'HULP-velden'!$AK$218</f>
        <v>-17.5</v>
      </c>
      <c r="L507" s="331">
        <f>+'HULP-velden'!$AL$218</f>
        <v>-7.5</v>
      </c>
      <c r="M507" s="331">
        <f>+'HULP-velden'!$AM$218</f>
        <v>2.5</v>
      </c>
      <c r="N507" s="331">
        <f>+'HULP-velden'!$AN$218</f>
        <v>12.5</v>
      </c>
      <c r="O507" s="331">
        <f>+'HULP-velden'!$AO$218</f>
        <v>22.5</v>
      </c>
      <c r="P507" s="331">
        <f>+'HULP-velden'!$AP$218</f>
        <v>32.5</v>
      </c>
    </row>
    <row r="508" spans="2:16" ht="15" x14ac:dyDescent="0.25">
      <c r="B508" s="223"/>
      <c r="C508" s="223"/>
      <c r="D508" s="223"/>
      <c r="E508" s="223"/>
      <c r="F508" s="223"/>
      <c r="G508" s="223"/>
      <c r="H508" s="226">
        <f>'HULP-velden'!$AE$219</f>
        <v>304000</v>
      </c>
      <c r="I508" s="223"/>
      <c r="J508" s="331">
        <f>+'HULP-velden'!$AJ$219</f>
        <v>-28.000000000000004</v>
      </c>
      <c r="K508" s="331">
        <f>+'HULP-velden'!$AK$219</f>
        <v>-18</v>
      </c>
      <c r="L508" s="331">
        <f>+'HULP-velden'!$AL$219</f>
        <v>-8</v>
      </c>
      <c r="M508" s="331">
        <f>+'HULP-velden'!$AM$219</f>
        <v>2</v>
      </c>
      <c r="N508" s="331">
        <f>+'HULP-velden'!$AN$219</f>
        <v>12</v>
      </c>
      <c r="O508" s="331">
        <f>+'HULP-velden'!$AO$219</f>
        <v>22</v>
      </c>
      <c r="P508" s="331">
        <f>+'HULP-velden'!$AP$219</f>
        <v>32</v>
      </c>
    </row>
    <row r="509" spans="2:16" ht="15" x14ac:dyDescent="0.25">
      <c r="B509" s="223"/>
      <c r="C509" s="223"/>
      <c r="D509" s="223"/>
      <c r="E509" s="223"/>
      <c r="F509" s="223"/>
      <c r="G509" s="223"/>
      <c r="H509" s="226">
        <f>'HULP-velden'!$AE$220</f>
        <v>303000</v>
      </c>
      <c r="I509" s="223"/>
      <c r="J509" s="331">
        <f>+'HULP-velden'!$AJ$220</f>
        <v>-28.499999999999996</v>
      </c>
      <c r="K509" s="331">
        <f>+'HULP-velden'!$AK$220</f>
        <v>-18.5</v>
      </c>
      <c r="L509" s="331">
        <f>+'HULP-velden'!$AL$220</f>
        <v>-8.5</v>
      </c>
      <c r="M509" s="331">
        <f>+'HULP-velden'!$AM$220</f>
        <v>1.5</v>
      </c>
      <c r="N509" s="331">
        <f>+'HULP-velden'!$AN$220</f>
        <v>11.5</v>
      </c>
      <c r="O509" s="331">
        <f>+'HULP-velden'!$AO$220</f>
        <v>21.5</v>
      </c>
      <c r="P509" s="331">
        <f>+'HULP-velden'!$AP$220</f>
        <v>31.5</v>
      </c>
    </row>
    <row r="510" spans="2:16" ht="15" x14ac:dyDescent="0.25">
      <c r="B510" s="223"/>
      <c r="C510" s="223"/>
      <c r="D510" s="223"/>
      <c r="E510" s="223"/>
      <c r="F510" s="223"/>
      <c r="G510" s="223"/>
      <c r="H510" s="226">
        <f>'HULP-velden'!$AE$221</f>
        <v>302000</v>
      </c>
      <c r="I510" s="223"/>
      <c r="J510" s="331">
        <f>+'HULP-velden'!$AJ$221</f>
        <v>-28.999999999999996</v>
      </c>
      <c r="K510" s="331">
        <f>+'HULP-velden'!$AK$221</f>
        <v>-19</v>
      </c>
      <c r="L510" s="331">
        <f>+'HULP-velden'!$AL$221</f>
        <v>-9</v>
      </c>
      <c r="M510" s="331">
        <f>+'HULP-velden'!$AM$221</f>
        <v>1</v>
      </c>
      <c r="N510" s="331">
        <f>+'HULP-velden'!$AN$221</f>
        <v>11</v>
      </c>
      <c r="O510" s="331">
        <f>+'HULP-velden'!$AO$221</f>
        <v>21</v>
      </c>
      <c r="P510" s="331">
        <f>+'HULP-velden'!$AP$221</f>
        <v>31</v>
      </c>
    </row>
    <row r="511" spans="2:16" ht="15" x14ac:dyDescent="0.25">
      <c r="B511" s="223"/>
      <c r="C511" s="223"/>
      <c r="D511" s="223"/>
      <c r="E511" s="223"/>
      <c r="F511" s="223"/>
      <c r="G511" s="223"/>
      <c r="H511" s="226">
        <f>'HULP-velden'!$AE$222</f>
        <v>301000</v>
      </c>
      <c r="I511" s="223"/>
      <c r="J511" s="331">
        <f>+'HULP-velden'!$AJ$222</f>
        <v>-29.5</v>
      </c>
      <c r="K511" s="331">
        <f>+'HULP-velden'!$AK$222</f>
        <v>-19.5</v>
      </c>
      <c r="L511" s="331">
        <f>+'HULP-velden'!$AL$222</f>
        <v>-9.5</v>
      </c>
      <c r="M511" s="331">
        <f>+'HULP-velden'!$AM$222</f>
        <v>0.5</v>
      </c>
      <c r="N511" s="331">
        <f>+'HULP-velden'!$AN$222</f>
        <v>10.5</v>
      </c>
      <c r="O511" s="331">
        <f>+'HULP-velden'!$AO$222</f>
        <v>20.5</v>
      </c>
      <c r="P511" s="331">
        <f>+'HULP-velden'!$AP$222</f>
        <v>30.5</v>
      </c>
    </row>
    <row r="512" spans="2:16" ht="15" x14ac:dyDescent="0.25">
      <c r="B512" s="223"/>
      <c r="C512" s="223"/>
      <c r="D512" s="223"/>
      <c r="E512" s="223"/>
      <c r="F512" s="223"/>
      <c r="G512" s="223"/>
      <c r="H512" s="226">
        <f>'HULP-velden'!$AE$223</f>
        <v>300000</v>
      </c>
      <c r="I512" s="223"/>
      <c r="J512" s="331">
        <f>+'HULP-velden'!$AJ$223</f>
        <v>-30</v>
      </c>
      <c r="K512" s="331">
        <f>+'HULP-velden'!$AK$223</f>
        <v>-20</v>
      </c>
      <c r="L512" s="331">
        <f>+'HULP-velden'!$AL$223</f>
        <v>-10</v>
      </c>
      <c r="M512" s="331">
        <f>+'HULP-velden'!$AM$223</f>
        <v>0</v>
      </c>
      <c r="N512" s="331">
        <f>+'HULP-velden'!$AN$223</f>
        <v>10</v>
      </c>
      <c r="O512" s="331">
        <f>+'HULP-velden'!$AO$223</f>
        <v>20</v>
      </c>
      <c r="P512" s="331">
        <f>+'HULP-velden'!$AP$223</f>
        <v>30</v>
      </c>
    </row>
  </sheetData>
  <sheetProtection algorithmName="SHA-512" hashValue="6N93QUommDCrGVH5DKjE8HMp1+f/Vj31R8LNpLyzXO4rHHAtYSeNeg4wZv/E4jTZ+g8xPweckaLoLOQlmkYZ6g==" saltValue="zfEXG1nBO0wep8Kjen3aaQ==" spinCount="100000" sheet="1" objects="1" scenarios="1"/>
  <mergeCells count="3">
    <mergeCell ref="V17:W19"/>
    <mergeCell ref="L44:M45"/>
    <mergeCell ref="E85:E86"/>
  </mergeCells>
  <conditionalFormatting sqref="B87:B98">
    <cfRule type="expression" dxfId="0" priority="15">
      <formula>H87=1</formula>
    </cfRule>
  </conditionalFormatting>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7efabe30-8cd7-44ff-a516-5db03a0430e7}" enabled="1" method="Standard" siteId="{c8fba477-6d4d-4f00-941a-6e6150c721f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9</vt:i4>
      </vt:variant>
      <vt:variant>
        <vt:lpstr>Benoemde bereiken</vt:lpstr>
      </vt:variant>
      <vt:variant>
        <vt:i4>3</vt:i4>
      </vt:variant>
    </vt:vector>
  </HeadingPairs>
  <TitlesOfParts>
    <vt:vector size="12" baseType="lpstr">
      <vt:lpstr>Disclaimer</vt:lpstr>
      <vt:lpstr>Dashboard</vt:lpstr>
      <vt:lpstr>Scoregraph Prijs</vt:lpstr>
      <vt:lpstr>Info BD</vt:lpstr>
      <vt:lpstr>Scenarioanalyse</vt:lpstr>
      <vt:lpstr>Offertes</vt:lpstr>
      <vt:lpstr>TBV Onderzoek</vt:lpstr>
      <vt:lpstr>BPK-Grafiek</vt:lpstr>
      <vt:lpstr>HULP-velden</vt:lpstr>
      <vt:lpstr>DATA_BPKgrafiek</vt:lpstr>
      <vt:lpstr>Grafiekassen</vt:lpstr>
      <vt:lpstr>Grafiekassen_Scoregraph</vt:lpstr>
    </vt:vector>
  </TitlesOfParts>
  <Company>Ministerie van Financien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P.C. van Dorth</dc:creator>
  <cp:lastModifiedBy>Eigenaar</cp:lastModifiedBy>
  <dcterms:created xsi:type="dcterms:W3CDTF">2021-04-01T09:01:51Z</dcterms:created>
  <dcterms:modified xsi:type="dcterms:W3CDTF">2026-09-11T11:58:44Z</dcterms:modified>
</cp:coreProperties>
</file>