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T:\RVO\NP\PIANOO\XXXXXXClusterVirtueel\pianoo.nl\Content\Archief geplaatste documenten\MVI (duurzaam inkopen)\Publicaties leernetwerken\"/>
    </mc:Choice>
  </mc:AlternateContent>
  <xr:revisionPtr revIDLastSave="0" documentId="8_{E30CC67C-6A4C-4274-BD0B-4A5DF4606C69}" xr6:coauthVersionLast="36" xr6:coauthVersionMax="36" xr10:uidLastSave="{00000000-0000-0000-0000-000000000000}"/>
  <workbookProtection workbookPassword="F10C" lockStructure="1"/>
  <bookViews>
    <workbookView xWindow="360" yWindow="120" windowWidth="15000" windowHeight="5310" xr2:uid="{00000000-000D-0000-FFFF-FFFF00000000}"/>
  </bookViews>
  <sheets>
    <sheet name="Invulsheet" sheetId="7" r:id="rId1"/>
    <sheet name="Achtergrond data" sheetId="6" state="hidden" r:id="rId2"/>
    <sheet name="Brandstof gegevens" sheetId="9" state="hidden" r:id="rId3"/>
    <sheet name="Emissies" sheetId="10" state="hidden" r:id="rId4"/>
    <sheet name="Versiebeheer" sheetId="11" state="hidden" r:id="rId5"/>
    <sheet name="Inleesgegevens" sheetId="8" state="hidden" r:id="rId6"/>
  </sheets>
  <definedNames>
    <definedName name="Aardgas_CNG">#REF!</definedName>
    <definedName name="Benzine">#REF!</definedName>
    <definedName name="Bio_CNG">#REF!</definedName>
    <definedName name="Biodiesel">#REF!</definedName>
    <definedName name="Bioethanol">#REF!</definedName>
    <definedName name="Brandstof_Type">#REF!</definedName>
    <definedName name="Brandstoftype">OFFSET('Achtergrond data'!$C$6,0,0,COUNTA('Achtergrond data'!$C$6:$C$36))</definedName>
    <definedName name="Diesel">#REF!</definedName>
    <definedName name="Elektrisch_grijs">#REF!</definedName>
    <definedName name="Elektrisch_groen">#REF!</definedName>
    <definedName name="Euronorm">#REF!</definedName>
    <definedName name="LPG">#REF!</definedName>
    <definedName name="order">OFFSET('Achtergrond data'!$B$6,0,0,COUNTA('Achtergrond data'!$B$6:$B$36))</definedName>
    <definedName name="uniqueorder">OFFSET(#REF!,0,0,COUNT(IF(#REF!="","",1)),1)</definedName>
    <definedName name="v.version">Versiebeheer!$A$2</definedName>
    <definedName name="v.versionDate">Versiebeheer!$B$2</definedName>
    <definedName name="Waterstof">#REF!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3" i="7" l="1"/>
  <c r="S13" i="7"/>
  <c r="W22" i="7" l="1"/>
  <c r="Q13" i="7" l="1"/>
  <c r="J4" i="7" l="1"/>
  <c r="J3" i="7"/>
  <c r="W14" i="7" l="1"/>
  <c r="W15" i="7"/>
  <c r="W16" i="7"/>
  <c r="W17" i="7"/>
  <c r="W18" i="7"/>
  <c r="W19" i="7"/>
  <c r="W20" i="7"/>
  <c r="W21" i="7"/>
  <c r="O36" i="6" l="1"/>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13" i="7"/>
  <c r="I25" i="6" l="1"/>
  <c r="I78" i="6" l="1"/>
  <c r="I5" i="6" l="1"/>
  <c r="E56" i="6"/>
  <c r="I4" i="6" s="1"/>
  <c r="I8" i="6"/>
  <c r="O17" i="7" l="1"/>
  <c r="O18" i="7"/>
  <c r="O19" i="7"/>
  <c r="O20" i="7"/>
  <c r="O21" i="7"/>
  <c r="O22" i="7"/>
  <c r="O14" i="7"/>
  <c r="O15" i="7"/>
  <c r="O16" i="7"/>
  <c r="H31" i="6"/>
  <c r="F31" i="6"/>
  <c r="S14" i="7"/>
  <c r="S15" i="7"/>
  <c r="S16" i="7"/>
  <c r="S17" i="7"/>
  <c r="S18" i="7"/>
  <c r="S19" i="7"/>
  <c r="S20" i="7"/>
  <c r="S21" i="7"/>
  <c r="S22" i="7"/>
  <c r="T14" i="7" l="1"/>
  <c r="T15" i="7"/>
  <c r="U15" i="7" s="1"/>
  <c r="T16" i="7"/>
  <c r="T17" i="7"/>
  <c r="U17" i="7" s="1"/>
  <c r="T18" i="7"/>
  <c r="T19" i="7"/>
  <c r="T20" i="7"/>
  <c r="U20" i="7" s="1"/>
  <c r="T21" i="7"/>
  <c r="U21" i="7" s="1"/>
  <c r="T22" i="7"/>
  <c r="U22" i="7" s="1"/>
  <c r="U18" i="7"/>
  <c r="U19" i="7"/>
  <c r="I22" i="6"/>
  <c r="I9" i="6"/>
  <c r="I10" i="6"/>
  <c r="I11" i="6"/>
  <c r="I34" i="6"/>
  <c r="I31" i="6"/>
  <c r="I26" i="6"/>
  <c r="X14" i="7"/>
  <c r="Y14" i="7"/>
  <c r="Z14" i="7"/>
  <c r="AA14" i="7"/>
  <c r="X15" i="7"/>
  <c r="Y15" i="7"/>
  <c r="Z15" i="7"/>
  <c r="AA15" i="7"/>
  <c r="X16" i="7"/>
  <c r="Y16" i="7"/>
  <c r="Z16" i="7"/>
  <c r="AA16" i="7"/>
  <c r="X17" i="7"/>
  <c r="Y17" i="7"/>
  <c r="Z17" i="7"/>
  <c r="AA17" i="7"/>
  <c r="X18" i="7"/>
  <c r="Y18" i="7"/>
  <c r="Z18" i="7"/>
  <c r="AA18" i="7"/>
  <c r="X19" i="7"/>
  <c r="Y19" i="7"/>
  <c r="Z19" i="7"/>
  <c r="AA19" i="7"/>
  <c r="X20" i="7"/>
  <c r="Y20" i="7"/>
  <c r="Z20" i="7"/>
  <c r="AA20" i="7"/>
  <c r="X21" i="7"/>
  <c r="Y21" i="7"/>
  <c r="Z21" i="7"/>
  <c r="AA21" i="7"/>
  <c r="X22" i="7"/>
  <c r="Y22" i="7"/>
  <c r="Z22" i="7"/>
  <c r="AA22" i="7"/>
  <c r="Q14" i="7"/>
  <c r="Q15" i="7"/>
  <c r="Q16" i="7"/>
  <c r="Q17" i="7"/>
  <c r="Q18" i="7"/>
  <c r="Q19" i="7"/>
  <c r="Q20" i="7"/>
  <c r="Q21" i="7"/>
  <c r="Q22" i="7"/>
  <c r="I36" i="6" l="1"/>
  <c r="I33" i="6"/>
  <c r="I30" i="6"/>
  <c r="I29" i="6"/>
  <c r="I28" i="6"/>
  <c r="I23" i="6" l="1"/>
  <c r="I24" i="6"/>
  <c r="I7" i="6" l="1"/>
  <c r="A33" i="6"/>
  <c r="X33" i="6"/>
  <c r="U33" i="6"/>
  <c r="Y33" i="6"/>
  <c r="T33" i="6"/>
  <c r="P33" i="6"/>
  <c r="Q33" i="6"/>
  <c r="G33" i="6"/>
  <c r="H33" i="6"/>
  <c r="O33" i="6" l="1"/>
  <c r="F33" i="6"/>
  <c r="G4" i="6"/>
  <c r="F4" i="6" s="1"/>
  <c r="H5" i="6"/>
  <c r="F5" i="6" s="1"/>
  <c r="H4" i="6"/>
  <c r="A5" i="6"/>
  <c r="A4" i="6"/>
  <c r="X36" i="6"/>
  <c r="V78" i="6"/>
  <c r="U34" i="6"/>
  <c r="T34" i="6"/>
  <c r="U35" i="6"/>
  <c r="T35" i="6"/>
  <c r="U78" i="6"/>
  <c r="T78" i="6"/>
  <c r="Q35" i="6"/>
  <c r="P35" i="6"/>
  <c r="O35" i="6" s="1"/>
  <c r="Q34" i="6"/>
  <c r="P34" i="6"/>
  <c r="O34" i="6" l="1"/>
  <c r="H34" i="6"/>
  <c r="F34" i="6" s="1"/>
  <c r="A78" i="6"/>
  <c r="A35" i="6"/>
  <c r="A34" i="6"/>
  <c r="P78" i="6"/>
  <c r="Q78" i="6"/>
  <c r="H78" i="6"/>
  <c r="F78" i="6" s="1"/>
  <c r="O78" i="6" l="1"/>
  <c r="U32" i="6"/>
  <c r="T32" i="6"/>
  <c r="U31" i="6"/>
  <c r="T31" i="6"/>
  <c r="R32" i="6"/>
  <c r="S32" i="6" s="1"/>
  <c r="R31" i="6"/>
  <c r="S31" i="6" s="1"/>
  <c r="A32" i="6"/>
  <c r="A31" i="6"/>
  <c r="Y23" i="6" l="1"/>
  <c r="X23" i="6"/>
  <c r="Q13" i="10" l="1"/>
  <c r="Q14" i="10"/>
  <c r="Q15" i="10"/>
  <c r="Q16" i="10"/>
  <c r="P13" i="10"/>
  <c r="P14" i="10"/>
  <c r="P15" i="10"/>
  <c r="P16" i="10"/>
  <c r="X24" i="6"/>
  <c r="Y36" i="6" l="1"/>
  <c r="Y30" i="6"/>
  <c r="X30" i="6"/>
  <c r="Y29" i="6"/>
  <c r="X29" i="6"/>
  <c r="Y28" i="6"/>
  <c r="X28" i="6"/>
  <c r="Y7" i="6"/>
  <c r="Y8" i="6"/>
  <c r="Y9" i="6"/>
  <c r="Y10" i="6"/>
  <c r="Y11" i="6"/>
  <c r="Y6" i="6"/>
  <c r="X11" i="6"/>
  <c r="X10" i="6"/>
  <c r="X7" i="6"/>
  <c r="X8" i="6"/>
  <c r="X9" i="6"/>
  <c r="X6" i="6"/>
  <c r="X16" i="6"/>
  <c r="Y16" i="6"/>
  <c r="X17" i="6"/>
  <c r="Y17" i="6"/>
  <c r="X18" i="6"/>
  <c r="Y18" i="6"/>
  <c r="X19" i="6"/>
  <c r="Y19" i="6"/>
  <c r="X20" i="6"/>
  <c r="Y20" i="6"/>
  <c r="X21" i="6"/>
  <c r="Y21" i="6"/>
  <c r="X22" i="6"/>
  <c r="Y22" i="6"/>
  <c r="Y24" i="6"/>
  <c r="Y15" i="6"/>
  <c r="X15" i="6"/>
  <c r="Y14" i="6"/>
  <c r="X14" i="6"/>
  <c r="Y13" i="6"/>
  <c r="X13" i="6"/>
  <c r="Y12" i="6"/>
  <c r="X12" i="6"/>
  <c r="U30" i="6" l="1"/>
  <c r="U36" i="6"/>
  <c r="U7" i="6"/>
  <c r="U8" i="6"/>
  <c r="U9" i="6"/>
  <c r="U10" i="6"/>
  <c r="U11" i="6"/>
  <c r="U12" i="6"/>
  <c r="U13" i="6"/>
  <c r="U14" i="6"/>
  <c r="U15" i="6"/>
  <c r="U16" i="6"/>
  <c r="U17" i="6"/>
  <c r="U18" i="6"/>
  <c r="U19" i="6"/>
  <c r="U20" i="6"/>
  <c r="U21" i="6"/>
  <c r="U22" i="6"/>
  <c r="U23" i="6"/>
  <c r="U24" i="6"/>
  <c r="U25" i="6"/>
  <c r="U26" i="6"/>
  <c r="U27" i="6"/>
  <c r="U28" i="6"/>
  <c r="U6" i="6"/>
  <c r="U29" i="6"/>
  <c r="T29" i="6"/>
  <c r="T36" i="6"/>
  <c r="T30" i="6"/>
  <c r="T28" i="6"/>
  <c r="T7" i="6"/>
  <c r="T8" i="6"/>
  <c r="T9" i="6"/>
  <c r="T10" i="6"/>
  <c r="T11" i="6"/>
  <c r="T12" i="6"/>
  <c r="T13" i="6"/>
  <c r="T14" i="6"/>
  <c r="T15" i="6"/>
  <c r="T16" i="6"/>
  <c r="T17" i="6"/>
  <c r="T18" i="6"/>
  <c r="T19" i="6"/>
  <c r="T20" i="6"/>
  <c r="T21" i="6"/>
  <c r="T22" i="6"/>
  <c r="T23" i="6"/>
  <c r="T24" i="6"/>
  <c r="T25" i="6"/>
  <c r="T26" i="6"/>
  <c r="T27" i="6"/>
  <c r="T6" i="6"/>
  <c r="A3" i="8" l="1"/>
  <c r="B3" i="8"/>
  <c r="C3" i="8"/>
  <c r="D3" i="8"/>
  <c r="E3" i="8"/>
  <c r="F3" i="8"/>
  <c r="G3" i="8"/>
  <c r="A4" i="8"/>
  <c r="B4" i="8"/>
  <c r="C4" i="8"/>
  <c r="D4" i="8"/>
  <c r="E4" i="8"/>
  <c r="F4" i="8"/>
  <c r="G4" i="8"/>
  <c r="A5" i="8"/>
  <c r="B5" i="8"/>
  <c r="C5" i="8"/>
  <c r="D5" i="8"/>
  <c r="E5" i="8"/>
  <c r="F5" i="8"/>
  <c r="G5" i="8"/>
  <c r="A6" i="8"/>
  <c r="B6" i="8"/>
  <c r="C6" i="8"/>
  <c r="D6" i="8"/>
  <c r="E6" i="8"/>
  <c r="F6" i="8"/>
  <c r="G6" i="8"/>
  <c r="A7" i="8"/>
  <c r="B7" i="8"/>
  <c r="C7" i="8"/>
  <c r="D7" i="8"/>
  <c r="E7" i="8"/>
  <c r="F7" i="8"/>
  <c r="G7" i="8"/>
  <c r="A8" i="8"/>
  <c r="B8" i="8"/>
  <c r="C8" i="8"/>
  <c r="D8" i="8"/>
  <c r="E8" i="8"/>
  <c r="F8" i="8"/>
  <c r="G8" i="8"/>
  <c r="A9" i="8"/>
  <c r="B9" i="8"/>
  <c r="C9" i="8"/>
  <c r="D9" i="8"/>
  <c r="E9" i="8"/>
  <c r="F9" i="8"/>
  <c r="G9" i="8"/>
  <c r="A10" i="8"/>
  <c r="B10" i="8"/>
  <c r="C10" i="8"/>
  <c r="D10" i="8"/>
  <c r="E10" i="8"/>
  <c r="F10" i="8"/>
  <c r="G10" i="8"/>
  <c r="A11" i="8"/>
  <c r="B11" i="8"/>
  <c r="C11" i="8"/>
  <c r="D11" i="8"/>
  <c r="E11" i="8"/>
  <c r="F11" i="8"/>
  <c r="G11" i="8"/>
  <c r="G2" i="8"/>
  <c r="G1" i="8"/>
  <c r="R18" i="7" l="1"/>
  <c r="V18" i="7"/>
  <c r="R17" i="7"/>
  <c r="V17" i="7"/>
  <c r="R16" i="7"/>
  <c r="V16" i="7"/>
  <c r="F2" i="8"/>
  <c r="F1" i="8"/>
  <c r="B1" i="8"/>
  <c r="C1" i="8"/>
  <c r="D1" i="8"/>
  <c r="E1" i="8"/>
  <c r="B2" i="8"/>
  <c r="C2" i="8"/>
  <c r="D2" i="8"/>
  <c r="E2" i="8"/>
  <c r="A1" i="8"/>
  <c r="R6" i="6"/>
  <c r="R16" i="6"/>
  <c r="S16" i="6" s="1"/>
  <c r="R21" i="7" l="1"/>
  <c r="V21" i="7"/>
  <c r="R19" i="7"/>
  <c r="V19" i="7"/>
  <c r="R22" i="7"/>
  <c r="V22" i="7"/>
  <c r="R20" i="7"/>
  <c r="V20" i="7"/>
  <c r="F41" i="6"/>
  <c r="E42" i="6"/>
  <c r="E58" i="6" l="1"/>
  <c r="R21" i="6" l="1"/>
  <c r="S21" i="6" s="1"/>
  <c r="R20" i="6"/>
  <c r="S20" i="6" s="1"/>
  <c r="R19" i="6"/>
  <c r="S19" i="6" s="1"/>
  <c r="R18" i="6"/>
  <c r="S18" i="6" s="1"/>
  <c r="R7" i="6"/>
  <c r="S7" i="6" s="1"/>
  <c r="R8" i="6"/>
  <c r="S8" i="6" s="1"/>
  <c r="R9" i="6"/>
  <c r="S9" i="6" s="1"/>
  <c r="R10" i="6"/>
  <c r="S10" i="6" s="1"/>
  <c r="R11" i="6"/>
  <c r="S11" i="6" s="1"/>
  <c r="R12" i="6"/>
  <c r="S12" i="6" s="1"/>
  <c r="R13" i="6"/>
  <c r="S13" i="6" s="1"/>
  <c r="R14" i="6"/>
  <c r="S14" i="6" s="1"/>
  <c r="R15" i="6"/>
  <c r="S15" i="6" s="1"/>
  <c r="R17" i="6"/>
  <c r="S17" i="6" s="1"/>
  <c r="R22" i="6"/>
  <c r="S22" i="6" s="1"/>
  <c r="R23" i="6"/>
  <c r="S23" i="6" s="1"/>
  <c r="R24" i="6"/>
  <c r="S24" i="6" s="1"/>
  <c r="R25" i="6"/>
  <c r="S25" i="6" s="1"/>
  <c r="R26" i="6"/>
  <c r="S26" i="6" s="1"/>
  <c r="R27" i="6"/>
  <c r="S27" i="6" s="1"/>
  <c r="R28" i="6"/>
  <c r="S28" i="6" s="1"/>
  <c r="R29" i="6"/>
  <c r="S29" i="6" s="1"/>
  <c r="R30" i="6"/>
  <c r="S30" i="6" s="1"/>
  <c r="R36" i="6"/>
  <c r="S36" i="6" s="1"/>
  <c r="S6" i="6"/>
  <c r="A2" i="8" l="1"/>
  <c r="F42" i="6" l="1"/>
  <c r="F51" i="6" s="1"/>
  <c r="F43" i="6"/>
  <c r="F53" i="6" s="1"/>
  <c r="F44" i="6"/>
  <c r="F52" i="6" s="1"/>
  <c r="F45" i="6"/>
  <c r="F50" i="6" s="1"/>
  <c r="F58" i="6" l="1"/>
  <c r="E55" i="6"/>
  <c r="V5" i="6" l="1"/>
  <c r="V9" i="6"/>
  <c r="V13" i="6"/>
  <c r="V17" i="6"/>
  <c r="V21" i="6"/>
  <c r="V25" i="6"/>
  <c r="V29" i="6"/>
  <c r="V33" i="6"/>
  <c r="V4" i="6"/>
  <c r="V6" i="6"/>
  <c r="V10" i="6"/>
  <c r="V14" i="6"/>
  <c r="V18" i="6"/>
  <c r="V22" i="6"/>
  <c r="V26" i="6"/>
  <c r="V30" i="6"/>
  <c r="V34" i="6"/>
  <c r="V7" i="6"/>
  <c r="V11" i="6"/>
  <c r="V15" i="6"/>
  <c r="V19" i="6"/>
  <c r="V23" i="6"/>
  <c r="V27" i="6"/>
  <c r="V31" i="6"/>
  <c r="V35" i="6"/>
  <c r="V8" i="6"/>
  <c r="V12" i="6"/>
  <c r="V16" i="6"/>
  <c r="V20" i="6"/>
  <c r="V24" i="6"/>
  <c r="V28" i="6"/>
  <c r="V32" i="6"/>
  <c r="V36" i="6"/>
  <c r="I35" i="6"/>
  <c r="I32" i="6"/>
  <c r="I27" i="6"/>
  <c r="I13" i="6"/>
  <c r="I15" i="6"/>
  <c r="I6" i="6"/>
  <c r="I14" i="6"/>
  <c r="I12" i="6"/>
  <c r="A6" i="6"/>
  <c r="A7" i="6"/>
  <c r="A8" i="6"/>
  <c r="A9" i="6"/>
  <c r="A10" i="6"/>
  <c r="A11" i="6"/>
  <c r="A12" i="6"/>
  <c r="A13" i="6"/>
  <c r="A14" i="6"/>
  <c r="A15" i="6"/>
  <c r="A16" i="6"/>
  <c r="A17" i="6"/>
  <c r="A18" i="6"/>
  <c r="A19" i="6"/>
  <c r="A20" i="6"/>
  <c r="A21" i="6"/>
  <c r="A22" i="6"/>
  <c r="A23" i="6"/>
  <c r="A24" i="6"/>
  <c r="A25" i="6"/>
  <c r="A26" i="6"/>
  <c r="A27" i="6"/>
  <c r="A28" i="6"/>
  <c r="A29" i="6"/>
  <c r="A30" i="6"/>
  <c r="A36" i="6"/>
  <c r="AA13" i="7" l="1"/>
  <c r="Z13" i="7"/>
  <c r="V13" i="7"/>
  <c r="T13" i="7"/>
  <c r="U13" i="7" s="1"/>
  <c r="Y13" i="7"/>
  <c r="X13" i="7"/>
  <c r="P15" i="7"/>
  <c r="P17" i="7"/>
  <c r="P19" i="7"/>
  <c r="P21" i="7"/>
  <c r="P16" i="7"/>
  <c r="P18" i="7"/>
  <c r="P20" i="7"/>
  <c r="P22" i="7"/>
  <c r="U14" i="7"/>
  <c r="U16" i="7"/>
  <c r="E57" i="6"/>
  <c r="I17" i="6" l="1"/>
  <c r="I19" i="6"/>
  <c r="I21" i="6"/>
  <c r="I18" i="6"/>
  <c r="I20" i="6"/>
  <c r="I16" i="6"/>
  <c r="U23" i="7"/>
  <c r="X23" i="7"/>
  <c r="V15" i="7"/>
  <c r="R15" i="7"/>
  <c r="Y23" i="7"/>
  <c r="Z23" i="7"/>
  <c r="AA23" i="7"/>
  <c r="V14" i="7"/>
  <c r="R14" i="7"/>
  <c r="W23" i="7"/>
  <c r="R13" i="7"/>
  <c r="E27" i="7" l="1"/>
  <c r="E29" i="7"/>
  <c r="E28" i="7"/>
  <c r="V23" i="7"/>
  <c r="R23" i="7"/>
  <c r="E43" i="6"/>
  <c r="E44" i="6"/>
  <c r="E45" i="6"/>
  <c r="E41" i="6"/>
  <c r="F32" i="6" s="1"/>
  <c r="H35" i="6" l="1"/>
  <c r="P13" i="7" s="1"/>
  <c r="H32" i="6"/>
  <c r="H27" i="6"/>
  <c r="F35" i="6" l="1"/>
  <c r="F27" i="6"/>
  <c r="P14" i="7"/>
  <c r="P23" i="7" s="1"/>
  <c r="E2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Dekker</author>
    <author>Elias de Valk</author>
  </authors>
  <commentList>
    <comment ref="K1" authorId="0" shapeId="0" xr:uid="{00000000-0006-0000-0100-000001000000}">
      <text>
        <r>
          <rPr>
            <b/>
            <sz val="9"/>
            <color indexed="81"/>
            <rFont val="Tahoma"/>
            <family val="2"/>
          </rPr>
          <t>Erik Dekker:</t>
        </r>
        <r>
          <rPr>
            <sz val="9"/>
            <color indexed="81"/>
            <rFont val="Tahoma"/>
            <family val="2"/>
          </rPr>
          <t xml:space="preserve">
Alles in blauw zijn allemaal referentie voertuigen</t>
        </r>
      </text>
    </comment>
    <comment ref="T2" authorId="0" shapeId="0" xr:uid="{00000000-0006-0000-0100-000002000000}">
      <text>
        <r>
          <rPr>
            <b/>
            <sz val="9"/>
            <color indexed="81"/>
            <rFont val="Tahoma"/>
            <family val="2"/>
          </rPr>
          <t>Erik Dekker:</t>
        </r>
        <r>
          <rPr>
            <sz val="9"/>
            <color indexed="81"/>
            <rFont val="Tahoma"/>
            <family val="2"/>
          </rPr>
          <t xml:space="preserve">
Dit zijn alleen maar TTW emissies, dit zou mooier zijn wanneer het WTW emissies zijn en het niet langer theoretische </t>
        </r>
      </text>
    </comment>
    <comment ref="I5" authorId="0" shapeId="0" xr:uid="{00000000-0006-0000-0100-000003000000}">
      <text>
        <r>
          <rPr>
            <b/>
            <sz val="9"/>
            <color indexed="81"/>
            <rFont val="Tahoma"/>
            <family val="2"/>
          </rPr>
          <t>Erik Dekker:</t>
        </r>
        <r>
          <rPr>
            <sz val="9"/>
            <color indexed="81"/>
            <rFont val="Tahoma"/>
            <family val="2"/>
          </rPr>
          <t xml:space="preserve">
verbruik van 0,03 kWh/km</t>
        </r>
      </text>
    </comment>
    <comment ref="X15" authorId="0" shapeId="0" xr:uid="{00000000-0006-0000-0100-000004000000}">
      <text>
        <r>
          <rPr>
            <b/>
            <sz val="9"/>
            <color indexed="81"/>
            <rFont val="Tahoma"/>
            <family val="2"/>
          </rPr>
          <t>Erik Dekker:</t>
        </r>
        <r>
          <rPr>
            <sz val="9"/>
            <color indexed="81"/>
            <rFont val="Tahoma"/>
            <family val="2"/>
          </rPr>
          <t xml:space="preserve">
Als Diesel, niet helemaal juist</t>
        </r>
      </text>
    </comment>
    <comment ref="I25" authorId="0" shapeId="0" xr:uid="{00000000-0006-0000-0100-000005000000}">
      <text>
        <r>
          <rPr>
            <b/>
            <sz val="9"/>
            <color indexed="81"/>
            <rFont val="Tahoma"/>
            <family val="2"/>
          </rPr>
          <t>Erik Dekker:</t>
        </r>
        <r>
          <rPr>
            <sz val="9"/>
            <color indexed="81"/>
            <rFont val="Tahoma"/>
            <family val="2"/>
          </rPr>
          <t xml:space="preserve">
Hydrogen, liquid [RER]| market for \ Cut-off, U
ReCiPe 2016 (H)</t>
        </r>
      </text>
    </comment>
    <comment ref="A33" authorId="0" shapeId="0" xr:uid="{00000000-0006-0000-0100-000006000000}">
      <text>
        <r>
          <rPr>
            <b/>
            <sz val="9"/>
            <color indexed="81"/>
            <rFont val="Tahoma"/>
            <family val="2"/>
          </rPr>
          <t>Erik Dekker:</t>
        </r>
        <r>
          <rPr>
            <sz val="9"/>
            <color indexed="81"/>
            <rFont val="Tahoma"/>
            <family val="2"/>
          </rPr>
          <t xml:space="preserve">
De CO2 emissies van deze lijken nog niet helemaal te kloppen</t>
        </r>
      </text>
    </comment>
    <comment ref="X33" authorId="0" shapeId="0" xr:uid="{00000000-0006-0000-0100-000007000000}">
      <text>
        <r>
          <rPr>
            <b/>
            <sz val="9"/>
            <color indexed="81"/>
            <rFont val="Tahoma"/>
            <family val="2"/>
          </rPr>
          <t>Erik Dekker:</t>
        </r>
        <r>
          <rPr>
            <sz val="9"/>
            <color indexed="81"/>
            <rFont val="Tahoma"/>
            <family val="2"/>
          </rPr>
          <t xml:space="preserve">
Dit is itt de ref wel op praktijk emissies gebaseerd
</t>
        </r>
      </text>
    </comment>
    <comment ref="K40" authorId="0" shapeId="0" xr:uid="{00000000-0006-0000-0100-000008000000}">
      <text>
        <r>
          <rPr>
            <b/>
            <sz val="9"/>
            <color indexed="81"/>
            <rFont val="Tahoma"/>
            <family val="2"/>
          </rPr>
          <t>Erik Dekker:</t>
        </r>
        <r>
          <rPr>
            <sz val="9"/>
            <color indexed="81"/>
            <rFont val="Tahoma"/>
            <family val="2"/>
          </rPr>
          <t xml:space="preserve">
https://www.co2emissiefactoren.nl/lijst-emissiefactoren/#brandstoffen_voertuigen</t>
        </r>
      </text>
    </comment>
    <comment ref="E50" authorId="1" shapeId="0" xr:uid="{00000000-0006-0000-0100-000009000000}">
      <text>
        <r>
          <rPr>
            <b/>
            <sz val="9"/>
            <color indexed="81"/>
            <rFont val="Tahoma"/>
            <family val="2"/>
          </rPr>
          <t>Elias de Valk:</t>
        </r>
        <r>
          <rPr>
            <sz val="9"/>
            <color indexed="81"/>
            <rFont val="Tahoma"/>
            <family val="2"/>
          </rPr>
          <t xml:space="preserve">
Dit is eigenlijk niet zo'n mooie bron voor dit getal. 
Erik: Dit is KgOE bespaart obv grijze stroom</t>
        </r>
      </text>
    </comment>
    <comment ref="F50" authorId="0" shapeId="0" xr:uid="{00000000-0006-0000-0100-00000A000000}">
      <text>
        <r>
          <rPr>
            <b/>
            <sz val="9"/>
            <color indexed="81"/>
            <rFont val="Tahoma"/>
            <family val="2"/>
          </rPr>
          <t>Erik Dekker:</t>
        </r>
        <r>
          <rPr>
            <sz val="9"/>
            <color indexed="81"/>
            <rFont val="Tahoma"/>
            <family val="2"/>
          </rPr>
          <t xml:space="preserve">
Bij 100% groene stroom, de kgOE/kWh van Biomassa</t>
        </r>
      </text>
    </comment>
    <comment ref="E58" authorId="0" shapeId="0" xr:uid="{00000000-0006-0000-0100-00000B000000}">
      <text>
        <r>
          <rPr>
            <b/>
            <sz val="9"/>
            <color indexed="81"/>
            <rFont val="Tahoma"/>
            <family val="2"/>
          </rPr>
          <t>Erik Dekker:</t>
        </r>
        <r>
          <rPr>
            <sz val="9"/>
            <color indexed="81"/>
            <rFont val="Tahoma"/>
            <family val="2"/>
          </rPr>
          <t xml:space="preserve">
Bij grijze stroom het deel groene stroom dat zorgt voor vermeden OE; Moet nog uitgebreid worden met OE die het kost om het fossiele deel van deze kWh te maken</t>
        </r>
      </text>
    </comment>
    <comment ref="F58" authorId="0" shapeId="0" xr:uid="{00000000-0006-0000-0100-00000C000000}">
      <text>
        <r>
          <rPr>
            <b/>
            <sz val="9"/>
            <color indexed="81"/>
            <rFont val="Tahoma"/>
            <family val="2"/>
          </rPr>
          <t>Erik Dekker:</t>
        </r>
        <r>
          <rPr>
            <sz val="9"/>
            <color indexed="81"/>
            <rFont val="Tahoma"/>
            <family val="2"/>
          </rPr>
          <t xml:space="preserve">
Bij 100% Groene stroom</t>
        </r>
      </text>
    </comment>
    <comment ref="B64" authorId="0" shapeId="0" xr:uid="{00000000-0006-0000-0100-00000D000000}">
      <text>
        <r>
          <rPr>
            <b/>
            <sz val="9"/>
            <color indexed="81"/>
            <rFont val="Tahoma"/>
            <family val="2"/>
          </rPr>
          <t>Erik Dekker:</t>
        </r>
        <r>
          <rPr>
            <sz val="9"/>
            <color indexed="81"/>
            <rFont val="Tahoma"/>
            <family val="2"/>
          </rPr>
          <t xml:space="preserve">
De elektriciteitsmix die nu steeds is gekozen voor elektrische voertuigen grijze stroom</t>
        </r>
      </text>
    </comment>
    <comment ref="B78" authorId="0" shapeId="0" xr:uid="{00000000-0006-0000-0100-00000E000000}">
      <text>
        <r>
          <rPr>
            <b/>
            <sz val="9"/>
            <color indexed="81"/>
            <rFont val="Tahoma"/>
            <family val="2"/>
          </rPr>
          <t>Erik Dekker:</t>
        </r>
        <r>
          <rPr>
            <sz val="9"/>
            <color indexed="81"/>
            <rFont val="Tahoma"/>
            <family val="2"/>
          </rPr>
          <t xml:space="preserve">
welke bus kiezen?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Dekker</author>
  </authors>
  <commentList>
    <comment ref="A1" authorId="0" shapeId="0" xr:uid="{00000000-0006-0000-0200-000001000000}">
      <text>
        <r>
          <rPr>
            <b/>
            <sz val="9"/>
            <color indexed="81"/>
            <rFont val="Tahoma"/>
            <family val="2"/>
          </rPr>
          <t>Erik Dekker:</t>
        </r>
        <r>
          <rPr>
            <sz val="9"/>
            <color indexed="81"/>
            <rFont val="Tahoma"/>
            <family val="2"/>
          </rPr>
          <t xml:space="preserve">
https://www.co2emissiefactoren.nl/lijst-emissiefactoren/#brandstoffen_voertuigen</t>
        </r>
      </text>
    </comment>
  </commentList>
</comments>
</file>

<file path=xl/sharedStrings.xml><?xml version="1.0" encoding="utf-8"?>
<sst xmlns="http://schemas.openxmlformats.org/spreadsheetml/2006/main" count="647" uniqueCount="252">
  <si>
    <t>Kg CO2/eenheid (TTW)</t>
  </si>
  <si>
    <t>Kg CO2/eenheid (WTT)</t>
  </si>
  <si>
    <t>Brandstofsoort onbekend</t>
  </si>
  <si>
    <t>Gewichtsklasse onbekend</t>
  </si>
  <si>
    <t>voertuigkilometer</t>
  </si>
  <si>
    <t>Benzine</t>
  </si>
  <si>
    <t>Klein (&lt; 950 kg)</t>
  </si>
  <si>
    <t>Middel (950 - 1.350 kg)</t>
  </si>
  <si>
    <t>Groot (&gt;1.350 kg)</t>
  </si>
  <si>
    <t>Hybride</t>
  </si>
  <si>
    <t>plug-in hybride</t>
  </si>
  <si>
    <t>Diesel</t>
  </si>
  <si>
    <t>Klein (voertuiggewicht&lt; 1050 kg)</t>
  </si>
  <si>
    <t>Middel (voertuiggewicht 1050 - 1.450 kg)</t>
  </si>
  <si>
    <t>Groot (voertuiggewicht &gt; 1.450 kg)</t>
  </si>
  <si>
    <t>LPG</t>
  </si>
  <si>
    <t>Licht (voertuiggewicht &lt; 1000 kg)</t>
  </si>
  <si>
    <t>Middel (voertuiggewicht 1000 - 1.400 kg)</t>
  </si>
  <si>
    <t>Zwaar (voertuiggewicht &gt;1.400 kg)</t>
  </si>
  <si>
    <t>Aardgas/ CNG</t>
  </si>
  <si>
    <t>Licht (voertuiggewicht &lt; 1100 kg)</t>
  </si>
  <si>
    <t>Gemiddeld (voertuiggewicht 1100 - 1.500 kg)</t>
  </si>
  <si>
    <t>Zwaar voertuiggewicht &gt;1.500 kg)</t>
  </si>
  <si>
    <t>Bio-CNG</t>
  </si>
  <si>
    <t>Bio-ethanol (E85)</t>
  </si>
  <si>
    <t>Biodiesel EURO5 (B100)</t>
  </si>
  <si>
    <t>Waterstof</t>
  </si>
  <si>
    <t>Elektrisch</t>
  </si>
  <si>
    <t>Minibus</t>
  </si>
  <si>
    <t>Eenheid</t>
  </si>
  <si>
    <t>Waterkracht</t>
  </si>
  <si>
    <t>Totaal hernieuwbare energiebronnen</t>
  </si>
  <si>
    <t>Totaal windenergie</t>
  </si>
  <si>
    <t>Zonnestroom</t>
  </si>
  <si>
    <t>Totaal biomassa</t>
  </si>
  <si>
    <t>%</t>
  </si>
  <si>
    <t>Groene stroom (netto productie CBS, 2016)</t>
  </si>
  <si>
    <t>Conversiefactoren Olie equivalenten. ReCiPe 2016, H (20-03-2018)</t>
  </si>
  <si>
    <t>1 kg Diesel {RER}| market group for | Alloc Def, U</t>
  </si>
  <si>
    <t>1 kg Petrol, unleaded {RER}| market for | Alloc Def, U</t>
  </si>
  <si>
    <t>1 m3 Natural gas, high pressure {NL}| market for | Alloc Def, U</t>
  </si>
  <si>
    <t>Auto</t>
  </si>
  <si>
    <t>Gemiddeld</t>
  </si>
  <si>
    <t>Grijze stroom</t>
  </si>
  <si>
    <t>Minibus (max. 8 personen)</t>
  </si>
  <si>
    <t>Toeringcar</t>
  </si>
  <si>
    <t>Kg CO2/eenheid (WTW)</t>
  </si>
  <si>
    <t>TOTAAL (Well to Wheel)</t>
  </si>
  <si>
    <t>Tank to Wheel</t>
  </si>
  <si>
    <t>Well to Tank</t>
  </si>
  <si>
    <t>Brandstoftype</t>
  </si>
  <si>
    <t>Gewichtklasse</t>
  </si>
  <si>
    <t>Voertuigtype</t>
  </si>
  <si>
    <t>Groene stroom mix</t>
  </si>
  <si>
    <t>CO2 emissiefactoren.nl</t>
  </si>
  <si>
    <t>Factoren_referentie voertuig</t>
  </si>
  <si>
    <t>Kg CO2/kWh</t>
  </si>
  <si>
    <t>WTW (totale CO2 uitstoot) g/kWh Bron: CO2 emissiefactoren.nl</t>
  </si>
  <si>
    <t>Olie equivalenten (Kg)</t>
  </si>
  <si>
    <t>1 L Diesel</t>
  </si>
  <si>
    <t>Dichtheid</t>
  </si>
  <si>
    <t>kg/L</t>
  </si>
  <si>
    <t>kg/m3</t>
  </si>
  <si>
    <t>1 L Petrol</t>
  </si>
  <si>
    <t>1 kg Natural gas</t>
  </si>
  <si>
    <t>1 kWh Electricity, biomass, at power plant/US</t>
  </si>
  <si>
    <t>Inkopende organisatie:</t>
  </si>
  <si>
    <t>Referentie WTW</t>
  </si>
  <si>
    <t>Concatenate</t>
  </si>
  <si>
    <t>Referentie emissie</t>
  </si>
  <si>
    <t>Samenstelling Groene stroom</t>
  </si>
  <si>
    <t>1kWh Renewables</t>
  </si>
  <si>
    <t>1kWh Electricity, hydropower, at power plant/NL U</t>
  </si>
  <si>
    <t>1kWh Electricity, production mix photovoltaic, at plant/DE U</t>
  </si>
  <si>
    <t>1kWh Electricity, at wind power plant/RER U</t>
  </si>
  <si>
    <t>TTW Emissie voertuig [kgCO2/km]</t>
  </si>
  <si>
    <t>Bijbehorende WTT + TTW [kgCO2/km]</t>
  </si>
  <si>
    <t>Totale emissies [kgCO2]</t>
  </si>
  <si>
    <t xml:space="preserve">Eenheid </t>
  </si>
  <si>
    <t xml:space="preserve">Kg CO2/eenheid Totaal WTW </t>
  </si>
  <si>
    <t xml:space="preserve">Kg CO2/eenheid Energiegebruik TTW </t>
  </si>
  <si>
    <t xml:space="preserve">Kg CO2/eenheid Energieproductie WTT </t>
  </si>
  <si>
    <t xml:space="preserve">Benzine (E95) (NL) </t>
  </si>
  <si>
    <t xml:space="preserve">liter </t>
  </si>
  <si>
    <t xml:space="preserve">Benzine (E95) (EUR) </t>
  </si>
  <si>
    <t xml:space="preserve">Benzine (puur) </t>
  </si>
  <si>
    <t xml:space="preserve">Bio-ethanol (E85) </t>
  </si>
  <si>
    <t xml:space="preserve">Bio-ethanol </t>
  </si>
  <si>
    <t xml:space="preserve">Bio-ethanol (maïs) </t>
  </si>
  <si>
    <t xml:space="preserve">Bio-ethanol (tarwe met WKK) </t>
  </si>
  <si>
    <t xml:space="preserve">Bio-ethanol (suikerriet) </t>
  </si>
  <si>
    <t xml:space="preserve">Diesel (NL) </t>
  </si>
  <si>
    <t xml:space="preserve">Diesel (EUR) </t>
  </si>
  <si>
    <t xml:space="preserve">Diesel (puur) </t>
  </si>
  <si>
    <t xml:space="preserve">Biodiesel (B100) (NL) </t>
  </si>
  <si>
    <t xml:space="preserve">Biodiesel (B100) (EUR) </t>
  </si>
  <si>
    <t xml:space="preserve">Biodiesel (B100) uit afgewerkte oliën </t>
  </si>
  <si>
    <t xml:space="preserve">Waterstof </t>
  </si>
  <si>
    <t xml:space="preserve">kg </t>
  </si>
  <si>
    <t xml:space="preserve">LPG (NL) </t>
  </si>
  <si>
    <t xml:space="preserve">LPG (EU) </t>
  </si>
  <si>
    <t xml:space="preserve">LNG </t>
  </si>
  <si>
    <t xml:space="preserve">CNG (aardgas) (NL) </t>
  </si>
  <si>
    <t xml:space="preserve">CNG (aardgas) (EUR) </t>
  </si>
  <si>
    <t xml:space="preserve">Bio-CNG (groengas) </t>
  </si>
  <si>
    <t xml:space="preserve"> Brandstoffen voertuigen en schepen </t>
  </si>
  <si>
    <t>L/eenheid(WTW)</t>
  </si>
  <si>
    <t>km/L</t>
  </si>
  <si>
    <t>Effectcategorie</t>
  </si>
  <si>
    <t>Electricity, high voltage, production NL, at grid/NL S</t>
  </si>
  <si>
    <t>Electricity grid mix, AC, consumption mix, at consumer, 230V, NL S</t>
  </si>
  <si>
    <t>Electricity, hard coal, at power plant/NL S</t>
  </si>
  <si>
    <t>Electricity, natural gas, at power plant/NL S</t>
  </si>
  <si>
    <t>Biogas, from agricultural co-digestion, not covered, at storage/CH S</t>
  </si>
  <si>
    <t>Biogas, from sewage sludge, at storage/CH S</t>
  </si>
  <si>
    <t>Biogas, from agricultural digestion, not covered, at storage/CH S</t>
  </si>
  <si>
    <t>Ethanol, 85%, at blending terminal, 2022/kg/RNA</t>
  </si>
  <si>
    <t>Ethanol, 85%, blended, at service station, 2022/kg/RNA</t>
  </si>
  <si>
    <t>Rape methyl ester, at esterification plant/RER S</t>
  </si>
  <si>
    <t>Rape methyl ester, production RER, at service station/CH S</t>
  </si>
  <si>
    <t>Global warming</t>
  </si>
  <si>
    <t>kg CO2 eq</t>
  </si>
  <si>
    <t>Fossil resource scarcity</t>
  </si>
  <si>
    <t>kg oil eq</t>
  </si>
  <si>
    <t>-</t>
  </si>
  <si>
    <t>RIVM: mvi@rivm.nl</t>
  </si>
  <si>
    <t>Resultaten:</t>
  </si>
  <si>
    <t>Invultabel:</t>
  </si>
  <si>
    <t>Gegevens:</t>
  </si>
  <si>
    <t>Vul hier de voertuig specifieke gegevens in</t>
  </si>
  <si>
    <t>som</t>
  </si>
  <si>
    <t>Vermeden km</t>
  </si>
  <si>
    <t>Vermeden CO2 door vermedenkm</t>
  </si>
  <si>
    <t>Versie</t>
  </si>
  <si>
    <t>Maatschappelijk Verantwoord Inkopen Zelfevaluatie Tool - Transport</t>
  </si>
  <si>
    <t>Voertuigtype *</t>
  </si>
  <si>
    <t>Jaarverbruik [km] *</t>
  </si>
  <si>
    <t>Contractperiode [Jaar] *</t>
  </si>
  <si>
    <t>Aantal *</t>
  </si>
  <si>
    <t>https://eur-lex.europa.eu/legal-content/NL/TXT/PDF/?uri=CELEX:32007R0715&amp;from=EN</t>
  </si>
  <si>
    <t>EURO5</t>
  </si>
  <si>
    <t>EURO6</t>
  </si>
  <si>
    <t>https://eur-lex.europa.eu/legal-content/NL/TXT/PDF/?uri=CELEX:32012R0459&amp;from=EN</t>
  </si>
  <si>
    <t>https://en.wikipedia.org/wiki/European_emission_standards</t>
  </si>
  <si>
    <t>M</t>
  </si>
  <si>
    <t>passenger cars</t>
  </si>
  <si>
    <t>Categorie</t>
  </si>
  <si>
    <t>omschrijving</t>
  </si>
  <si>
    <t>Nox</t>
  </si>
  <si>
    <t>PM</t>
  </si>
  <si>
    <t>NOx</t>
  </si>
  <si>
    <t>PI = Benzine</t>
  </si>
  <si>
    <t>CI = Diesel</t>
  </si>
  <si>
    <t>EURO5 - Diesel</t>
  </si>
  <si>
    <t>EURO5 - Benzine</t>
  </si>
  <si>
    <t>EURO6 - Diesel</t>
  </si>
  <si>
    <t>EURO6 - Benzine</t>
  </si>
  <si>
    <t>[g/km]</t>
  </si>
  <si>
    <t>N1 - I</t>
  </si>
  <si>
    <t>Light commercial vehicles &lt;1305 kg</t>
  </si>
  <si>
    <t>N1 - II</t>
  </si>
  <si>
    <t>Light commercial vehicles 1305 - 1760 kg</t>
  </si>
  <si>
    <t>N1 - III &amp; N2</t>
  </si>
  <si>
    <t>Light commercial vehicles &gt; 1760</t>
  </si>
  <si>
    <t>HD Diesel Engines</t>
  </si>
  <si>
    <t>Trucks and Busses</t>
  </si>
  <si>
    <t>N3</t>
  </si>
  <si>
    <t>Large goods vehicles</t>
  </si>
  <si>
    <t>EURO6 (kg PM/eenheid)</t>
  </si>
  <si>
    <t>ref</t>
  </si>
  <si>
    <t>El en label niet invullen</t>
  </si>
  <si>
    <t>Auto, Benzine, Klein (&lt; 950 kg)</t>
  </si>
  <si>
    <t>Ref PM</t>
  </si>
  <si>
    <t>ref NOx</t>
  </si>
  <si>
    <t>Em NOx</t>
  </si>
  <si>
    <t>Em PM</t>
  </si>
  <si>
    <t>https://www.theicct.org/sites/default/files/publications/ICCT_Pocketbook_2017_Web.pdf</t>
  </si>
  <si>
    <t>EURO6 (kg NOx/eenheid)</t>
  </si>
  <si>
    <t>uitstoot</t>
  </si>
  <si>
    <t>Auto, Brandstofsoort onbekend, Gewichtsklasse onbekend</t>
  </si>
  <si>
    <t>Auto, Benzine, Middel (950 - 1.350 kg)</t>
  </si>
  <si>
    <t>Auto, Benzine, Groot (&gt;1.350 kg)</t>
  </si>
  <si>
    <t>Auto, Benzine, Hybride</t>
  </si>
  <si>
    <t>Auto, Benzine, plug-in hybride</t>
  </si>
  <si>
    <t>Auto, Diesel, Klein (voertuiggewicht&lt; 1050 kg)</t>
  </si>
  <si>
    <t>Auto, Diesel, Middel (voertuiggewicht 1050 - 1.450 kg)</t>
  </si>
  <si>
    <t>Auto, Diesel, Groot (voertuiggewicht &gt; 1.450 kg)</t>
  </si>
  <si>
    <t>Auto, Diesel, Hybride</t>
  </si>
  <si>
    <t>Auto, LPG, Licht (voertuiggewicht &lt; 1000 kg)</t>
  </si>
  <si>
    <t>Auto, LPG, Middel (voertuiggewicht 1000 - 1.400 kg)</t>
  </si>
  <si>
    <t>Auto, LPG, Zwaar (voertuiggewicht &gt;1.400 kg)</t>
  </si>
  <si>
    <t>Auto, Aardgas/ CNG, Licht (voertuiggewicht &lt; 1100 kg)</t>
  </si>
  <si>
    <t>Auto, Aardgas/ CNG, Gemiddeld (voertuiggewicht 1100 - 1.500 kg)</t>
  </si>
  <si>
    <t>Auto, Aardgas/ CNG, Zwaar voertuiggewicht &gt;1.500 kg)</t>
  </si>
  <si>
    <t>Auto, Bio-CNG, Gemiddeld</t>
  </si>
  <si>
    <t>Auto, Bio-ethanol (E85), Gemiddeld</t>
  </si>
  <si>
    <t>Auto, Biodiesel EURO5 (B100), Gemiddeld</t>
  </si>
  <si>
    <t>Auto, Waterstof, Gemiddeld</t>
  </si>
  <si>
    <t>Auto, Elektrisch, Grijze stroom</t>
  </si>
  <si>
    <t>Auto, Elektrisch, Groene stroom mix</t>
  </si>
  <si>
    <t xml:space="preserve">Minibus (max. 8 personen), Diesel, </t>
  </si>
  <si>
    <t xml:space="preserve">Minibus, Benzine, </t>
  </si>
  <si>
    <t xml:space="preserve">Minibus, LPG, </t>
  </si>
  <si>
    <t xml:space="preserve">Toeringcar, Diesel, </t>
  </si>
  <si>
    <t>https://www.binnenlandsbestuur.nl/Uploads/2017/6/Factsheets-brandstoffen-wegverkeer-juni-2014.pdf</t>
  </si>
  <si>
    <t>marktstandaard</t>
  </si>
  <si>
    <t>Milieu: PM emissies vermeden [kg]</t>
  </si>
  <si>
    <t>Milieu: NOx emissies vermeden [kg]</t>
  </si>
  <si>
    <t>https://opendata.cbs.nl/statline/#/CBS/nl/dataset/70947ned/table?dl=A028</t>
  </si>
  <si>
    <t>emissies vervoer</t>
  </si>
  <si>
    <t>https://www.clo.nl/indicatoren/nl038825-wegvoertuigen-naar-milieuklasse</t>
  </si>
  <si>
    <t>marktstandaard NL</t>
  </si>
  <si>
    <t>EURO6 - CNG</t>
  </si>
  <si>
    <t>Klimaat: CO2-eq emissies bespaard [kg]</t>
  </si>
  <si>
    <t>kWh</t>
  </si>
  <si>
    <t>radius [km]</t>
  </si>
  <si>
    <t>kWh/km</t>
  </si>
  <si>
    <t>Elektrisch voertuigen</t>
  </si>
  <si>
    <t>Bron</t>
  </si>
  <si>
    <t>Bestelbus elektrisch</t>
  </si>
  <si>
    <t>CO2/km</t>
  </si>
  <si>
    <t>Personen auto elektrisch</t>
  </si>
  <si>
    <t>Bus</t>
  </si>
  <si>
    <t>type onbekend</t>
  </si>
  <si>
    <t>Co2emissiefactoren.nl</t>
  </si>
  <si>
    <t>Mercedes benz-bus</t>
  </si>
  <si>
    <t>Elektrische bus</t>
  </si>
  <si>
    <t>https://www.mercedes-benz-bus.com/content/dam/mbo/markets/common/buy/services-online/download-product-brochures/images/content/regular-service-buses/ecitaro/MB-EC-1-EN-0818.pdf</t>
  </si>
  <si>
    <t>onbekend</t>
  </si>
  <si>
    <t>Bromfiets</t>
  </si>
  <si>
    <t>CNG</t>
  </si>
  <si>
    <t>1.1</t>
  </si>
  <si>
    <t>Aanpassing</t>
  </si>
  <si>
    <t>Verbruik kWh/km of L/km</t>
  </si>
  <si>
    <t>elektrische brommer</t>
  </si>
  <si>
    <t>Waterstof auto</t>
  </si>
  <si>
    <t>Hyundai Nexo fcev</t>
  </si>
  <si>
    <t>kg/100km</t>
  </si>
  <si>
    <t>https://www.autozine.nl/hyundai/nexo/fcev/techniek</t>
  </si>
  <si>
    <t>kgOE</t>
  </si>
  <si>
    <t>De WTW emissies zijn een optelling van WTT en TTW. WTT word opgehaald uit de achtergrond data, TTW kan ingevuld worden in kolom F en word anders opgehaald uit de achtergrond data</t>
  </si>
  <si>
    <t>Bron: EcoInvent 3.4</t>
  </si>
  <si>
    <t>datum</t>
  </si>
  <si>
    <t xml:space="preserve">CE Delft (2014). STREAM personenvervoer </t>
  </si>
  <si>
    <t>EV consult (2018) TCO tool dienstvoertuigen. Beschikbaar via: https://www.pianoo.nl/nl/document/16279/tco-tool-voor-dienstvoertuigen</t>
  </si>
  <si>
    <t>Egear.nl (2019) Elektrische scooters. Bekeken 10-4-2019</t>
  </si>
  <si>
    <t>co2emissiefactoren.nl</t>
  </si>
  <si>
    <t>Referentie kgOE</t>
  </si>
  <si>
    <t>Verbruikte kgOE bij groene stroom</t>
  </si>
  <si>
    <t>Vermeden kgOE door vermedenkm</t>
  </si>
  <si>
    <t>Circulaire Economie: Uitgespaarde olie equivalenten [TOE]</t>
  </si>
  <si>
    <t>Toevoeging van elektrische brommers, minibusjes en elektrische OV bus
Aanpassing elektrische personen auto, hier was nog geen verbruik/km in verwerkt
Rekenregels aangepast/beter moduleerbaar gemaakt
Olie equivalenten bleek verkeerde eenheid te hebben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</si>
</sst>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E+00"/>
    <numFmt numFmtId="165" formatCode="#,##0.0"/>
  </numFmts>
  <fonts count="21">
    <font>
      <sz val="10"/>
      <color theme="1"/>
      <name val="Times New Roman"/>
      <family val="2"/>
    </font>
    <font>
      <sz val="11"/>
      <color theme="1"/>
      <name val="Calibri"/>
      <family val="2"/>
      <scheme val="minor"/>
    </font>
    <font>
      <b/>
      <sz val="10"/>
      <color theme="1"/>
      <name val="Times New Roman"/>
      <family val="1"/>
    </font>
    <font>
      <b/>
      <sz val="12"/>
      <color theme="1"/>
      <name val="Times New Roman"/>
      <family val="1"/>
    </font>
    <font>
      <sz val="10"/>
      <color theme="5"/>
      <name val="Times New Roman"/>
      <family val="2"/>
    </font>
    <font>
      <sz val="9"/>
      <color indexed="81"/>
      <name val="Tahoma"/>
      <family val="2"/>
    </font>
    <font>
      <b/>
      <sz val="9"/>
      <color indexed="81"/>
      <name val="Tahoma"/>
      <family val="2"/>
    </font>
    <font>
      <sz val="10"/>
      <color rgb="FFFF0000"/>
      <name val="Times New Roman"/>
      <family val="2"/>
    </font>
    <font>
      <sz val="11"/>
      <color rgb="FF000000"/>
      <name val="Calibri"/>
      <family val="2"/>
    </font>
    <font>
      <sz val="10"/>
      <color theme="1"/>
      <name val="Times New Roman"/>
      <family val="1"/>
    </font>
    <font>
      <sz val="10"/>
      <color rgb="FF000000"/>
      <name val="Times New Roman"/>
      <family val="1"/>
    </font>
    <font>
      <b/>
      <sz val="10"/>
      <color rgb="FF000000"/>
      <name val="Times New Roman"/>
      <family val="1"/>
    </font>
    <font>
      <sz val="10"/>
      <color theme="1"/>
      <name val="Veranda"/>
    </font>
    <font>
      <b/>
      <u/>
      <sz val="10"/>
      <color theme="1"/>
      <name val="Veranda"/>
    </font>
    <font>
      <b/>
      <sz val="10"/>
      <color theme="1"/>
      <name val="Veranda"/>
    </font>
    <font>
      <b/>
      <sz val="14"/>
      <color theme="0"/>
      <name val="Veranda"/>
    </font>
    <font>
      <u/>
      <sz val="10"/>
      <color theme="10"/>
      <name val="Times New Roman"/>
      <family val="2"/>
    </font>
    <font>
      <sz val="10"/>
      <color rgb="FF006100"/>
      <name val="Times New Roman"/>
      <family val="2"/>
    </font>
    <font>
      <sz val="10"/>
      <color rgb="FF9C0006"/>
      <name val="Times New Roman"/>
      <family val="2"/>
    </font>
    <font>
      <sz val="10"/>
      <color rgb="FFFF0000"/>
      <name val="Times New Roman"/>
      <family val="1"/>
    </font>
    <font>
      <sz val="10"/>
      <color rgb="FFFF0000"/>
      <name val="Veranda"/>
    </font>
  </fonts>
  <fills count="11">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8FCAE7"/>
        <bgColor indexed="64"/>
      </patternFill>
    </fill>
    <fill>
      <patternFill patternType="solid">
        <fgColor theme="8" tint="0.79998168889431442"/>
        <bgColor indexed="64"/>
      </patternFill>
    </fill>
    <fill>
      <patternFill patternType="solid">
        <fgColor rgb="FF0070C0"/>
        <bgColor indexed="64"/>
      </patternFill>
    </fill>
    <fill>
      <patternFill patternType="solid">
        <fgColor rgb="FFC6EFCE"/>
      </patternFill>
    </fill>
    <fill>
      <patternFill patternType="solid">
        <fgColor rgb="FFFFC7CE"/>
      </patternFill>
    </fill>
  </fills>
  <borders count="11">
    <border>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s>
  <cellStyleXfs count="5">
    <xf numFmtId="0" fontId="0" fillId="0" borderId="0"/>
    <xf numFmtId="0" fontId="1" fillId="0" borderId="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cellStyleXfs>
  <cellXfs count="61">
    <xf numFmtId="0" fontId="0" fillId="0" borderId="0" xfId="0"/>
    <xf numFmtId="0" fontId="3" fillId="4" borderId="0" xfId="0" applyFont="1" applyFill="1"/>
    <xf numFmtId="0" fontId="0" fillId="4" borderId="0" xfId="0" applyFill="1"/>
    <xf numFmtId="0" fontId="2" fillId="4" borderId="0" xfId="0" applyFont="1" applyFill="1"/>
    <xf numFmtId="0" fontId="3" fillId="2" borderId="0" xfId="0" applyFont="1" applyFill="1"/>
    <xf numFmtId="0" fontId="0" fillId="2" borderId="0" xfId="0" applyFill="1"/>
    <xf numFmtId="0" fontId="2" fillId="2" borderId="0" xfId="0" applyFont="1" applyFill="1"/>
    <xf numFmtId="0" fontId="0" fillId="5" borderId="0" xfId="0" applyFill="1"/>
    <xf numFmtId="0" fontId="2" fillId="5" borderId="0" xfId="0" applyFont="1" applyFill="1"/>
    <xf numFmtId="0" fontId="4" fillId="4" borderId="0" xfId="0" applyFont="1" applyFill="1"/>
    <xf numFmtId="0" fontId="2" fillId="3" borderId="0" xfId="0" applyFont="1" applyFill="1"/>
    <xf numFmtId="0" fontId="0" fillId="3" borderId="0" xfId="0" applyFill="1"/>
    <xf numFmtId="0" fontId="0" fillId="3" borderId="1" xfId="0" applyFill="1" applyBorder="1"/>
    <xf numFmtId="0" fontId="7" fillId="3" borderId="0" xfId="0" applyFont="1" applyFill="1"/>
    <xf numFmtId="0" fontId="2" fillId="0" borderId="0" xfId="0" applyFont="1"/>
    <xf numFmtId="0" fontId="0" fillId="0" borderId="0" xfId="0" applyFill="1" applyBorder="1" applyProtection="1"/>
    <xf numFmtId="11" fontId="7" fillId="3" borderId="0" xfId="0" applyNumberFormat="1" applyFont="1" applyFill="1"/>
    <xf numFmtId="0" fontId="8" fillId="0" borderId="0" xfId="0" applyFont="1" applyAlignment="1">
      <alignment vertical="center" wrapText="1"/>
    </xf>
    <xf numFmtId="0" fontId="9" fillId="0" borderId="0" xfId="0" applyFont="1"/>
    <xf numFmtId="0" fontId="10" fillId="0" borderId="0" xfId="0" applyFont="1" applyAlignment="1">
      <alignment vertical="center" wrapText="1"/>
    </xf>
    <xf numFmtId="0" fontId="10" fillId="0" borderId="0" xfId="0" applyFont="1" applyAlignment="1">
      <alignment horizontal="left" vertical="center" wrapText="1"/>
    </xf>
    <xf numFmtId="0" fontId="10" fillId="7" borderId="0" xfId="0" applyFont="1" applyFill="1" applyAlignment="1">
      <alignment vertical="center" wrapText="1"/>
    </xf>
    <xf numFmtId="0" fontId="9" fillId="7" borderId="0" xfId="0" applyFont="1" applyFill="1"/>
    <xf numFmtId="0" fontId="11" fillId="7" borderId="0" xfId="0" applyFont="1" applyFill="1" applyAlignment="1">
      <alignment horizontal="left" vertical="center" wrapText="1"/>
    </xf>
    <xf numFmtId="0" fontId="11" fillId="7" borderId="0" xfId="0" applyFont="1" applyFill="1" applyAlignment="1">
      <alignment vertical="center" wrapText="1"/>
    </xf>
    <xf numFmtId="0" fontId="7" fillId="0" borderId="0" xfId="0" applyFont="1"/>
    <xf numFmtId="0" fontId="12" fillId="6" borderId="0" xfId="0" applyFont="1" applyFill="1" applyProtection="1"/>
    <xf numFmtId="0" fontId="12" fillId="0" borderId="0" xfId="0" applyFont="1" applyFill="1" applyProtection="1"/>
    <xf numFmtId="0" fontId="12" fillId="6" borderId="0" xfId="0" applyFont="1" applyFill="1" applyAlignment="1" applyProtection="1">
      <alignment vertical="center"/>
    </xf>
    <xf numFmtId="0" fontId="12" fillId="6" borderId="0" xfId="0" applyFont="1" applyFill="1" applyBorder="1" applyProtection="1"/>
    <xf numFmtId="0" fontId="12" fillId="6" borderId="0" xfId="0" applyFont="1" applyFill="1" applyBorder="1" applyAlignment="1" applyProtection="1">
      <alignment horizontal="left" vertical="top" wrapText="1"/>
    </xf>
    <xf numFmtId="0" fontId="13" fillId="6" borderId="0" xfId="0" applyFont="1" applyFill="1" applyProtection="1"/>
    <xf numFmtId="0" fontId="12" fillId="6" borderId="0" xfId="0" applyFont="1" applyFill="1" applyAlignment="1" applyProtection="1">
      <alignment horizontal="left" vertical="top" wrapText="1"/>
    </xf>
    <xf numFmtId="0" fontId="12" fillId="0" borderId="6" xfId="0" applyFont="1" applyFill="1" applyBorder="1" applyAlignment="1" applyProtection="1">
      <protection locked="0"/>
    </xf>
    <xf numFmtId="0" fontId="14" fillId="6" borderId="3" xfId="0" applyFont="1" applyFill="1" applyBorder="1" applyProtection="1"/>
    <xf numFmtId="0" fontId="14" fillId="6" borderId="4" xfId="0" applyFont="1" applyFill="1" applyBorder="1" applyProtection="1"/>
    <xf numFmtId="0" fontId="14" fillId="6" borderId="7" xfId="0" applyFont="1" applyFill="1" applyBorder="1" applyProtection="1"/>
    <xf numFmtId="0" fontId="12" fillId="0" borderId="2" xfId="0" applyFont="1" applyFill="1" applyBorder="1" applyProtection="1">
      <protection locked="0"/>
    </xf>
    <xf numFmtId="0" fontId="12" fillId="0" borderId="5" xfId="0" applyFont="1" applyFill="1" applyBorder="1" applyProtection="1">
      <protection locked="0"/>
    </xf>
    <xf numFmtId="0" fontId="12" fillId="0" borderId="0"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2" fillId="0" borderId="10" xfId="0" applyFont="1" applyFill="1" applyBorder="1" applyProtection="1">
      <protection locked="0"/>
    </xf>
    <xf numFmtId="3" fontId="12" fillId="0" borderId="6" xfId="0" applyNumberFormat="1" applyFont="1" applyFill="1" applyBorder="1" applyAlignment="1" applyProtection="1">
      <alignment horizontal="left" vertical="top" wrapText="1"/>
    </xf>
    <xf numFmtId="14" fontId="12" fillId="6" borderId="0" xfId="0" applyNumberFormat="1" applyFont="1" applyFill="1" applyAlignment="1" applyProtection="1">
      <alignment horizontal="left"/>
    </xf>
    <xf numFmtId="0" fontId="12" fillId="0" borderId="0" xfId="0" applyFont="1" applyProtection="1"/>
    <xf numFmtId="0" fontId="12" fillId="6" borderId="0" xfId="0" applyFont="1" applyFill="1" applyAlignment="1" applyProtection="1">
      <alignment horizontal="left"/>
    </xf>
    <xf numFmtId="0" fontId="16" fillId="0" borderId="0" xfId="2"/>
    <xf numFmtId="0" fontId="18" fillId="10" borderId="0" xfId="4"/>
    <xf numFmtId="0" fontId="17" fillId="9" borderId="0" xfId="3"/>
    <xf numFmtId="164" fontId="12" fillId="0" borderId="6" xfId="0" applyNumberFormat="1" applyFont="1" applyFill="1" applyBorder="1" applyAlignment="1" applyProtection="1">
      <alignment horizontal="left" vertical="top" wrapText="1"/>
    </xf>
    <xf numFmtId="0" fontId="9" fillId="4" borderId="0" xfId="0" applyFont="1" applyFill="1"/>
    <xf numFmtId="0" fontId="0" fillId="0" borderId="0" xfId="0" applyAlignment="1">
      <alignment wrapText="1"/>
    </xf>
    <xf numFmtId="0" fontId="9" fillId="2" borderId="0" xfId="0" applyFont="1" applyFill="1"/>
    <xf numFmtId="0" fontId="9" fillId="5" borderId="0" xfId="0" applyFont="1" applyFill="1"/>
    <xf numFmtId="0" fontId="19" fillId="4" borderId="0" xfId="0" applyFont="1" applyFill="1"/>
    <xf numFmtId="11" fontId="0" fillId="0" borderId="0" xfId="0" applyNumberFormat="1"/>
    <xf numFmtId="14" fontId="0" fillId="0" borderId="0" xfId="0" applyNumberFormat="1"/>
    <xf numFmtId="3" fontId="20" fillId="6" borderId="0" xfId="0" applyNumberFormat="1" applyFont="1" applyFill="1" applyProtection="1"/>
    <xf numFmtId="165" fontId="12" fillId="0" borderId="6" xfId="0" applyNumberFormat="1" applyFont="1" applyFill="1" applyBorder="1" applyAlignment="1" applyProtection="1">
      <alignment horizontal="left" vertical="top" wrapText="1"/>
    </xf>
    <xf numFmtId="0" fontId="15" fillId="8" borderId="6" xfId="0" applyFont="1" applyFill="1" applyBorder="1" applyAlignment="1" applyProtection="1">
      <alignment horizontal="center" vertical="center"/>
    </xf>
  </cellXfs>
  <cellStyles count="5">
    <cellStyle name="Goed" xfId="3" builtinId="26"/>
    <cellStyle name="Hyperlink" xfId="2" builtinId="8"/>
    <cellStyle name="Normal 2" xfId="1" xr:uid="{00000000-0005-0000-0000-000004000000}"/>
    <cellStyle name="Ongeldig" xfId="4" builtinId="27"/>
    <cellStyle name="Standaard" xfId="0" builtinId="0"/>
  </cellStyles>
  <dxfs count="3">
    <dxf>
      <fill>
        <patternFill>
          <bgColor theme="0" tint="-0.34998626667073579"/>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8FC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ivm.nl/sites/default/files/2019-05/Handleiding%20rekentool%20effectmeting%20productgroep%20Transport%20v2.0.pdf"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104773</xdr:colOff>
      <xdr:row>2</xdr:row>
      <xdr:rowOff>9525</xdr:rowOff>
    </xdr:from>
    <xdr:to>
      <xdr:col>11</xdr:col>
      <xdr:colOff>904874</xdr:colOff>
      <xdr:row>7</xdr:row>
      <xdr:rowOff>9526</xdr:rowOff>
    </xdr:to>
    <xdr:pic>
      <xdr:nvPicPr>
        <xdr:cNvPr id="2" name="Woordmerk_RIVM">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5382873" y="400050"/>
          <a:ext cx="800101" cy="847726"/>
        </a:xfrm>
        <a:prstGeom prst="rect">
          <a:avLst/>
        </a:prstGeom>
      </xdr:spPr>
    </xdr:pic>
    <xdr:clientData/>
  </xdr:twoCellAnchor>
  <xdr:twoCellAnchor editAs="oneCell">
    <xdr:from>
      <xdr:col>10</xdr:col>
      <xdr:colOff>295275</xdr:colOff>
      <xdr:row>2</xdr:row>
      <xdr:rowOff>9525</xdr:rowOff>
    </xdr:from>
    <xdr:to>
      <xdr:col>10</xdr:col>
      <xdr:colOff>514349</xdr:colOff>
      <xdr:row>6</xdr:row>
      <xdr:rowOff>5402</xdr:rowOff>
    </xdr:to>
    <xdr:pic>
      <xdr:nvPicPr>
        <xdr:cNvPr id="3" name="Lint">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srcRect l="1" r="-4545" b="18681"/>
        <a:stretch/>
      </xdr:blipFill>
      <xdr:spPr bwMode="auto">
        <a:xfrm>
          <a:off x="15249525" y="400050"/>
          <a:ext cx="219074" cy="681677"/>
        </a:xfrm>
        <a:prstGeom prst="rect">
          <a:avLst/>
        </a:prstGeom>
      </xdr:spPr>
    </xdr:pic>
    <xdr:clientData/>
  </xdr:twoCellAnchor>
  <xdr:twoCellAnchor>
    <xdr:from>
      <xdr:col>5</xdr:col>
      <xdr:colOff>1504950</xdr:colOff>
      <xdr:row>30</xdr:row>
      <xdr:rowOff>85725</xdr:rowOff>
    </xdr:from>
    <xdr:to>
      <xdr:col>8</xdr:col>
      <xdr:colOff>990599</xdr:colOff>
      <xdr:row>44</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58300" y="5076825"/>
          <a:ext cx="3800474" cy="2200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Doel en doelgroep</a:t>
          </a:r>
        </a:p>
        <a:p>
          <a:pPr marL="0" marR="0" indent="0" defTabSz="914400" eaLnBrk="1" fontAlgn="auto" latinLnBrk="0" hangingPunct="1">
            <a:lnSpc>
              <a:spcPct val="100000"/>
            </a:lnSpc>
            <a:spcBef>
              <a:spcPts val="0"/>
            </a:spcBef>
            <a:spcAft>
              <a:spcPts val="0"/>
            </a:spcAft>
            <a:buClrTx/>
            <a:buSzTx/>
            <a:buFontTx/>
            <a:buNone/>
            <a:tabLst/>
            <a:defRPr/>
          </a:pPr>
          <a:r>
            <a:rPr lang="en-US" sz="1100"/>
            <a:t>Deze rekensheet is bedoeld om het potentiële effect van aanbestedingen voor transport te berekenen. Het is geschikt om een potentieel effect te berekenen voor de aanschaf van dienstauto’s, contractvervoer en transportdiensten. De rekentool is nadrukkelijk niet bedoeld voor het evalueren van tenders. De doelgroep zijn de decentrale pilots binnen de impuls klimaatneutraal en circulair inkopen.  </a:t>
          </a:r>
          <a:r>
            <a:rPr lang="nl-NL" sz="1100" baseline="0">
              <a:solidFill>
                <a:schemeClr val="dk1"/>
              </a:solidFill>
              <a:effectLst/>
              <a:latin typeface="+mn-lt"/>
              <a:ea typeface="+mn-ea"/>
              <a:cs typeface="+mn-cs"/>
            </a:rPr>
            <a:t>Wanneer u de tool na maart 2020 nog wilt gebruiken, neem dan contact op met mvi@rivm.nl voor de laatste versie. Wanneer u de tool deelt met andere/externe buiten uw organisatie, vragen wij u mvi@rivm.nl in de cc op te nemen.</a:t>
          </a:r>
          <a:endParaRPr lang="en-US">
            <a:effectLst/>
          </a:endParaRPr>
        </a:p>
        <a:p>
          <a:endParaRPr lang="en-US" sz="1100"/>
        </a:p>
      </xdr:txBody>
    </xdr:sp>
    <xdr:clientData/>
  </xdr:twoCellAnchor>
  <xdr:twoCellAnchor>
    <xdr:from>
      <xdr:col>1</xdr:col>
      <xdr:colOff>133351</xdr:colOff>
      <xdr:row>30</xdr:row>
      <xdr:rowOff>85724</xdr:rowOff>
    </xdr:from>
    <xdr:to>
      <xdr:col>4</xdr:col>
      <xdr:colOff>1905000</xdr:colOff>
      <xdr:row>44</xdr:row>
      <xdr:rowOff>9524</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295276" y="5076824"/>
          <a:ext cx="5524499" cy="2190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Handleiding</a:t>
          </a:r>
        </a:p>
        <a:p>
          <a:r>
            <a:rPr lang="en-US" sz="1100"/>
            <a:t>In de invultabel vult u in welk type voertuigen u van plan bent aan te besteden en wat uw (verwacht) gemiddelde jaarverbruik is. Bij voertuigtype vult u het type voertuig in dat naar verwachting wordt gebruikt en het verwachte aantal kilometers per jaar. Alle velden met een * zijn verplicht om in te vullen. </a:t>
          </a:r>
        </a:p>
        <a:p>
          <a:r>
            <a:rPr lang="en-US" sz="1100"/>
            <a:t>TTW betekent tank to wheel emissies. Hier kunt u de emissie-eisen van het door u gekozen voertuig invullen. Invullen hiervan hoeft niet, maar maakt de effectberekening wel specifieker. De gegevens waarmee wordt gerekend zijn generiek per type auto en brandstof. Zelf invullen voor exact de auto die u aanschaft of gebruikt maakt de uitkomst preciezer. </a:t>
          </a:r>
        </a:p>
        <a:p>
          <a:r>
            <a:rPr lang="en-US" sz="1100"/>
            <a:t>Het effect wordt berekend in termen van CO</a:t>
          </a:r>
          <a:r>
            <a:rPr lang="en-US" sz="1100" baseline="-25000"/>
            <a:t>2</a:t>
          </a:r>
          <a:r>
            <a:rPr lang="en-US" sz="1100"/>
            <a:t> winst (klimaat), vermeden gebruik van fossiele brandstoffen (grondstoffen),</a:t>
          </a:r>
          <a:r>
            <a:rPr lang="en-US" sz="1100" baseline="0"/>
            <a:t> vermeden NOx emissies (Milieu) en vermeden fijnstof emissies (Milieu). De volledige handleiding is te vinden via de volgende </a:t>
          </a:r>
          <a:r>
            <a:rPr lang="en-US" sz="1100" u="sng" baseline="0">
              <a:solidFill>
                <a:srgbClr val="0070C0"/>
              </a:solidFill>
            </a:rPr>
            <a:t>link</a:t>
          </a:r>
          <a:r>
            <a:rPr lang="en-US" sz="1100" baseline="0"/>
            <a:t>.</a:t>
          </a:r>
          <a:endParaRPr lang="en-US" sz="1100"/>
        </a:p>
      </xdr:txBody>
    </xdr:sp>
    <xdr:clientData/>
  </xdr:twoCellAnchor>
  <xdr:twoCellAnchor>
    <xdr:from>
      <xdr:col>4</xdr:col>
      <xdr:colOff>2314575</xdr:colOff>
      <xdr:row>30</xdr:row>
      <xdr:rowOff>85724</xdr:rowOff>
    </xdr:from>
    <xdr:to>
      <xdr:col>5</xdr:col>
      <xdr:colOff>1085850</xdr:colOff>
      <xdr:row>44</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229350" y="5076824"/>
          <a:ext cx="2609850" cy="22098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Uitgangspunten</a:t>
          </a:r>
        </a:p>
        <a:p>
          <a:r>
            <a:rPr lang="en-US" sz="1100"/>
            <a:t>De rekensheet geeft een indicatie van de potentiële milieuwinst op basis van generieke milieugegevens over transport. De winst wordt berekend ten opzichte van de aankoop en het gebruik van het alternatief: diesel.  De effectdata die zijn afgesproken in de green deal CO2 emissiegetallen vormen de basis voor de berekeningen.  </a:t>
          </a:r>
          <a:r>
            <a:rPr lang="en-US" sz="1100">
              <a:solidFill>
                <a:schemeClr val="dk1"/>
              </a:solidFill>
              <a:effectLst/>
              <a:latin typeface="+mn-lt"/>
              <a:ea typeface="+mn-ea"/>
              <a:cs typeface="+mn-cs"/>
            </a:rPr>
            <a:t>NOx en PM waardes zijn op basis van EU</a:t>
          </a:r>
          <a:r>
            <a:rPr lang="en-US" sz="1100" baseline="0">
              <a:solidFill>
                <a:schemeClr val="dk1"/>
              </a:solidFill>
              <a:effectLst/>
              <a:latin typeface="+mn-lt"/>
              <a:ea typeface="+mn-ea"/>
              <a:cs typeface="+mn-cs"/>
            </a:rPr>
            <a:t> emissie normen en gaan alleen over de verbrandings emissies. </a:t>
          </a:r>
          <a:endParaRPr lang="en-US" sz="1100"/>
        </a:p>
      </xdr:txBody>
    </xdr:sp>
    <xdr:clientData/>
  </xdr:twoCellAnchor>
  <xdr:oneCellAnchor>
    <xdr:from>
      <xdr:col>8</xdr:col>
      <xdr:colOff>1171575</xdr:colOff>
      <xdr:row>30</xdr:row>
      <xdr:rowOff>95249</xdr:rowOff>
    </xdr:from>
    <xdr:ext cx="3505200" cy="2295525"/>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239750" y="5086349"/>
          <a:ext cx="3505200" cy="2295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nl-NL" sz="1100" b="0" i="1" baseline="0">
              <a:solidFill>
                <a:srgbClr val="FF0000"/>
              </a:solidFill>
              <a:effectLst/>
              <a:latin typeface="+mn-lt"/>
              <a:ea typeface="+mn-ea"/>
              <a:cs typeface="+mn-cs"/>
            </a:rPr>
            <a:t>Deze tool wordt onderhouden door het Rijksinstituut voor Volksgezondheid en Milieu (RIVM).  Aanpassingen of toevoegingen aan de tool zijn niet toegestaan (aanvragen hiervoor kunnen gestuurd naar mvi@rivm.nl) . Het RIVM streeft naar een correcte en betrouwbare werking van de tool, maar fouten kunnen nooit volledig worden uitgesloten. Het toepassen van de tool en gebruik van de resultaten is de verantwoordelijkheid van de gebruiker. Het  RIVM aanvaardt geen aansprakelijkheid voor eventuele gevolgen die voortvloeien uit het gebruik van de tool.</a:t>
          </a:r>
        </a:p>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lo.nl/indicatoren/nl038825-wegvoertuigen-naar-milieuklasse" TargetMode="External"/><Relationship Id="rId2" Type="http://schemas.openxmlformats.org/officeDocument/2006/relationships/hyperlink" Target="https://eur-lex.europa.eu/legal-content/NL/TXT/PDF/?uri=CELEX:32007R0715&amp;from=EN" TargetMode="External"/><Relationship Id="rId1" Type="http://schemas.openxmlformats.org/officeDocument/2006/relationships/hyperlink" Target="https://eur-lex.europa.eu/legal-content/NL/TXT/PDF/?uri=CELEX:32012R0459&amp;from=EN" TargetMode="External"/><Relationship Id="rId4" Type="http://schemas.openxmlformats.org/officeDocument/2006/relationships/hyperlink" Target="https://www.autozine.nl/hyundai/nexo/fcev/techni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A46"/>
  <sheetViews>
    <sheetView tabSelected="1" zoomScaleNormal="100" workbookViewId="0">
      <selection activeCell="F8" sqref="F8"/>
    </sheetView>
  </sheetViews>
  <sheetFormatPr defaultColWidth="0" defaultRowHeight="12.75" zeroHeight="1"/>
  <cols>
    <col min="1" max="1" width="2.83203125" style="27" customWidth="1"/>
    <col min="2" max="2" width="3" style="27" customWidth="1"/>
    <col min="3" max="3" width="59.33203125" style="45" bestFit="1" customWidth="1"/>
    <col min="4" max="4" width="3.33203125" style="45" customWidth="1"/>
    <col min="5" max="5" width="67.1640625" style="45" bestFit="1" customWidth="1"/>
    <col min="6" max="6" width="37.6640625" style="45" bestFit="1" customWidth="1"/>
    <col min="7" max="7" width="21.6640625" style="45" bestFit="1" customWidth="1"/>
    <col min="8" max="8" width="16.1640625" style="45" bestFit="1" customWidth="1"/>
    <col min="9" max="9" width="27" style="45" bestFit="1" customWidth="1"/>
    <col min="10" max="10" width="19.6640625" style="45" bestFit="1" customWidth="1"/>
    <col min="11" max="11" width="9.33203125" style="45" customWidth="1"/>
    <col min="12" max="12" width="19.6640625" style="45" bestFit="1" customWidth="1"/>
    <col min="13" max="13" width="10.1640625" style="45" customWidth="1"/>
    <col min="14" max="14" width="9.33203125" style="45" hidden="1" customWidth="1"/>
    <col min="15" max="15" width="34" style="27" hidden="1" customWidth="1"/>
    <col min="16" max="16" width="18.6640625" style="27" hidden="1" customWidth="1"/>
    <col min="17" max="17" width="9.33203125" style="27" hidden="1" customWidth="1"/>
    <col min="18" max="18" width="9.83203125" style="27" hidden="1" customWidth="1"/>
    <col min="19" max="19" width="9.33203125" style="27" hidden="1" customWidth="1"/>
    <col min="20" max="21" width="10.1640625" style="27" hidden="1" customWidth="1"/>
    <col min="22" max="22" width="9.33203125" style="27" hidden="1" customWidth="1"/>
    <col min="23" max="23" width="11.1640625" style="27" hidden="1" customWidth="1"/>
    <col min="24" max="25" width="9.33203125" style="27" hidden="1" customWidth="1"/>
    <col min="26" max="27" width="10.5" style="27" hidden="1" customWidth="1"/>
    <col min="28" max="16384" width="9.33203125" style="27" hidden="1"/>
  </cols>
  <sheetData>
    <row r="1" spans="1:27">
      <c r="A1" s="26"/>
      <c r="B1" s="26"/>
      <c r="C1" s="26"/>
      <c r="D1" s="26"/>
      <c r="E1" s="26"/>
      <c r="F1" s="26"/>
      <c r="G1" s="26"/>
      <c r="H1" s="26"/>
      <c r="I1" s="26"/>
      <c r="J1" s="26"/>
      <c r="K1" s="26"/>
      <c r="L1" s="26"/>
      <c r="M1" s="26"/>
      <c r="N1" s="26"/>
    </row>
    <row r="2" spans="1:27" ht="18">
      <c r="A2" s="26"/>
      <c r="B2" s="60" t="s">
        <v>134</v>
      </c>
      <c r="C2" s="60"/>
      <c r="D2" s="60"/>
      <c r="E2" s="60"/>
      <c r="F2" s="60"/>
      <c r="G2" s="60"/>
      <c r="H2" s="60"/>
      <c r="I2" s="60"/>
      <c r="J2" s="60"/>
      <c r="K2" s="60"/>
      <c r="L2" s="60"/>
      <c r="M2" s="26"/>
      <c r="N2" s="26"/>
    </row>
    <row r="3" spans="1:27">
      <c r="A3" s="26"/>
      <c r="B3" s="26"/>
      <c r="C3" s="26"/>
      <c r="D3" s="26"/>
      <c r="E3" s="28"/>
      <c r="F3" s="28"/>
      <c r="G3" s="28"/>
      <c r="H3" s="28"/>
      <c r="I3" s="46" t="s">
        <v>133</v>
      </c>
      <c r="J3" s="46" t="str">
        <f>v.version</f>
        <v>1.1</v>
      </c>
      <c r="K3" s="26"/>
      <c r="L3" s="26"/>
      <c r="M3" s="26"/>
      <c r="N3" s="26"/>
    </row>
    <row r="4" spans="1:27" ht="12.75" customHeight="1">
      <c r="A4" s="26"/>
      <c r="B4" s="26"/>
      <c r="C4" s="26"/>
      <c r="D4" s="26"/>
      <c r="E4" s="26"/>
      <c r="F4" s="26"/>
      <c r="G4" s="26"/>
      <c r="H4" s="26"/>
      <c r="I4" s="28"/>
      <c r="J4" s="44">
        <f>v.versionDate</f>
        <v>43565</v>
      </c>
      <c r="K4" s="26"/>
      <c r="L4" s="26"/>
      <c r="M4" s="26"/>
      <c r="N4" s="26"/>
    </row>
    <row r="5" spans="1:27" ht="14.25" customHeight="1">
      <c r="A5" s="26"/>
      <c r="B5" s="26"/>
      <c r="C5" s="26"/>
      <c r="D5" s="26"/>
      <c r="E5" s="26"/>
      <c r="F5" s="26"/>
      <c r="G5" s="26"/>
      <c r="H5" s="26"/>
      <c r="I5" s="26"/>
      <c r="J5" s="46" t="s">
        <v>125</v>
      </c>
      <c r="K5" s="26"/>
      <c r="L5" s="26"/>
      <c r="M5" s="26"/>
      <c r="N5" s="26"/>
    </row>
    <row r="6" spans="1:27" ht="14.25" customHeight="1">
      <c r="A6" s="26"/>
      <c r="B6" s="26"/>
      <c r="C6" s="31" t="s">
        <v>128</v>
      </c>
      <c r="D6" s="26"/>
      <c r="E6" s="26"/>
      <c r="F6" s="26"/>
      <c r="G6" s="26"/>
      <c r="H6" s="26"/>
      <c r="I6" s="26"/>
      <c r="J6" s="26"/>
      <c r="K6" s="26"/>
      <c r="L6" s="26"/>
      <c r="M6" s="26"/>
      <c r="N6" s="26"/>
    </row>
    <row r="7" spans="1:27">
      <c r="A7" s="26"/>
      <c r="B7" s="26"/>
      <c r="C7" s="26" t="s">
        <v>66</v>
      </c>
      <c r="D7" s="26"/>
      <c r="E7" s="33"/>
      <c r="F7" s="30"/>
      <c r="G7" s="30"/>
      <c r="H7" s="30"/>
      <c r="I7" s="30"/>
      <c r="J7" s="26"/>
      <c r="K7" s="26"/>
      <c r="L7" s="26"/>
      <c r="M7" s="26"/>
      <c r="N7" s="26"/>
    </row>
    <row r="8" spans="1:27">
      <c r="A8" s="26"/>
      <c r="B8" s="26"/>
      <c r="C8" s="26"/>
      <c r="D8" s="26"/>
      <c r="E8" s="26"/>
      <c r="F8" s="26"/>
      <c r="G8" s="26"/>
      <c r="H8" s="26"/>
      <c r="I8" s="26"/>
      <c r="J8" s="32"/>
      <c r="K8" s="26"/>
      <c r="L8" s="26"/>
      <c r="M8" s="26"/>
      <c r="N8" s="26"/>
    </row>
    <row r="9" spans="1:27">
      <c r="A9" s="26"/>
      <c r="B9" s="26"/>
      <c r="C9" s="26"/>
      <c r="D9" s="26"/>
      <c r="E9" s="26"/>
      <c r="F9" s="26"/>
      <c r="G9" s="26"/>
      <c r="H9" s="26"/>
      <c r="I9" s="26"/>
      <c r="J9" s="30"/>
      <c r="K9" s="26"/>
      <c r="L9" s="26"/>
      <c r="M9" s="26"/>
      <c r="N9" s="26"/>
    </row>
    <row r="10" spans="1:27" ht="12.75" customHeight="1">
      <c r="A10" s="26"/>
      <c r="B10" s="26"/>
      <c r="C10" s="26"/>
      <c r="D10" s="26"/>
      <c r="E10" s="26"/>
      <c r="F10" s="26"/>
      <c r="G10" s="26"/>
      <c r="H10" s="26"/>
      <c r="I10" s="26"/>
      <c r="J10" s="32"/>
      <c r="K10" s="26"/>
      <c r="L10" s="26"/>
      <c r="M10" s="26"/>
      <c r="N10" s="26"/>
      <c r="O10" s="27" t="s">
        <v>240</v>
      </c>
    </row>
    <row r="11" spans="1:27">
      <c r="A11" s="26"/>
      <c r="B11" s="26"/>
      <c r="C11" s="31" t="s">
        <v>127</v>
      </c>
      <c r="D11" s="26"/>
      <c r="E11" s="26"/>
      <c r="F11" s="26"/>
      <c r="G11" s="26"/>
      <c r="H11" s="26"/>
      <c r="I11" s="26"/>
      <c r="J11" s="26"/>
      <c r="K11" s="26"/>
      <c r="L11" s="26"/>
      <c r="M11" s="26"/>
      <c r="N11" s="26"/>
      <c r="O11" s="26"/>
    </row>
    <row r="12" spans="1:27" ht="13.5" thickBot="1">
      <c r="A12" s="26"/>
      <c r="B12" s="26"/>
      <c r="C12" s="26" t="s">
        <v>129</v>
      </c>
      <c r="D12" s="26"/>
      <c r="E12" s="34" t="s">
        <v>135</v>
      </c>
      <c r="F12" s="34" t="s">
        <v>75</v>
      </c>
      <c r="G12" s="35" t="s">
        <v>136</v>
      </c>
      <c r="H12" s="35" t="s">
        <v>131</v>
      </c>
      <c r="I12" s="35" t="s">
        <v>137</v>
      </c>
      <c r="J12" s="36" t="s">
        <v>138</v>
      </c>
      <c r="K12" s="26"/>
      <c r="L12" s="26"/>
      <c r="M12" s="26"/>
      <c r="N12" s="26"/>
      <c r="O12" s="27" t="s">
        <v>76</v>
      </c>
      <c r="P12" s="27" t="s">
        <v>77</v>
      </c>
      <c r="Q12" s="27" t="s">
        <v>67</v>
      </c>
      <c r="R12" s="27" t="s">
        <v>69</v>
      </c>
      <c r="S12" s="27" t="s">
        <v>248</v>
      </c>
      <c r="T12" s="27" t="s">
        <v>247</v>
      </c>
      <c r="V12" s="27" t="s">
        <v>132</v>
      </c>
      <c r="W12" s="27" t="s">
        <v>249</v>
      </c>
      <c r="X12" s="27" t="s">
        <v>173</v>
      </c>
      <c r="Y12" s="27" t="s">
        <v>172</v>
      </c>
      <c r="Z12" s="27" t="s">
        <v>174</v>
      </c>
      <c r="AA12" s="27" t="s">
        <v>175</v>
      </c>
    </row>
    <row r="13" spans="1:27">
      <c r="A13" s="26"/>
      <c r="B13" s="26"/>
      <c r="C13" s="26"/>
      <c r="D13" s="26"/>
      <c r="E13" s="37" t="s">
        <v>124</v>
      </c>
      <c r="F13" s="37"/>
      <c r="G13" s="38"/>
      <c r="H13" s="38"/>
      <c r="I13" s="38"/>
      <c r="J13" s="39"/>
      <c r="K13" s="26"/>
      <c r="L13" s="26"/>
      <c r="M13" s="29"/>
      <c r="N13" s="26"/>
      <c r="O13" s="27">
        <f>VLOOKUP(E13,'Achtergrond data'!$A$2:$Y$36,8,FALSE)+
IF(F13 = 0, VLOOKUP(E13,'Achtergrond data'!$A$2:$Y$36,7,FALSE), F13)</f>
        <v>0</v>
      </c>
      <c r="P13" s="27">
        <f>O13*G13*I13*J13</f>
        <v>0</v>
      </c>
      <c r="Q13" s="27">
        <f>VLOOKUP(E13,'Achtergrond data'!A$3:Q$36,15,FALSE)</f>
        <v>0</v>
      </c>
      <c r="R13" s="27">
        <f t="shared" ref="R13:R22" si="0">Q13*G13*I13*J13</f>
        <v>0</v>
      </c>
      <c r="S13" s="27">
        <f>G13*I13*J13*VLOOKUP(E13,'Achtergrond data'!A$2:Z$36,9,FALSE)</f>
        <v>0</v>
      </c>
      <c r="T13" s="27">
        <f>G13*I13*J13*VLOOKUP(E13,'Achtergrond data'!$A$2:$Z$36,22,FALSE)</f>
        <v>0</v>
      </c>
      <c r="U13" s="27">
        <f>T13-S13</f>
        <v>0</v>
      </c>
      <c r="V13" s="27">
        <f>Q13*J13*H13*I13</f>
        <v>0</v>
      </c>
      <c r="W13" s="27">
        <f>(VLOOKUP(E13,'Achtergrond data'!A$3:V$36,22,FALSE))*H13*J13*I13</f>
        <v>0</v>
      </c>
      <c r="X13" s="27">
        <f xml:space="preserve"> VLOOKUP($E13,'Achtergrond data'!$A$3:$Y$36,20,FALSE) *G13 *J13 *I13</f>
        <v>0</v>
      </c>
      <c r="Y13" s="27">
        <f xml:space="preserve"> VLOOKUP($E13,'Achtergrond data'!$A$3:$Y$36,21,FALSE) *G13 *I13 * J13</f>
        <v>0</v>
      </c>
      <c r="Z13" s="27">
        <f>VLOOKUP($E13,'Achtergrond data'!$A$3:$AC$36,24,FALSE)*G13*I13*J13</f>
        <v>0</v>
      </c>
      <c r="AA13" s="27">
        <f>VLOOKUP($E13,'Achtergrond data'!$A$3:$AC$36,25,FALSE)*G13*I13*J13</f>
        <v>0</v>
      </c>
    </row>
    <row r="14" spans="1:27">
      <c r="A14" s="26"/>
      <c r="B14" s="26"/>
      <c r="C14" s="26"/>
      <c r="D14" s="26"/>
      <c r="E14" s="37" t="s">
        <v>124</v>
      </c>
      <c r="F14" s="37"/>
      <c r="G14" s="38"/>
      <c r="H14" s="38"/>
      <c r="I14" s="38"/>
      <c r="J14" s="39"/>
      <c r="K14" s="26"/>
      <c r="L14" s="26"/>
      <c r="M14" s="29"/>
      <c r="N14" s="26"/>
      <c r="O14" s="27">
        <f>VLOOKUP(E14,'Achtergrond data'!$A$2:$Y$36,8,FALSE)+
IF(F14 = 0, VLOOKUP(E14,'Achtergrond data'!$A$2:$Y$36,7,FALSE), F14)</f>
        <v>0</v>
      </c>
      <c r="P14" s="27">
        <f t="shared" ref="P14:P22" si="1">O14*G14*I14*J14</f>
        <v>0</v>
      </c>
      <c r="Q14" s="27">
        <f>VLOOKUP(E14,'Achtergrond data'!A$3:Q$36,15,FALSE)</f>
        <v>0</v>
      </c>
      <c r="R14" s="27">
        <f t="shared" si="0"/>
        <v>0</v>
      </c>
      <c r="S14" s="27">
        <f>G14*I14*J14*VLOOKUP(E14,'Achtergrond data'!A$2:Z$36,9,FALSE)</f>
        <v>0</v>
      </c>
      <c r="T14" s="27">
        <f>G14*I14*J14*VLOOKUP(E14,'Achtergrond data'!$A$2:$Z$36,22,FALSE)</f>
        <v>0</v>
      </c>
      <c r="U14" s="27">
        <f t="shared" ref="U14:U22" si="2">T14-S14</f>
        <v>0</v>
      </c>
      <c r="V14" s="27">
        <f t="shared" ref="V14:V22" si="3">Q14*J14*H14*I14</f>
        <v>0</v>
      </c>
      <c r="W14" s="27">
        <f>(VLOOKUP(E14,'Achtergrond data'!A$3:V$36,22,FALSE))*H14*J14*I14</f>
        <v>0</v>
      </c>
      <c r="X14" s="27">
        <f xml:space="preserve"> VLOOKUP($E14,'Achtergrond data'!$A$3:$Y$36,20,FALSE) *G14 *J14 *I14</f>
        <v>0</v>
      </c>
      <c r="Y14" s="27">
        <f xml:space="preserve"> VLOOKUP($E14,'Achtergrond data'!$A$3:$Y$36,21,FALSE) *G14 *I14 * J14</f>
        <v>0</v>
      </c>
      <c r="Z14" s="27">
        <f>VLOOKUP($E14,'Achtergrond data'!$A$3:$AC$36,24,FALSE)*G14*I14*J14</f>
        <v>0</v>
      </c>
      <c r="AA14" s="27">
        <f>VLOOKUP($E14,'Achtergrond data'!$A$3:$AC$36,25,FALSE)*G14*I14*J14</f>
        <v>0</v>
      </c>
    </row>
    <row r="15" spans="1:27">
      <c r="A15" s="26"/>
      <c r="B15" s="26"/>
      <c r="C15" s="26"/>
      <c r="D15" s="26"/>
      <c r="E15" s="37" t="s">
        <v>124</v>
      </c>
      <c r="F15" s="37"/>
      <c r="G15" s="38"/>
      <c r="H15" s="38"/>
      <c r="I15" s="38"/>
      <c r="J15" s="39"/>
      <c r="K15" s="26"/>
      <c r="L15" s="26"/>
      <c r="M15" s="29"/>
      <c r="N15" s="26"/>
      <c r="O15" s="27">
        <f>VLOOKUP(E15,'Achtergrond data'!$A$2:$Y$36,8,FALSE)+
IF(F15 = 0, VLOOKUP(E15,'Achtergrond data'!$A$2:$Y$36,7,FALSE), F15)</f>
        <v>0</v>
      </c>
      <c r="P15" s="27">
        <f t="shared" si="1"/>
        <v>0</v>
      </c>
      <c r="Q15" s="27">
        <f>VLOOKUP(E15,'Achtergrond data'!A$3:Q$36,15,FALSE)</f>
        <v>0</v>
      </c>
      <c r="R15" s="27">
        <f t="shared" si="0"/>
        <v>0</v>
      </c>
      <c r="S15" s="27">
        <f>G15*I15*J15*VLOOKUP(E15,'Achtergrond data'!A$2:Z$36,9,FALSE)</f>
        <v>0</v>
      </c>
      <c r="T15" s="27">
        <f>G15*I15*J15*VLOOKUP(E15,'Achtergrond data'!$A$2:$Z$36,22,FALSE)</f>
        <v>0</v>
      </c>
      <c r="U15" s="27">
        <f t="shared" si="2"/>
        <v>0</v>
      </c>
      <c r="V15" s="27">
        <f t="shared" si="3"/>
        <v>0</v>
      </c>
      <c r="W15" s="27">
        <f>(VLOOKUP(E15,'Achtergrond data'!A$3:V$36,22,FALSE))*H15*J15*I15</f>
        <v>0</v>
      </c>
      <c r="X15" s="27">
        <f xml:space="preserve"> VLOOKUP($E15,'Achtergrond data'!$A$3:$Y$36,20,FALSE) *G15 *J15 *I15</f>
        <v>0</v>
      </c>
      <c r="Y15" s="27">
        <f xml:space="preserve"> VLOOKUP($E15,'Achtergrond data'!$A$3:$Y$36,21,FALSE) *G15 *I15 * J15</f>
        <v>0</v>
      </c>
      <c r="Z15" s="27">
        <f>VLOOKUP($E15,'Achtergrond data'!$A$3:$AC$36,24,FALSE)*G15*I15*J15</f>
        <v>0</v>
      </c>
      <c r="AA15" s="27">
        <f>VLOOKUP($E15,'Achtergrond data'!$A$3:$AC$36,25,FALSE)*G15*I15*J15</f>
        <v>0</v>
      </c>
    </row>
    <row r="16" spans="1:27">
      <c r="A16" s="26"/>
      <c r="B16" s="26"/>
      <c r="C16" s="26"/>
      <c r="D16" s="26"/>
      <c r="E16" s="37" t="s">
        <v>124</v>
      </c>
      <c r="F16" s="37"/>
      <c r="G16" s="38"/>
      <c r="H16" s="38"/>
      <c r="I16" s="38"/>
      <c r="J16" s="39"/>
      <c r="K16" s="26"/>
      <c r="L16" s="26"/>
      <c r="M16" s="29"/>
      <c r="N16" s="26"/>
      <c r="O16" s="27">
        <f>VLOOKUP(E16,'Achtergrond data'!$A$2:$Y$36,8,FALSE)+
IF(F16 = 0, VLOOKUP(E16,'Achtergrond data'!$A$2:$Y$36,7,FALSE), F16)</f>
        <v>0</v>
      </c>
      <c r="P16" s="27">
        <f t="shared" si="1"/>
        <v>0</v>
      </c>
      <c r="Q16" s="27">
        <f>VLOOKUP(E16,'Achtergrond data'!A$3:Q$36,15,FALSE)</f>
        <v>0</v>
      </c>
      <c r="R16" s="27">
        <f t="shared" si="0"/>
        <v>0</v>
      </c>
      <c r="S16" s="27">
        <f>G16*I16*J16*VLOOKUP(E16,'Achtergrond data'!A$2:Z$36,9,FALSE)</f>
        <v>0</v>
      </c>
      <c r="T16" s="27">
        <f>G16*I16*J16*VLOOKUP(E16,'Achtergrond data'!$A$2:$Z$36,22,FALSE)</f>
        <v>0</v>
      </c>
      <c r="U16" s="27">
        <f t="shared" si="2"/>
        <v>0</v>
      </c>
      <c r="V16" s="27">
        <f t="shared" si="3"/>
        <v>0</v>
      </c>
      <c r="W16" s="27">
        <f>(VLOOKUP(E16,'Achtergrond data'!A$3:V$36,22,FALSE))*H16*J16*I16</f>
        <v>0</v>
      </c>
      <c r="X16" s="27">
        <f xml:space="preserve"> VLOOKUP($E16,'Achtergrond data'!$A$3:$Y$36,20,FALSE) *G16 *J16 *I16</f>
        <v>0</v>
      </c>
      <c r="Y16" s="27">
        <f xml:space="preserve"> VLOOKUP($E16,'Achtergrond data'!$A$3:$Y$36,21,FALSE) *G16 *I16 * J16</f>
        <v>0</v>
      </c>
      <c r="Z16" s="27">
        <f>VLOOKUP($E16,'Achtergrond data'!$A$3:$AC$36,24,FALSE)*G16*I16*J16</f>
        <v>0</v>
      </c>
      <c r="AA16" s="27">
        <f>VLOOKUP($E16,'Achtergrond data'!$A$3:$AC$36,25,FALSE)*G16*I16*J16</f>
        <v>0</v>
      </c>
    </row>
    <row r="17" spans="1:27">
      <c r="A17" s="26"/>
      <c r="B17" s="26"/>
      <c r="C17" s="26"/>
      <c r="D17" s="26"/>
      <c r="E17" s="37" t="s">
        <v>124</v>
      </c>
      <c r="F17" s="37"/>
      <c r="G17" s="38"/>
      <c r="H17" s="38"/>
      <c r="I17" s="38"/>
      <c r="J17" s="39"/>
      <c r="K17" s="26"/>
      <c r="L17" s="26"/>
      <c r="M17" s="29"/>
      <c r="N17" s="26"/>
      <c r="O17" s="27">
        <f>VLOOKUP(E17,'Achtergrond data'!$A$2:$Y$36,8,FALSE)+
IF(F17 = 0, VLOOKUP(E17,'Achtergrond data'!$A$2:$Y$36,7,FALSE), F17)</f>
        <v>0</v>
      </c>
      <c r="P17" s="27">
        <f t="shared" si="1"/>
        <v>0</v>
      </c>
      <c r="Q17" s="27">
        <f>VLOOKUP(E17,'Achtergrond data'!A$3:Q$36,15,FALSE)</f>
        <v>0</v>
      </c>
      <c r="R17" s="27">
        <f t="shared" si="0"/>
        <v>0</v>
      </c>
      <c r="S17" s="27">
        <f>G17*I17*J17*VLOOKUP(E17,'Achtergrond data'!A$2:Z$36,9,FALSE)</f>
        <v>0</v>
      </c>
      <c r="T17" s="27">
        <f>G17*I17*J17*VLOOKUP(E17,'Achtergrond data'!$A$2:$Z$36,22,FALSE)</f>
        <v>0</v>
      </c>
      <c r="U17" s="27">
        <f t="shared" si="2"/>
        <v>0</v>
      </c>
      <c r="V17" s="27">
        <f t="shared" si="3"/>
        <v>0</v>
      </c>
      <c r="W17" s="27">
        <f>(VLOOKUP(E17,'Achtergrond data'!A$3:V$36,22,FALSE))*H17*J17*I17</f>
        <v>0</v>
      </c>
      <c r="X17" s="27">
        <f xml:space="preserve"> VLOOKUP($E17,'Achtergrond data'!$A$3:$Y$36,20,FALSE) *G17 *J17 *I17</f>
        <v>0</v>
      </c>
      <c r="Y17" s="27">
        <f xml:space="preserve"> VLOOKUP($E17,'Achtergrond data'!$A$3:$Y$36,21,FALSE) *G17 *I17 * J17</f>
        <v>0</v>
      </c>
      <c r="Z17" s="27">
        <f>VLOOKUP($E17,'Achtergrond data'!$A$3:$AC$36,24,FALSE)*G17*I17*J17</f>
        <v>0</v>
      </c>
      <c r="AA17" s="27">
        <f>VLOOKUP($E17,'Achtergrond data'!$A$3:$AC$36,25,FALSE)*G17*I17*J17</f>
        <v>0</v>
      </c>
    </row>
    <row r="18" spans="1:27">
      <c r="A18" s="26"/>
      <c r="B18" s="26"/>
      <c r="C18" s="26"/>
      <c r="D18" s="26"/>
      <c r="E18" s="37" t="s">
        <v>124</v>
      </c>
      <c r="F18" s="37"/>
      <c r="G18" s="38"/>
      <c r="H18" s="38"/>
      <c r="I18" s="38"/>
      <c r="J18" s="39"/>
      <c r="K18" s="26"/>
      <c r="L18" s="26"/>
      <c r="M18" s="29"/>
      <c r="N18" s="26"/>
      <c r="O18" s="27">
        <f>VLOOKUP(E18,'Achtergrond data'!$A$2:$Y$36,8,FALSE)+
IF(F18 = 0, VLOOKUP(E18,'Achtergrond data'!$A$2:$Y$36,7,FALSE), F18)</f>
        <v>0</v>
      </c>
      <c r="P18" s="27">
        <f t="shared" si="1"/>
        <v>0</v>
      </c>
      <c r="Q18" s="27">
        <f>VLOOKUP(E18,'Achtergrond data'!A$3:Q$36,15,FALSE)</f>
        <v>0</v>
      </c>
      <c r="R18" s="27">
        <f t="shared" si="0"/>
        <v>0</v>
      </c>
      <c r="S18" s="27">
        <f>G18*I18*J18*VLOOKUP(E18,'Achtergrond data'!A$2:Z$36,9,FALSE)</f>
        <v>0</v>
      </c>
      <c r="T18" s="27">
        <f>G18*I18*J18*VLOOKUP(E18,'Achtergrond data'!$A$2:$Z$36,22,FALSE)</f>
        <v>0</v>
      </c>
      <c r="U18" s="27">
        <f t="shared" si="2"/>
        <v>0</v>
      </c>
      <c r="V18" s="27">
        <f t="shared" si="3"/>
        <v>0</v>
      </c>
      <c r="W18" s="27">
        <f>(VLOOKUP(E18,'Achtergrond data'!A$3:V$36,22,FALSE))*H18*J18*I18</f>
        <v>0</v>
      </c>
      <c r="X18" s="27">
        <f xml:space="preserve"> VLOOKUP($E18,'Achtergrond data'!$A$3:$Y$36,20,FALSE) *G18 *J18 *I18</f>
        <v>0</v>
      </c>
      <c r="Y18" s="27">
        <f xml:space="preserve"> VLOOKUP($E18,'Achtergrond data'!$A$3:$Y$36,21,FALSE) *G18 *I18 * J18</f>
        <v>0</v>
      </c>
      <c r="Z18" s="27">
        <f>VLOOKUP($E18,'Achtergrond data'!$A$3:$AC$36,24,FALSE)*G18*I18*J18</f>
        <v>0</v>
      </c>
      <c r="AA18" s="27">
        <f>VLOOKUP($E18,'Achtergrond data'!$A$3:$AC$36,25,FALSE)*G18*I18*J18</f>
        <v>0</v>
      </c>
    </row>
    <row r="19" spans="1:27">
      <c r="A19" s="26"/>
      <c r="B19" s="26"/>
      <c r="C19" s="26"/>
      <c r="D19" s="26"/>
      <c r="E19" s="37" t="s">
        <v>124</v>
      </c>
      <c r="F19" s="37"/>
      <c r="G19" s="38"/>
      <c r="H19" s="38"/>
      <c r="I19" s="38"/>
      <c r="J19" s="39"/>
      <c r="K19" s="26"/>
      <c r="L19" s="26"/>
      <c r="M19" s="29"/>
      <c r="N19" s="26"/>
      <c r="O19" s="27">
        <f>VLOOKUP(E19,'Achtergrond data'!$A$2:$Y$36,8,FALSE)+
IF(F19 = 0, VLOOKUP(E19,'Achtergrond data'!$A$2:$Y$36,7,FALSE), F19)</f>
        <v>0</v>
      </c>
      <c r="P19" s="27">
        <f t="shared" si="1"/>
        <v>0</v>
      </c>
      <c r="Q19" s="27">
        <f>VLOOKUP(E19,'Achtergrond data'!A$3:Q$36,15,FALSE)</f>
        <v>0</v>
      </c>
      <c r="R19" s="27">
        <f t="shared" si="0"/>
        <v>0</v>
      </c>
      <c r="S19" s="27">
        <f>G19*I19*J19*VLOOKUP(E19,'Achtergrond data'!A$2:Z$36,9,FALSE)</f>
        <v>0</v>
      </c>
      <c r="T19" s="27">
        <f>G19*I19*J19*VLOOKUP(E19,'Achtergrond data'!$A$2:$Z$36,22,FALSE)</f>
        <v>0</v>
      </c>
      <c r="U19" s="27">
        <f t="shared" si="2"/>
        <v>0</v>
      </c>
      <c r="V19" s="27">
        <f t="shared" si="3"/>
        <v>0</v>
      </c>
      <c r="W19" s="27">
        <f>(VLOOKUP(E19,'Achtergrond data'!A$3:V$36,22,FALSE))*H19*J19*I19</f>
        <v>0</v>
      </c>
      <c r="X19" s="27">
        <f xml:space="preserve"> VLOOKUP($E19,'Achtergrond data'!$A$3:$Y$36,20,FALSE) *G19 *J19 *I19</f>
        <v>0</v>
      </c>
      <c r="Y19" s="27">
        <f xml:space="preserve"> VLOOKUP($E19,'Achtergrond data'!$A$3:$Y$36,21,FALSE) *G19 *I19 * J19</f>
        <v>0</v>
      </c>
      <c r="Z19" s="27">
        <f>VLOOKUP($E19,'Achtergrond data'!$A$3:$AC$36,24,FALSE)*G19*I19*J19</f>
        <v>0</v>
      </c>
      <c r="AA19" s="27">
        <f>VLOOKUP($E19,'Achtergrond data'!$A$3:$AC$36,25,FALSE)*G19*I19*J19</f>
        <v>0</v>
      </c>
    </row>
    <row r="20" spans="1:27">
      <c r="A20" s="26"/>
      <c r="B20" s="26"/>
      <c r="C20" s="26"/>
      <c r="D20" s="26"/>
      <c r="E20" s="37" t="s">
        <v>124</v>
      </c>
      <c r="F20" s="37"/>
      <c r="G20" s="38"/>
      <c r="H20" s="38"/>
      <c r="I20" s="38"/>
      <c r="J20" s="39"/>
      <c r="K20" s="26"/>
      <c r="L20" s="26"/>
      <c r="M20" s="29"/>
      <c r="N20" s="26"/>
      <c r="O20" s="27">
        <f>VLOOKUP(E20,'Achtergrond data'!$A$2:$Y$36,8,FALSE)+
IF(F20 = 0, VLOOKUP(E20,'Achtergrond data'!$A$2:$Y$36,7,FALSE), F20)</f>
        <v>0</v>
      </c>
      <c r="P20" s="27">
        <f t="shared" si="1"/>
        <v>0</v>
      </c>
      <c r="Q20" s="27">
        <f>VLOOKUP(E20,'Achtergrond data'!A$3:Q$36,15,FALSE)</f>
        <v>0</v>
      </c>
      <c r="R20" s="27">
        <f t="shared" si="0"/>
        <v>0</v>
      </c>
      <c r="S20" s="27">
        <f>G20*I20*J20*VLOOKUP(E20,'Achtergrond data'!A$2:Z$36,9,FALSE)</f>
        <v>0</v>
      </c>
      <c r="T20" s="27">
        <f>G20*I20*J20*VLOOKUP(E20,'Achtergrond data'!$A$2:$Z$36,22,FALSE)</f>
        <v>0</v>
      </c>
      <c r="U20" s="27">
        <f t="shared" si="2"/>
        <v>0</v>
      </c>
      <c r="V20" s="27">
        <f t="shared" si="3"/>
        <v>0</v>
      </c>
      <c r="W20" s="27">
        <f>(VLOOKUP(E20,'Achtergrond data'!A$3:V$36,22,FALSE))*H20*J20*I20</f>
        <v>0</v>
      </c>
      <c r="X20" s="27">
        <f xml:space="preserve"> VLOOKUP($E20,'Achtergrond data'!$A$3:$Y$36,20,FALSE) *G20 *J20 *I20</f>
        <v>0</v>
      </c>
      <c r="Y20" s="27">
        <f xml:space="preserve"> VLOOKUP($E20,'Achtergrond data'!$A$3:$Y$36,21,FALSE) *G20 *I20 * J20</f>
        <v>0</v>
      </c>
      <c r="Z20" s="27">
        <f>VLOOKUP($E20,'Achtergrond data'!$A$3:$AC$36,24,FALSE)*G20*I20*J20</f>
        <v>0</v>
      </c>
      <c r="AA20" s="27">
        <f>VLOOKUP($E20,'Achtergrond data'!$A$3:$AC$36,25,FALSE)*G20*I20*J20</f>
        <v>0</v>
      </c>
    </row>
    <row r="21" spans="1:27">
      <c r="A21" s="26"/>
      <c r="B21" s="26"/>
      <c r="C21" s="26"/>
      <c r="D21" s="26"/>
      <c r="E21" s="37" t="s">
        <v>124</v>
      </c>
      <c r="F21" s="37"/>
      <c r="G21" s="38"/>
      <c r="H21" s="38"/>
      <c r="I21" s="38"/>
      <c r="J21" s="39"/>
      <c r="K21" s="26"/>
      <c r="L21" s="26"/>
      <c r="M21" s="29"/>
      <c r="N21" s="26"/>
      <c r="O21" s="27">
        <f>VLOOKUP(E21,'Achtergrond data'!$A$2:$Y$36,8,FALSE)+
IF(F21 = 0, VLOOKUP(E21,'Achtergrond data'!$A$2:$Y$36,7,FALSE), F21)</f>
        <v>0</v>
      </c>
      <c r="P21" s="27">
        <f t="shared" si="1"/>
        <v>0</v>
      </c>
      <c r="Q21" s="27">
        <f>VLOOKUP(E21,'Achtergrond data'!A$3:Q$36,15,FALSE)</f>
        <v>0</v>
      </c>
      <c r="R21" s="27">
        <f t="shared" si="0"/>
        <v>0</v>
      </c>
      <c r="S21" s="27">
        <f>G21*I21*J21*VLOOKUP(E21,'Achtergrond data'!A$2:Z$36,9,FALSE)</f>
        <v>0</v>
      </c>
      <c r="T21" s="27">
        <f>G21*I21*J21*VLOOKUP(E21,'Achtergrond data'!$A$2:$Z$36,22,FALSE)</f>
        <v>0</v>
      </c>
      <c r="U21" s="27">
        <f t="shared" si="2"/>
        <v>0</v>
      </c>
      <c r="V21" s="27">
        <f t="shared" si="3"/>
        <v>0</v>
      </c>
      <c r="W21" s="27">
        <f>(VLOOKUP(E21,'Achtergrond data'!A$3:V$36,22,FALSE))*H21*J21*I21</f>
        <v>0</v>
      </c>
      <c r="X21" s="27">
        <f xml:space="preserve"> VLOOKUP($E21,'Achtergrond data'!$A$3:$Y$36,20,FALSE) *G21 *J21 *I21</f>
        <v>0</v>
      </c>
      <c r="Y21" s="27">
        <f xml:space="preserve"> VLOOKUP($E21,'Achtergrond data'!$A$3:$Y$36,21,FALSE) *G21 *I21 * J21</f>
        <v>0</v>
      </c>
      <c r="Z21" s="27">
        <f>VLOOKUP($E21,'Achtergrond data'!$A$3:$AC$36,24,FALSE)*G21*I21*J21</f>
        <v>0</v>
      </c>
      <c r="AA21" s="27">
        <f>VLOOKUP($E21,'Achtergrond data'!$A$3:$AC$36,25,FALSE)*G21*I21*J21</f>
        <v>0</v>
      </c>
    </row>
    <row r="22" spans="1:27" ht="13.5" thickBot="1">
      <c r="A22" s="26"/>
      <c r="B22" s="26"/>
      <c r="C22" s="26"/>
      <c r="D22" s="26"/>
      <c r="E22" s="40" t="s">
        <v>124</v>
      </c>
      <c r="F22" s="40"/>
      <c r="G22" s="41"/>
      <c r="H22" s="41"/>
      <c r="I22" s="41"/>
      <c r="J22" s="42"/>
      <c r="K22" s="26"/>
      <c r="L22" s="26"/>
      <c r="M22" s="29"/>
      <c r="N22" s="26"/>
      <c r="O22" s="27">
        <f>VLOOKUP(E22,'Achtergrond data'!$A$2:$Y$36,8,FALSE)+
IF(F22 = 0, VLOOKUP(E22,'Achtergrond data'!$A$2:$Y$36,7,FALSE), F22)</f>
        <v>0</v>
      </c>
      <c r="P22" s="27">
        <f t="shared" si="1"/>
        <v>0</v>
      </c>
      <c r="Q22" s="27">
        <f>VLOOKUP(E22,'Achtergrond data'!A$3:Q$36,15,FALSE)</f>
        <v>0</v>
      </c>
      <c r="R22" s="27">
        <f t="shared" si="0"/>
        <v>0</v>
      </c>
      <c r="S22" s="27">
        <f>G22*I22*J22*VLOOKUP(E22,'Achtergrond data'!A$2:Z$36,9,FALSE)</f>
        <v>0</v>
      </c>
      <c r="T22" s="27">
        <f>G22*I22*J22*VLOOKUP(E22,'Achtergrond data'!$A$2:$Z$36,22,FALSE)</f>
        <v>0</v>
      </c>
      <c r="U22" s="27">
        <f t="shared" si="2"/>
        <v>0</v>
      </c>
      <c r="V22" s="27">
        <f t="shared" si="3"/>
        <v>0</v>
      </c>
      <c r="W22" s="27">
        <f>(VLOOKUP(E22,'Achtergrond data'!A$3:V$36,22,FALSE))*H22*J22*I22</f>
        <v>0</v>
      </c>
      <c r="X22" s="27">
        <f xml:space="preserve"> VLOOKUP($E22,'Achtergrond data'!$A$3:$Y$36,20,FALSE) *G22 *J22 *I22</f>
        <v>0</v>
      </c>
      <c r="Y22" s="27">
        <f xml:space="preserve"> VLOOKUP($E22,'Achtergrond data'!$A$3:$Y$36,21,FALSE) *G22 *I22 * J22</f>
        <v>0</v>
      </c>
      <c r="Z22" s="27">
        <f>VLOOKUP($E22,'Achtergrond data'!$A$3:$AC$36,24,FALSE)*G22*I22*J22</f>
        <v>0</v>
      </c>
      <c r="AA22" s="27">
        <f>VLOOKUP($E22,'Achtergrond data'!$A$3:$AC$36,25,FALSE)*G22*I22*J22</f>
        <v>0</v>
      </c>
    </row>
    <row r="23" spans="1:27" ht="13.5" thickTop="1">
      <c r="A23" s="26"/>
      <c r="B23" s="26"/>
      <c r="C23" s="26"/>
      <c r="D23" s="26"/>
      <c r="E23" s="26"/>
      <c r="F23" s="26"/>
      <c r="G23" s="26"/>
      <c r="H23" s="26"/>
      <c r="I23" s="26"/>
      <c r="J23" s="32"/>
      <c r="K23" s="26"/>
      <c r="L23" s="26"/>
      <c r="M23" s="26"/>
      <c r="N23" s="26"/>
      <c r="O23" s="27" t="s">
        <v>130</v>
      </c>
      <c r="P23" s="27">
        <f>SUM(P13:P22)</f>
        <v>0</v>
      </c>
      <c r="R23" s="27">
        <f>SUM(R13:R22)</f>
        <v>0</v>
      </c>
      <c r="U23" s="27">
        <f>SUM(U13:U22)</f>
        <v>0</v>
      </c>
      <c r="V23" s="27">
        <f>SUM(V13:V22)</f>
        <v>0</v>
      </c>
      <c r="W23" s="27">
        <f>SUM(W13:W22)</f>
        <v>0</v>
      </c>
      <c r="X23" s="27">
        <f t="shared" ref="X23:AA23" si="4">SUM(X13:X22)</f>
        <v>0</v>
      </c>
      <c r="Y23" s="27">
        <f t="shared" si="4"/>
        <v>0</v>
      </c>
      <c r="Z23" s="27">
        <f t="shared" si="4"/>
        <v>0</v>
      </c>
      <c r="AA23" s="27">
        <f t="shared" si="4"/>
        <v>0</v>
      </c>
    </row>
    <row r="24" spans="1:27">
      <c r="A24" s="26"/>
      <c r="B24" s="26"/>
      <c r="C24" s="26"/>
      <c r="D24" s="26"/>
      <c r="E24" s="26"/>
      <c r="F24" s="26"/>
      <c r="G24" s="26"/>
      <c r="H24" s="26"/>
      <c r="I24" s="26"/>
      <c r="J24" s="26"/>
      <c r="K24" s="26"/>
      <c r="L24" s="26"/>
      <c r="M24" s="26"/>
      <c r="N24" s="26"/>
    </row>
    <row r="25" spans="1:27">
      <c r="A25" s="26"/>
      <c r="B25" s="26"/>
      <c r="C25" s="31" t="s">
        <v>126</v>
      </c>
      <c r="D25" s="26"/>
      <c r="E25" s="26"/>
      <c r="F25" s="26"/>
      <c r="G25" s="26"/>
      <c r="H25" s="26"/>
      <c r="I25" s="26"/>
      <c r="J25" s="26"/>
      <c r="K25" s="26"/>
      <c r="L25" s="26"/>
      <c r="M25" s="26"/>
      <c r="N25" s="26"/>
    </row>
    <row r="26" spans="1:27">
      <c r="A26" s="26"/>
      <c r="B26" s="26"/>
      <c r="C26" s="32" t="s">
        <v>213</v>
      </c>
      <c r="D26" s="26"/>
      <c r="E26" s="43">
        <f>IF(OR(E13 &lt;&gt; "-", E14 &lt;&gt; "-", E15 &lt;&gt; "-", E16 &lt;&gt; "-", E17 &lt;&gt; "-", E18 &lt;&gt; "-", E19 &lt;&gt; "-", E20 &lt;&gt; "-", E21 &lt;&gt; "-", E22 &lt;&gt; "-"), R23-P23+V23, 0)</f>
        <v>0</v>
      </c>
      <c r="F26" s="26"/>
      <c r="G26" s="58"/>
      <c r="H26" s="26"/>
      <c r="I26" s="26"/>
      <c r="J26" s="26"/>
      <c r="K26" s="26"/>
      <c r="L26" s="26"/>
      <c r="M26" s="26"/>
      <c r="N26" s="26"/>
    </row>
    <row r="27" spans="1:27" ht="12.75" customHeight="1">
      <c r="A27" s="26"/>
      <c r="B27" s="26"/>
      <c r="C27" s="32" t="s">
        <v>250</v>
      </c>
      <c r="D27" s="26"/>
      <c r="E27" s="59">
        <f>(U23/1000)+(W23/1000)</f>
        <v>0</v>
      </c>
      <c r="F27" s="26"/>
      <c r="G27" s="58"/>
      <c r="H27" s="26"/>
      <c r="I27" s="26"/>
      <c r="J27" s="26"/>
      <c r="K27" s="26"/>
      <c r="L27" s="26"/>
      <c r="M27" s="26"/>
      <c r="N27" s="26"/>
    </row>
    <row r="28" spans="1:27" ht="12.75" customHeight="1">
      <c r="A28" s="26"/>
      <c r="B28" s="26"/>
      <c r="C28" s="32" t="s">
        <v>207</v>
      </c>
      <c r="D28" s="26"/>
      <c r="E28" s="50">
        <f>X23-Z23</f>
        <v>0</v>
      </c>
      <c r="F28" s="26"/>
      <c r="G28" s="26"/>
      <c r="H28" s="26"/>
      <c r="I28" s="26"/>
      <c r="J28" s="26"/>
      <c r="K28" s="26"/>
      <c r="L28" s="26"/>
      <c r="M28" s="26"/>
      <c r="N28" s="26"/>
    </row>
    <row r="29" spans="1:27" ht="12.75" customHeight="1">
      <c r="A29" s="26"/>
      <c r="B29" s="26"/>
      <c r="C29" s="32" t="s">
        <v>206</v>
      </c>
      <c r="D29" s="26"/>
      <c r="E29" s="50">
        <f>Y23-AA23</f>
        <v>0</v>
      </c>
      <c r="F29" s="26"/>
      <c r="G29" s="26"/>
      <c r="H29" s="26"/>
      <c r="I29" s="26"/>
      <c r="J29" s="26"/>
      <c r="K29" s="26"/>
      <c r="L29" s="26"/>
      <c r="M29" s="26"/>
      <c r="N29" s="26"/>
    </row>
    <row r="30" spans="1:27" ht="12.75" customHeight="1">
      <c r="A30" s="26"/>
      <c r="B30" s="26"/>
      <c r="C30" s="26"/>
      <c r="D30" s="26"/>
      <c r="E30" s="26"/>
      <c r="F30" s="26"/>
      <c r="G30" s="26"/>
      <c r="H30" s="26"/>
      <c r="I30" s="26"/>
      <c r="J30" s="26"/>
      <c r="K30" s="26"/>
      <c r="L30" s="26"/>
      <c r="M30" s="26"/>
      <c r="N30" s="26"/>
    </row>
    <row r="31" spans="1:27" ht="12.75" customHeight="1">
      <c r="A31" s="26"/>
      <c r="B31" s="26"/>
      <c r="C31" s="26"/>
      <c r="D31" s="26"/>
      <c r="E31" s="26"/>
      <c r="F31" s="26"/>
      <c r="G31" s="26"/>
      <c r="H31" s="26"/>
      <c r="I31" s="26"/>
      <c r="J31" s="26"/>
      <c r="K31" s="26"/>
      <c r="L31" s="26"/>
      <c r="M31" s="26"/>
      <c r="N31" s="26"/>
    </row>
    <row r="32" spans="1:27" ht="12.75" customHeight="1">
      <c r="A32" s="26"/>
      <c r="B32" s="26"/>
      <c r="C32" s="26"/>
      <c r="D32" s="26"/>
      <c r="E32" s="26"/>
      <c r="F32" s="26"/>
      <c r="G32" s="26"/>
      <c r="H32" s="26"/>
      <c r="I32" s="26"/>
      <c r="J32" s="26"/>
      <c r="K32" s="26"/>
      <c r="L32" s="26"/>
      <c r="M32" s="26"/>
      <c r="N32" s="26"/>
    </row>
    <row r="33" spans="1:14">
      <c r="A33" s="26"/>
      <c r="B33" s="26"/>
      <c r="C33" s="26"/>
      <c r="D33" s="26"/>
      <c r="E33" s="26"/>
      <c r="F33" s="26"/>
      <c r="G33" s="26"/>
      <c r="H33" s="26"/>
      <c r="I33" s="26"/>
      <c r="J33" s="32"/>
      <c r="K33" s="26"/>
      <c r="L33" s="26"/>
      <c r="M33" s="26"/>
      <c r="N33" s="26"/>
    </row>
    <row r="34" spans="1:14" ht="12.75" customHeight="1">
      <c r="A34" s="26"/>
      <c r="B34" s="26"/>
      <c r="C34" s="26"/>
      <c r="D34" s="26"/>
      <c r="E34" s="26"/>
      <c r="F34" s="26"/>
      <c r="G34" s="26"/>
      <c r="H34" s="26"/>
      <c r="I34" s="26"/>
      <c r="J34" s="32"/>
      <c r="K34" s="26"/>
      <c r="L34" s="26"/>
      <c r="M34" s="26"/>
      <c r="N34" s="26"/>
    </row>
    <row r="35" spans="1:14" ht="12.75" customHeight="1">
      <c r="A35" s="26"/>
      <c r="B35" s="26"/>
      <c r="C35" s="26"/>
      <c r="D35" s="26"/>
      <c r="E35" s="26"/>
      <c r="F35" s="26"/>
      <c r="G35" s="26"/>
      <c r="H35" s="26"/>
      <c r="I35" s="26"/>
      <c r="J35" s="32"/>
      <c r="K35" s="26"/>
      <c r="L35" s="26"/>
      <c r="M35" s="26"/>
      <c r="N35" s="26"/>
    </row>
    <row r="36" spans="1:14">
      <c r="A36" s="26"/>
      <c r="B36" s="26"/>
      <c r="C36" s="26"/>
      <c r="D36" s="26"/>
      <c r="E36" s="26"/>
      <c r="F36" s="26"/>
      <c r="G36" s="26"/>
      <c r="H36" s="26"/>
      <c r="I36" s="26"/>
      <c r="J36" s="26"/>
      <c r="K36" s="26"/>
      <c r="L36" s="26"/>
      <c r="M36" s="26"/>
      <c r="N36" s="26"/>
    </row>
    <row r="37" spans="1:14">
      <c r="A37" s="26"/>
      <c r="B37" s="26"/>
      <c r="C37" s="26"/>
      <c r="D37" s="26"/>
      <c r="E37" s="26"/>
      <c r="F37" s="26"/>
      <c r="G37" s="26"/>
      <c r="H37" s="26"/>
      <c r="I37" s="26"/>
      <c r="J37" s="26"/>
      <c r="K37" s="26"/>
      <c r="L37" s="26"/>
      <c r="M37" s="26"/>
      <c r="N37" s="26"/>
    </row>
    <row r="38" spans="1:14">
      <c r="A38" s="26"/>
      <c r="B38" s="26"/>
      <c r="C38" s="26"/>
      <c r="D38" s="26"/>
      <c r="E38" s="26"/>
      <c r="F38" s="26"/>
      <c r="G38" s="26"/>
      <c r="H38" s="26"/>
      <c r="I38" s="26"/>
      <c r="J38" s="26"/>
      <c r="K38" s="26"/>
      <c r="L38" s="26"/>
      <c r="M38" s="26"/>
      <c r="N38" s="26"/>
    </row>
    <row r="39" spans="1:14">
      <c r="A39" s="26"/>
      <c r="B39" s="26"/>
      <c r="C39" s="26"/>
      <c r="D39" s="26"/>
      <c r="E39" s="26"/>
      <c r="F39" s="26"/>
      <c r="G39" s="26"/>
      <c r="H39" s="26"/>
      <c r="I39" s="26"/>
      <c r="J39" s="26"/>
      <c r="K39" s="26"/>
      <c r="L39" s="26"/>
      <c r="M39" s="26"/>
      <c r="N39" s="26"/>
    </row>
    <row r="40" spans="1:14">
      <c r="A40" s="26"/>
      <c r="B40" s="26"/>
      <c r="C40" s="26"/>
      <c r="D40" s="26"/>
      <c r="E40" s="26"/>
      <c r="F40" s="26"/>
      <c r="G40" s="26"/>
      <c r="H40" s="26"/>
      <c r="I40" s="26"/>
      <c r="J40" s="26"/>
      <c r="K40" s="26"/>
      <c r="L40" s="26"/>
      <c r="M40" s="26"/>
      <c r="N40" s="26"/>
    </row>
    <row r="41" spans="1:14">
      <c r="A41" s="26"/>
      <c r="B41" s="26"/>
      <c r="C41" s="26"/>
      <c r="D41" s="26"/>
      <c r="E41" s="26"/>
      <c r="F41" s="26"/>
      <c r="G41" s="26"/>
      <c r="H41" s="26"/>
      <c r="I41" s="26"/>
      <c r="J41" s="26"/>
      <c r="K41" s="26"/>
      <c r="L41" s="26"/>
      <c r="M41" s="26"/>
      <c r="N41" s="26"/>
    </row>
    <row r="42" spans="1:14">
      <c r="A42" s="26"/>
      <c r="B42" s="26"/>
      <c r="C42" s="26"/>
      <c r="D42" s="26"/>
      <c r="E42" s="26"/>
      <c r="F42" s="26"/>
      <c r="G42" s="26"/>
      <c r="H42" s="26"/>
      <c r="I42" s="26"/>
      <c r="J42" s="26"/>
      <c r="K42" s="26"/>
      <c r="L42" s="26"/>
      <c r="M42" s="26"/>
      <c r="N42" s="26"/>
    </row>
    <row r="43" spans="1:14">
      <c r="A43" s="26"/>
      <c r="B43" s="26"/>
      <c r="C43" s="26"/>
      <c r="D43" s="26"/>
      <c r="E43" s="26"/>
      <c r="F43" s="26"/>
      <c r="G43" s="26"/>
      <c r="H43" s="26"/>
      <c r="I43" s="26"/>
      <c r="J43" s="26"/>
      <c r="K43" s="26"/>
      <c r="L43" s="26"/>
      <c r="M43" s="26"/>
      <c r="N43" s="26"/>
    </row>
    <row r="44" spans="1:14">
      <c r="A44" s="26"/>
      <c r="B44" s="26"/>
      <c r="C44" s="26"/>
      <c r="D44" s="26"/>
      <c r="E44" s="26"/>
      <c r="F44" s="26"/>
      <c r="G44" s="26"/>
      <c r="H44" s="26"/>
      <c r="I44" s="26"/>
      <c r="J44" s="26"/>
      <c r="K44" s="26"/>
      <c r="L44" s="26"/>
      <c r="M44" s="26"/>
      <c r="N44" s="26"/>
    </row>
    <row r="45" spans="1:14">
      <c r="A45" s="26"/>
      <c r="B45" s="26"/>
      <c r="C45" s="26"/>
      <c r="D45" s="26"/>
      <c r="E45" s="26"/>
      <c r="F45" s="26"/>
      <c r="G45" s="26"/>
      <c r="H45" s="26"/>
      <c r="I45" s="26"/>
      <c r="J45" s="26"/>
      <c r="K45" s="26"/>
      <c r="L45" s="26"/>
      <c r="M45" s="26"/>
      <c r="N45" s="26"/>
    </row>
    <row r="46" spans="1:14" hidden="1"/>
  </sheetData>
  <sheetProtection password="F10C" sheet="1" objects="1" scenarios="1"/>
  <mergeCells count="1">
    <mergeCell ref="B2:L2"/>
  </mergeCells>
  <conditionalFormatting sqref="J9 E26:E29">
    <cfRule type="cellIs" dxfId="2" priority="29" operator="lessThan">
      <formula>0</formula>
    </cfRule>
    <cfRule type="cellIs" dxfId="1" priority="30" operator="greaterThan">
      <formula>0</formula>
    </cfRule>
  </conditionalFormatting>
  <dataValidations count="2">
    <dataValidation type="decimal" operator="greaterThanOrEqual" allowBlank="1" showInputMessage="1" showErrorMessage="1" sqref="F14:F22 G13:J22" xr:uid="{00000000-0002-0000-0000-000000000000}">
      <formula1>0</formula1>
    </dataValidation>
    <dataValidation type="custom" operator="greaterThanOrEqual" allowBlank="1" showInputMessage="1" showErrorMessage="1" sqref="F13" xr:uid="{00000000-0002-0000-0000-000001000000}">
      <formula1 xml:space="preserve"> E13 &lt;&gt; "Auto, Elektrisch, Grijze stroom"</formula1>
    </dataValidation>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33" id="{6E8C3B5F-A8C4-4AAA-A93D-3C9B6BEF60AB}">
            <xm:f xml:space="preserve"> VLOOKUP(E13,'Achtergrond data'!A$3:Y$36,23,FALSE) = 1</xm:f>
            <x14:dxf>
              <fill>
                <patternFill>
                  <bgColor theme="0" tint="-0.34998626667073579"/>
                </patternFill>
              </fill>
            </x14:dxf>
          </x14:cfRule>
          <xm:sqref>F13:F22</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'Achtergrond data'!$A$3:$A$36</xm:f>
          </x14:formula1>
          <xm:sqref>E13:E22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16"/>
  <sheetViews>
    <sheetView topLeftCell="I1" zoomScale="85" zoomScaleNormal="85" workbookViewId="0">
      <selection activeCell="V3" sqref="V3"/>
    </sheetView>
  </sheetViews>
  <sheetFormatPr defaultRowHeight="12.75"/>
  <cols>
    <col min="1" max="1" width="19.6640625" customWidth="1"/>
    <col min="2" max="2" width="64.5" bestFit="1" customWidth="1"/>
    <col min="3" max="3" width="24.5" bestFit="1" customWidth="1"/>
    <col min="4" max="4" width="62.83203125" bestFit="1" customWidth="1"/>
    <col min="5" max="5" width="22" bestFit="1" customWidth="1"/>
    <col min="6" max="6" width="25" bestFit="1" customWidth="1"/>
    <col min="7" max="8" width="23.5" bestFit="1" customWidth="1"/>
    <col min="9" max="9" width="23.5" customWidth="1"/>
    <col min="10" max="10" width="16.5" customWidth="1"/>
    <col min="11" max="11" width="34.1640625" bestFit="1" customWidth="1"/>
    <col min="12" max="12" width="14.33203125" bestFit="1" customWidth="1"/>
    <col min="13" max="13" width="41.33203125" bestFit="1" customWidth="1"/>
    <col min="14" max="14" width="16.83203125" bestFit="1" customWidth="1"/>
    <col min="15" max="15" width="24.33203125" bestFit="1" customWidth="1"/>
    <col min="16" max="17" width="23.5" bestFit="1" customWidth="1"/>
    <col min="18" max="18" width="17.5" bestFit="1" customWidth="1"/>
    <col min="19" max="19" width="9" customWidth="1"/>
    <col min="20" max="20" width="33" bestFit="1" customWidth="1"/>
    <col min="21" max="21" width="32" bestFit="1" customWidth="1"/>
    <col min="22" max="22" width="10.1640625" bestFit="1" customWidth="1"/>
  </cols>
  <sheetData>
    <row r="1" spans="1:27" ht="15.75">
      <c r="B1" s="1" t="s">
        <v>54</v>
      </c>
      <c r="C1" s="2"/>
      <c r="D1" s="2"/>
      <c r="E1" s="2"/>
      <c r="F1" s="2" t="s">
        <v>47</v>
      </c>
      <c r="G1" s="2" t="s">
        <v>48</v>
      </c>
      <c r="H1" s="2" t="s">
        <v>49</v>
      </c>
      <c r="I1" s="2"/>
      <c r="J1" s="2"/>
      <c r="K1" s="4" t="s">
        <v>55</v>
      </c>
      <c r="L1" s="5"/>
      <c r="M1" s="5"/>
      <c r="N1" s="5"/>
      <c r="O1" s="5"/>
      <c r="P1" s="5"/>
      <c r="Q1" s="5"/>
      <c r="T1" s="7" t="s">
        <v>169</v>
      </c>
      <c r="U1" s="7" t="s">
        <v>169</v>
      </c>
      <c r="X1" t="s">
        <v>178</v>
      </c>
      <c r="Y1" t="s">
        <v>178</v>
      </c>
    </row>
    <row r="2" spans="1:27">
      <c r="A2" s="14" t="s">
        <v>68</v>
      </c>
      <c r="B2" s="3" t="s">
        <v>52</v>
      </c>
      <c r="C2" s="3" t="s">
        <v>50</v>
      </c>
      <c r="D2" s="3" t="s">
        <v>51</v>
      </c>
      <c r="E2" s="3" t="s">
        <v>29</v>
      </c>
      <c r="F2" s="3" t="s">
        <v>46</v>
      </c>
      <c r="G2" s="3" t="s">
        <v>0</v>
      </c>
      <c r="H2" s="3" t="s">
        <v>1</v>
      </c>
      <c r="I2" s="3" t="s">
        <v>239</v>
      </c>
      <c r="J2" s="3" t="s">
        <v>233</v>
      </c>
      <c r="K2" s="6" t="s">
        <v>52</v>
      </c>
      <c r="L2" s="6" t="s">
        <v>50</v>
      </c>
      <c r="M2" s="6" t="s">
        <v>51</v>
      </c>
      <c r="N2" s="6" t="s">
        <v>29</v>
      </c>
      <c r="O2" s="6" t="s">
        <v>46</v>
      </c>
      <c r="P2" s="6" t="s">
        <v>0</v>
      </c>
      <c r="Q2" s="6" t="s">
        <v>1</v>
      </c>
      <c r="R2" s="6" t="s">
        <v>106</v>
      </c>
      <c r="S2" s="6" t="s">
        <v>107</v>
      </c>
      <c r="T2" s="8" t="s">
        <v>177</v>
      </c>
      <c r="U2" s="8" t="s">
        <v>168</v>
      </c>
      <c r="V2" s="6" t="s">
        <v>239</v>
      </c>
      <c r="W2" s="6" t="s">
        <v>170</v>
      </c>
      <c r="X2" t="s">
        <v>148</v>
      </c>
      <c r="Y2" t="s">
        <v>149</v>
      </c>
      <c r="AA2" t="s">
        <v>218</v>
      </c>
    </row>
    <row r="3" spans="1:27">
      <c r="A3" s="14" t="s">
        <v>124</v>
      </c>
      <c r="B3" s="3"/>
      <c r="C3" s="3"/>
      <c r="D3" s="3"/>
      <c r="E3" s="3"/>
      <c r="F3" s="3"/>
      <c r="G3" s="3"/>
      <c r="H3" s="3"/>
      <c r="I3" s="3"/>
      <c r="J3" s="3"/>
      <c r="K3" s="6"/>
      <c r="L3" s="6"/>
      <c r="M3" s="6"/>
      <c r="N3" s="6"/>
      <c r="O3" s="6"/>
      <c r="P3" s="6"/>
      <c r="Q3" s="6"/>
      <c r="R3" s="6"/>
      <c r="S3" s="6"/>
      <c r="T3" s="8"/>
      <c r="U3" s="8"/>
      <c r="Z3" t="s">
        <v>124</v>
      </c>
    </row>
    <row r="4" spans="1:27" s="18" customFormat="1">
      <c r="A4" s="18" t="str">
        <f t="shared" ref="A4:A30" si="0">CONCATENATE(B4,", ",C4, ", ",D4)</f>
        <v xml:space="preserve">Bromfiets, Benzine, </v>
      </c>
      <c r="B4" s="51" t="s">
        <v>229</v>
      </c>
      <c r="C4" s="51" t="s">
        <v>5</v>
      </c>
      <c r="D4" s="51"/>
      <c r="E4" s="51" t="s">
        <v>4</v>
      </c>
      <c r="F4" s="51">
        <f>SUM(G4:H4)</f>
        <v>5.2470000000000003E-2</v>
      </c>
      <c r="G4" s="51">
        <f>0.04*1.1</f>
        <v>4.4000000000000004E-2</v>
      </c>
      <c r="H4" s="51">
        <f>0.0077*1.1</f>
        <v>8.4700000000000001E-3</v>
      </c>
      <c r="I4" s="51">
        <f>E56</f>
        <v>0.91643531669123757</v>
      </c>
      <c r="J4" s="51"/>
      <c r="K4" s="53" t="s">
        <v>229</v>
      </c>
      <c r="L4" s="53" t="s">
        <v>5</v>
      </c>
      <c r="M4" s="53"/>
      <c r="N4" s="53" t="s">
        <v>4</v>
      </c>
      <c r="O4" s="5">
        <f t="shared" ref="O4:O32" si="1">SUM(P4:Q4)</f>
        <v>5.2470000000000003E-2</v>
      </c>
      <c r="P4" s="53">
        <v>4.4000000000000004E-2</v>
      </c>
      <c r="Q4" s="53">
        <v>8.4700000000000001E-3</v>
      </c>
      <c r="R4" s="53"/>
      <c r="S4" s="53"/>
      <c r="T4" s="54"/>
      <c r="U4" s="54"/>
      <c r="V4" s="18">
        <f>E$55</f>
        <v>1.021961135777274</v>
      </c>
      <c r="AA4" s="18" t="s">
        <v>243</v>
      </c>
    </row>
    <row r="5" spans="1:27" s="18" customFormat="1">
      <c r="A5" s="18" t="str">
        <f t="shared" si="0"/>
        <v xml:space="preserve">Bromfiets, Elektrisch, </v>
      </c>
      <c r="B5" s="51" t="s">
        <v>229</v>
      </c>
      <c r="C5" s="55" t="s">
        <v>27</v>
      </c>
      <c r="D5" s="51"/>
      <c r="E5" s="51" t="s">
        <v>4</v>
      </c>
      <c r="F5" s="51">
        <f>SUM(G5:H5)</f>
        <v>1.9140000000000001E-2</v>
      </c>
      <c r="G5" s="51">
        <v>0</v>
      </c>
      <c r="H5" s="51">
        <f>0.0174*1.1</f>
        <v>1.9140000000000001E-2</v>
      </c>
      <c r="I5" s="51">
        <f>D64*0.03</f>
        <v>4.1590960869106195E-3</v>
      </c>
      <c r="J5" s="51"/>
      <c r="K5" s="53" t="s">
        <v>229</v>
      </c>
      <c r="L5" s="53" t="s">
        <v>5</v>
      </c>
      <c r="M5" s="53"/>
      <c r="N5" s="53" t="s">
        <v>4</v>
      </c>
      <c r="O5" s="5">
        <f t="shared" si="1"/>
        <v>5.2470000000000003E-2</v>
      </c>
      <c r="P5" s="53">
        <v>4.4000000000000004E-2</v>
      </c>
      <c r="Q5" s="53">
        <v>8.4700000000000001E-3</v>
      </c>
      <c r="R5" s="53"/>
      <c r="S5" s="53"/>
      <c r="T5" s="54"/>
      <c r="U5" s="54"/>
      <c r="V5" s="18">
        <f>E$55*0.03</f>
        <v>3.0658834073318219E-2</v>
      </c>
      <c r="W5" s="18">
        <v>1</v>
      </c>
      <c r="AA5" s="18" t="s">
        <v>243</v>
      </c>
    </row>
    <row r="6" spans="1:27">
      <c r="A6" t="str">
        <f t="shared" si="0"/>
        <v>Auto, Brandstofsoort onbekend, Gewichtsklasse onbekend</v>
      </c>
      <c r="B6" s="2" t="s">
        <v>41</v>
      </c>
      <c r="C6" s="2" t="s">
        <v>2</v>
      </c>
      <c r="D6" s="2" t="s">
        <v>3</v>
      </c>
      <c r="E6" s="2" t="s">
        <v>4</v>
      </c>
      <c r="F6" s="2">
        <v>0.22</v>
      </c>
      <c r="G6" s="2">
        <v>0.18099999999999999</v>
      </c>
      <c r="H6" s="2">
        <v>3.9E-2</v>
      </c>
      <c r="I6" s="2">
        <f>E55</f>
        <v>1.021961135777274</v>
      </c>
      <c r="J6" s="2"/>
      <c r="K6" s="5" t="s">
        <v>41</v>
      </c>
      <c r="L6" s="5" t="s">
        <v>11</v>
      </c>
      <c r="M6" s="5" t="s">
        <v>13</v>
      </c>
      <c r="N6" s="5" t="s">
        <v>4</v>
      </c>
      <c r="O6" s="5">
        <f t="shared" si="1"/>
        <v>0.21300000000000002</v>
      </c>
      <c r="P6" s="5">
        <v>0.17100000000000001</v>
      </c>
      <c r="Q6" s="5">
        <v>4.2000000000000003E-2</v>
      </c>
      <c r="R6">
        <f t="shared" ref="R6:R18" si="2">O6/M$49</f>
        <v>6.5944272445820434E-2</v>
      </c>
      <c r="S6">
        <f>1/R6</f>
        <v>15.16431924882629</v>
      </c>
      <c r="T6" s="7">
        <f>0.08/1000</f>
        <v>8.0000000000000007E-5</v>
      </c>
      <c r="U6" s="7">
        <f>0.005/1000</f>
        <v>5.0000000000000004E-6</v>
      </c>
      <c r="V6" s="18">
        <f t="shared" ref="V6:V36" si="3">E$55</f>
        <v>1.021961135777274</v>
      </c>
      <c r="W6">
        <v>0</v>
      </c>
      <c r="X6" s="49">
        <f>0.06/1000</f>
        <v>5.9999999999999995E-5</v>
      </c>
      <c r="Y6" s="49">
        <f>0.005/1000</f>
        <v>5.0000000000000004E-6</v>
      </c>
      <c r="Z6" t="s">
        <v>179</v>
      </c>
      <c r="AA6" s="18" t="s">
        <v>246</v>
      </c>
    </row>
    <row r="7" spans="1:27">
      <c r="A7" t="str">
        <f t="shared" si="0"/>
        <v>Auto, Benzine, Klein (&lt; 950 kg)</v>
      </c>
      <c r="B7" s="2" t="s">
        <v>41</v>
      </c>
      <c r="C7" s="2" t="s">
        <v>5</v>
      </c>
      <c r="D7" s="2" t="s">
        <v>6</v>
      </c>
      <c r="E7" s="2" t="s">
        <v>4</v>
      </c>
      <c r="F7" s="2">
        <v>0.17699999999999999</v>
      </c>
      <c r="G7" s="2">
        <v>0.14699999999999999</v>
      </c>
      <c r="H7" s="2">
        <v>0.03</v>
      </c>
      <c r="I7" s="2">
        <f>E$56</f>
        <v>0.91643531669123757</v>
      </c>
      <c r="J7" s="2"/>
      <c r="K7" s="5" t="s">
        <v>41</v>
      </c>
      <c r="L7" s="5" t="s">
        <v>11</v>
      </c>
      <c r="M7" s="5" t="s">
        <v>12</v>
      </c>
      <c r="N7" s="5" t="s">
        <v>4</v>
      </c>
      <c r="O7" s="5">
        <f t="shared" si="1"/>
        <v>0.16800000000000001</v>
      </c>
      <c r="P7" s="5">
        <v>0.13500000000000001</v>
      </c>
      <c r="Q7" s="5">
        <v>3.3000000000000002E-2</v>
      </c>
      <c r="R7">
        <f t="shared" si="2"/>
        <v>5.2012383900928799E-2</v>
      </c>
      <c r="S7">
        <f t="shared" ref="S7:S30" si="4">1/R7</f>
        <v>19.226190476190474</v>
      </c>
      <c r="T7" s="7">
        <f t="shared" ref="T7:T27" si="5">0.08/1000</f>
        <v>8.0000000000000007E-5</v>
      </c>
      <c r="U7" s="7">
        <f t="shared" ref="U7:U28" si="6">0.005/1000</f>
        <v>5.0000000000000004E-6</v>
      </c>
      <c r="V7" s="18">
        <f t="shared" si="3"/>
        <v>1.021961135777274</v>
      </c>
      <c r="W7">
        <v>0</v>
      </c>
      <c r="X7" s="49">
        <f t="shared" ref="X7:X9" si="7">0.06/1000</f>
        <v>5.9999999999999995E-5</v>
      </c>
      <c r="Y7" s="49">
        <f t="shared" ref="Y7:Y11" si="8">0.005/1000</f>
        <v>5.0000000000000004E-6</v>
      </c>
      <c r="Z7" t="s">
        <v>171</v>
      </c>
      <c r="AA7" s="18" t="s">
        <v>246</v>
      </c>
    </row>
    <row r="8" spans="1:27">
      <c r="A8" t="str">
        <f t="shared" si="0"/>
        <v>Auto, Benzine, Middel (950 - 1.350 kg)</v>
      </c>
      <c r="B8" s="2" t="s">
        <v>41</v>
      </c>
      <c r="C8" s="2" t="s">
        <v>5</v>
      </c>
      <c r="D8" s="2" t="s">
        <v>7</v>
      </c>
      <c r="E8" s="2" t="s">
        <v>4</v>
      </c>
      <c r="F8" s="2">
        <v>0.224</v>
      </c>
      <c r="G8" s="2">
        <v>0.186</v>
      </c>
      <c r="H8" s="2">
        <v>3.7999999999999999E-2</v>
      </c>
      <c r="I8" s="2">
        <f>E$49</f>
        <v>1.2728268287378299</v>
      </c>
      <c r="J8" s="2"/>
      <c r="K8" s="5" t="s">
        <v>41</v>
      </c>
      <c r="L8" s="5" t="s">
        <v>11</v>
      </c>
      <c r="M8" s="5" t="s">
        <v>13</v>
      </c>
      <c r="N8" s="5" t="s">
        <v>4</v>
      </c>
      <c r="O8" s="5">
        <f t="shared" si="1"/>
        <v>0.21300000000000002</v>
      </c>
      <c r="P8" s="5">
        <v>0.17100000000000001</v>
      </c>
      <c r="Q8" s="5">
        <v>4.2000000000000003E-2</v>
      </c>
      <c r="R8">
        <f t="shared" si="2"/>
        <v>6.5944272445820434E-2</v>
      </c>
      <c r="S8">
        <f t="shared" si="4"/>
        <v>15.16431924882629</v>
      </c>
      <c r="T8" s="7">
        <f t="shared" si="5"/>
        <v>8.0000000000000007E-5</v>
      </c>
      <c r="U8" s="7">
        <f t="shared" si="6"/>
        <v>5.0000000000000004E-6</v>
      </c>
      <c r="V8" s="18">
        <f t="shared" si="3"/>
        <v>1.021961135777274</v>
      </c>
      <c r="W8">
        <v>0</v>
      </c>
      <c r="X8" s="49">
        <f t="shared" si="7"/>
        <v>5.9999999999999995E-5</v>
      </c>
      <c r="Y8" s="49">
        <f t="shared" si="8"/>
        <v>5.0000000000000004E-6</v>
      </c>
      <c r="Z8" t="s">
        <v>180</v>
      </c>
      <c r="AA8" s="18" t="s">
        <v>246</v>
      </c>
    </row>
    <row r="9" spans="1:27">
      <c r="A9" t="str">
        <f t="shared" si="0"/>
        <v>Auto, Benzine, Groot (&gt;1.350 kg)</v>
      </c>
      <c r="B9" s="2" t="s">
        <v>41</v>
      </c>
      <c r="C9" s="2" t="s">
        <v>5</v>
      </c>
      <c r="D9" s="2" t="s">
        <v>8</v>
      </c>
      <c r="E9" s="2" t="s">
        <v>4</v>
      </c>
      <c r="F9" s="2">
        <v>0.253</v>
      </c>
      <c r="G9" s="2">
        <v>0.21</v>
      </c>
      <c r="H9" s="2">
        <v>4.2999999999999997E-2</v>
      </c>
      <c r="I9" s="2">
        <f t="shared" ref="I9:I11" si="9">E$49</f>
        <v>1.2728268287378299</v>
      </c>
      <c r="J9" s="2"/>
      <c r="K9" s="5" t="s">
        <v>41</v>
      </c>
      <c r="L9" s="5" t="s">
        <v>11</v>
      </c>
      <c r="M9" s="5" t="s">
        <v>14</v>
      </c>
      <c r="N9" s="5" t="s">
        <v>4</v>
      </c>
      <c r="O9" s="5">
        <f t="shared" si="1"/>
        <v>0.24</v>
      </c>
      <c r="P9" s="5">
        <v>0.193</v>
      </c>
      <c r="Q9" s="5">
        <v>4.7E-2</v>
      </c>
      <c r="R9">
        <f t="shared" si="2"/>
        <v>7.4303405572755415E-2</v>
      </c>
      <c r="S9">
        <f t="shared" si="4"/>
        <v>13.458333333333334</v>
      </c>
      <c r="T9" s="7">
        <f t="shared" si="5"/>
        <v>8.0000000000000007E-5</v>
      </c>
      <c r="U9" s="7">
        <f t="shared" si="6"/>
        <v>5.0000000000000004E-6</v>
      </c>
      <c r="V9" s="18">
        <f t="shared" si="3"/>
        <v>1.021961135777274</v>
      </c>
      <c r="W9">
        <v>0</v>
      </c>
      <c r="X9" s="49">
        <f t="shared" si="7"/>
        <v>5.9999999999999995E-5</v>
      </c>
      <c r="Y9" s="49">
        <f t="shared" si="8"/>
        <v>5.0000000000000004E-6</v>
      </c>
      <c r="Z9" t="s">
        <v>181</v>
      </c>
      <c r="AA9" s="18" t="s">
        <v>246</v>
      </c>
    </row>
    <row r="10" spans="1:27">
      <c r="A10" t="str">
        <f t="shared" si="0"/>
        <v>Auto, Benzine, Hybride</v>
      </c>
      <c r="B10" s="2" t="s">
        <v>41</v>
      </c>
      <c r="C10" s="2" t="s">
        <v>5</v>
      </c>
      <c r="D10" s="2" t="s">
        <v>9</v>
      </c>
      <c r="E10" s="2" t="s">
        <v>4</v>
      </c>
      <c r="F10" s="2">
        <v>0.17100000000000001</v>
      </c>
      <c r="G10" s="2">
        <v>0.14199999999999999</v>
      </c>
      <c r="H10" s="2">
        <v>2.9000000000000001E-2</v>
      </c>
      <c r="I10" s="2">
        <f t="shared" si="9"/>
        <v>1.2728268287378299</v>
      </c>
      <c r="J10" s="2"/>
      <c r="K10" s="5" t="s">
        <v>41</v>
      </c>
      <c r="L10" s="5" t="s">
        <v>11</v>
      </c>
      <c r="M10" s="5" t="s">
        <v>9</v>
      </c>
      <c r="N10" s="5" t="s">
        <v>4</v>
      </c>
      <c r="O10" s="5">
        <f t="shared" si="1"/>
        <v>0.157</v>
      </c>
      <c r="P10" s="5">
        <v>0.126</v>
      </c>
      <c r="Q10" s="5">
        <v>3.1E-2</v>
      </c>
      <c r="R10">
        <f t="shared" si="2"/>
        <v>4.8606811145510839E-2</v>
      </c>
      <c r="S10">
        <f t="shared" si="4"/>
        <v>20.573248407643312</v>
      </c>
      <c r="T10" s="7">
        <f t="shared" si="5"/>
        <v>8.0000000000000007E-5</v>
      </c>
      <c r="U10" s="7">
        <f t="shared" si="6"/>
        <v>5.0000000000000004E-6</v>
      </c>
      <c r="V10" s="18">
        <f t="shared" si="3"/>
        <v>1.021961135777274</v>
      </c>
      <c r="W10">
        <v>0</v>
      </c>
      <c r="X10" s="48">
        <f>0.06/1000</f>
        <v>5.9999999999999995E-5</v>
      </c>
      <c r="Y10" s="48">
        <f t="shared" si="8"/>
        <v>5.0000000000000004E-6</v>
      </c>
      <c r="Z10" t="s">
        <v>182</v>
      </c>
      <c r="AA10" s="18" t="s">
        <v>246</v>
      </c>
    </row>
    <row r="11" spans="1:27">
      <c r="A11" t="str">
        <f t="shared" si="0"/>
        <v>Auto, Benzine, plug-in hybride</v>
      </c>
      <c r="B11" s="2" t="s">
        <v>41</v>
      </c>
      <c r="C11" s="2" t="s">
        <v>5</v>
      </c>
      <c r="D11" s="2" t="s">
        <v>10</v>
      </c>
      <c r="E11" s="2" t="s">
        <v>4</v>
      </c>
      <c r="F11" s="2">
        <v>0.14599999999999999</v>
      </c>
      <c r="G11" s="2">
        <v>8.7999999999999995E-2</v>
      </c>
      <c r="H11" s="2">
        <v>5.8000000000000003E-2</v>
      </c>
      <c r="I11" s="2">
        <f t="shared" si="9"/>
        <v>1.2728268287378299</v>
      </c>
      <c r="J11" s="2"/>
      <c r="K11" s="5" t="s">
        <v>41</v>
      </c>
      <c r="L11" s="5" t="s">
        <v>11</v>
      </c>
      <c r="M11" s="5" t="s">
        <v>9</v>
      </c>
      <c r="N11" s="5" t="s">
        <v>4</v>
      </c>
      <c r="O11" s="5">
        <f t="shared" si="1"/>
        <v>0.157</v>
      </c>
      <c r="P11" s="5">
        <v>0.126</v>
      </c>
      <c r="Q11" s="5">
        <v>3.1E-2</v>
      </c>
      <c r="R11">
        <f t="shared" si="2"/>
        <v>4.8606811145510839E-2</v>
      </c>
      <c r="S11">
        <f t="shared" si="4"/>
        <v>20.573248407643312</v>
      </c>
      <c r="T11" s="7">
        <f t="shared" si="5"/>
        <v>8.0000000000000007E-5</v>
      </c>
      <c r="U11" s="7">
        <f t="shared" si="6"/>
        <v>5.0000000000000004E-6</v>
      </c>
      <c r="V11" s="18">
        <f t="shared" si="3"/>
        <v>1.021961135777274</v>
      </c>
      <c r="W11">
        <v>0</v>
      </c>
      <c r="X11" s="48">
        <f>0.06/1000</f>
        <v>5.9999999999999995E-5</v>
      </c>
      <c r="Y11" s="48">
        <f t="shared" si="8"/>
        <v>5.0000000000000004E-6</v>
      </c>
      <c r="Z11" t="s">
        <v>183</v>
      </c>
      <c r="AA11" s="18" t="s">
        <v>246</v>
      </c>
    </row>
    <row r="12" spans="1:27">
      <c r="A12" t="str">
        <f t="shared" si="0"/>
        <v>Auto, Diesel, Klein (voertuiggewicht&lt; 1050 kg)</v>
      </c>
      <c r="B12" s="2" t="s">
        <v>41</v>
      </c>
      <c r="C12" s="2" t="s">
        <v>11</v>
      </c>
      <c r="D12" s="2" t="s">
        <v>12</v>
      </c>
      <c r="E12" s="2" t="s">
        <v>4</v>
      </c>
      <c r="F12" s="2">
        <v>0.16800000000000001</v>
      </c>
      <c r="G12" s="2">
        <v>0.13500000000000001</v>
      </c>
      <c r="H12" s="2">
        <v>3.3000000000000002E-2</v>
      </c>
      <c r="I12" s="2">
        <f>E$55</f>
        <v>1.021961135777274</v>
      </c>
      <c r="J12" s="2"/>
      <c r="K12" s="5" t="s">
        <v>41</v>
      </c>
      <c r="L12" s="5" t="s">
        <v>11</v>
      </c>
      <c r="M12" s="5" t="s">
        <v>12</v>
      </c>
      <c r="N12" s="5" t="s">
        <v>4</v>
      </c>
      <c r="O12" s="5">
        <f t="shared" si="1"/>
        <v>0.16800000000000001</v>
      </c>
      <c r="P12" s="5">
        <v>0.13500000000000001</v>
      </c>
      <c r="Q12" s="5">
        <v>3.3000000000000002E-2</v>
      </c>
      <c r="R12">
        <f t="shared" si="2"/>
        <v>5.2012383900928799E-2</v>
      </c>
      <c r="S12">
        <f t="shared" si="4"/>
        <v>19.226190476190474</v>
      </c>
      <c r="T12" s="7">
        <f t="shared" si="5"/>
        <v>8.0000000000000007E-5</v>
      </c>
      <c r="U12" s="7">
        <f t="shared" si="6"/>
        <v>5.0000000000000004E-6</v>
      </c>
      <c r="V12" s="18">
        <f t="shared" si="3"/>
        <v>1.021961135777274</v>
      </c>
      <c r="W12">
        <v>0</v>
      </c>
      <c r="X12" s="7">
        <f t="shared" ref="X12:X22" si="10">0.08/1000</f>
        <v>8.0000000000000007E-5</v>
      </c>
      <c r="Y12" s="7">
        <f t="shared" ref="Y12:Y24" si="11">0.005/1000</f>
        <v>5.0000000000000004E-6</v>
      </c>
      <c r="Z12" t="s">
        <v>184</v>
      </c>
      <c r="AA12" s="18" t="s">
        <v>246</v>
      </c>
    </row>
    <row r="13" spans="1:27">
      <c r="A13" t="str">
        <f t="shared" si="0"/>
        <v>Auto, Diesel, Middel (voertuiggewicht 1050 - 1.450 kg)</v>
      </c>
      <c r="B13" s="2" t="s">
        <v>41</v>
      </c>
      <c r="C13" s="2" t="s">
        <v>11</v>
      </c>
      <c r="D13" s="2" t="s">
        <v>13</v>
      </c>
      <c r="E13" s="2" t="s">
        <v>4</v>
      </c>
      <c r="F13" s="2">
        <v>0.21299999999999999</v>
      </c>
      <c r="G13" s="2">
        <v>0.17100000000000001</v>
      </c>
      <c r="H13" s="2">
        <v>4.2000000000000003E-2</v>
      </c>
      <c r="I13" s="2">
        <f t="shared" ref="I13:I15" si="12">E$55</f>
        <v>1.021961135777274</v>
      </c>
      <c r="J13" s="2"/>
      <c r="K13" s="5" t="s">
        <v>41</v>
      </c>
      <c r="L13" s="5" t="s">
        <v>11</v>
      </c>
      <c r="M13" s="5" t="s">
        <v>13</v>
      </c>
      <c r="N13" s="5" t="s">
        <v>4</v>
      </c>
      <c r="O13" s="5">
        <f t="shared" si="1"/>
        <v>0.21300000000000002</v>
      </c>
      <c r="P13" s="5">
        <v>0.17100000000000001</v>
      </c>
      <c r="Q13" s="5">
        <v>4.2000000000000003E-2</v>
      </c>
      <c r="R13">
        <f t="shared" si="2"/>
        <v>6.5944272445820434E-2</v>
      </c>
      <c r="S13">
        <f t="shared" si="4"/>
        <v>15.16431924882629</v>
      </c>
      <c r="T13" s="7">
        <f t="shared" si="5"/>
        <v>8.0000000000000007E-5</v>
      </c>
      <c r="U13" s="7">
        <f t="shared" si="6"/>
        <v>5.0000000000000004E-6</v>
      </c>
      <c r="V13" s="18">
        <f t="shared" si="3"/>
        <v>1.021961135777274</v>
      </c>
      <c r="W13">
        <v>0</v>
      </c>
      <c r="X13" s="7">
        <f t="shared" si="10"/>
        <v>8.0000000000000007E-5</v>
      </c>
      <c r="Y13" s="7">
        <f t="shared" si="11"/>
        <v>5.0000000000000004E-6</v>
      </c>
      <c r="Z13" t="s">
        <v>185</v>
      </c>
      <c r="AA13" s="18" t="s">
        <v>246</v>
      </c>
    </row>
    <row r="14" spans="1:27">
      <c r="A14" t="str">
        <f t="shared" si="0"/>
        <v>Auto, Diesel, Groot (voertuiggewicht &gt; 1.450 kg)</v>
      </c>
      <c r="B14" s="2" t="s">
        <v>41</v>
      </c>
      <c r="C14" s="2" t="s">
        <v>11</v>
      </c>
      <c r="D14" s="2" t="s">
        <v>14</v>
      </c>
      <c r="E14" s="2" t="s">
        <v>4</v>
      </c>
      <c r="F14" s="2">
        <v>0.24099999999999999</v>
      </c>
      <c r="G14" s="2">
        <v>0.193</v>
      </c>
      <c r="H14" s="2">
        <v>4.7E-2</v>
      </c>
      <c r="I14" s="2">
        <f t="shared" si="12"/>
        <v>1.021961135777274</v>
      </c>
      <c r="J14" s="2"/>
      <c r="K14" s="5" t="s">
        <v>41</v>
      </c>
      <c r="L14" s="5" t="s">
        <v>11</v>
      </c>
      <c r="M14" s="5" t="s">
        <v>14</v>
      </c>
      <c r="N14" s="5" t="s">
        <v>4</v>
      </c>
      <c r="O14" s="5">
        <f t="shared" si="1"/>
        <v>0.24</v>
      </c>
      <c r="P14" s="5">
        <v>0.193</v>
      </c>
      <c r="Q14" s="5">
        <v>4.7E-2</v>
      </c>
      <c r="R14">
        <f t="shared" si="2"/>
        <v>7.4303405572755415E-2</v>
      </c>
      <c r="S14">
        <f t="shared" si="4"/>
        <v>13.458333333333334</v>
      </c>
      <c r="T14" s="7">
        <f t="shared" si="5"/>
        <v>8.0000000000000007E-5</v>
      </c>
      <c r="U14" s="7">
        <f t="shared" si="6"/>
        <v>5.0000000000000004E-6</v>
      </c>
      <c r="V14" s="18">
        <f t="shared" si="3"/>
        <v>1.021961135777274</v>
      </c>
      <c r="W14">
        <v>0</v>
      </c>
      <c r="X14" s="7">
        <f t="shared" si="10"/>
        <v>8.0000000000000007E-5</v>
      </c>
      <c r="Y14" s="7">
        <f t="shared" si="11"/>
        <v>5.0000000000000004E-6</v>
      </c>
      <c r="Z14" t="s">
        <v>186</v>
      </c>
      <c r="AA14" s="18" t="s">
        <v>246</v>
      </c>
    </row>
    <row r="15" spans="1:27">
      <c r="A15" t="str">
        <f t="shared" si="0"/>
        <v>Auto, Diesel, Hybride</v>
      </c>
      <c r="B15" s="2" t="s">
        <v>41</v>
      </c>
      <c r="C15" s="2" t="s">
        <v>11</v>
      </c>
      <c r="D15" s="2" t="s">
        <v>9</v>
      </c>
      <c r="E15" s="2" t="s">
        <v>4</v>
      </c>
      <c r="F15" s="2">
        <v>0.157</v>
      </c>
      <c r="G15" s="2">
        <v>0.126</v>
      </c>
      <c r="H15" s="2">
        <v>3.1E-2</v>
      </c>
      <c r="I15" s="2">
        <f t="shared" si="12"/>
        <v>1.021961135777274</v>
      </c>
      <c r="J15" s="2"/>
      <c r="K15" s="5" t="s">
        <v>41</v>
      </c>
      <c r="L15" s="5" t="s">
        <v>11</v>
      </c>
      <c r="M15" s="5" t="s">
        <v>9</v>
      </c>
      <c r="N15" s="5" t="s">
        <v>4</v>
      </c>
      <c r="O15" s="5">
        <f t="shared" si="1"/>
        <v>0.157</v>
      </c>
      <c r="P15" s="5">
        <v>0.126</v>
      </c>
      <c r="Q15" s="5">
        <v>3.1E-2</v>
      </c>
      <c r="R15">
        <f t="shared" si="2"/>
        <v>4.8606811145510839E-2</v>
      </c>
      <c r="S15">
        <f t="shared" si="4"/>
        <v>20.573248407643312</v>
      </c>
      <c r="T15" s="7">
        <f t="shared" si="5"/>
        <v>8.0000000000000007E-5</v>
      </c>
      <c r="U15" s="7">
        <f t="shared" si="6"/>
        <v>5.0000000000000004E-6</v>
      </c>
      <c r="V15" s="18">
        <f t="shared" si="3"/>
        <v>1.021961135777274</v>
      </c>
      <c r="W15">
        <v>0</v>
      </c>
      <c r="X15" s="48">
        <f t="shared" si="10"/>
        <v>8.0000000000000007E-5</v>
      </c>
      <c r="Y15" s="48">
        <f t="shared" si="11"/>
        <v>5.0000000000000004E-6</v>
      </c>
      <c r="Z15" t="s">
        <v>187</v>
      </c>
      <c r="AA15" s="18" t="s">
        <v>246</v>
      </c>
    </row>
    <row r="16" spans="1:27">
      <c r="A16" t="str">
        <f t="shared" si="0"/>
        <v>Auto, LPG, Licht (voertuiggewicht &lt; 1000 kg)</v>
      </c>
      <c r="B16" s="2" t="s">
        <v>41</v>
      </c>
      <c r="C16" s="2" t="s">
        <v>15</v>
      </c>
      <c r="D16" s="2" t="s">
        <v>16</v>
      </c>
      <c r="E16" s="2" t="s">
        <v>4</v>
      </c>
      <c r="F16" s="2">
        <v>0.155</v>
      </c>
      <c r="G16" s="2">
        <v>0.13800000000000001</v>
      </c>
      <c r="H16" s="2">
        <v>1.6E-2</v>
      </c>
      <c r="I16" s="2">
        <f>E$57</f>
        <v>1.1720071765547708</v>
      </c>
      <c r="J16" s="2"/>
      <c r="K16" s="5" t="s">
        <v>41</v>
      </c>
      <c r="L16" s="5" t="s">
        <v>11</v>
      </c>
      <c r="M16" s="5" t="s">
        <v>12</v>
      </c>
      <c r="N16" s="5" t="s">
        <v>4</v>
      </c>
      <c r="O16" s="5">
        <f t="shared" si="1"/>
        <v>0.16800000000000001</v>
      </c>
      <c r="P16" s="5">
        <v>0.13500000000000001</v>
      </c>
      <c r="Q16" s="5">
        <v>3.3000000000000002E-2</v>
      </c>
      <c r="R16">
        <f t="shared" si="2"/>
        <v>5.2012383900928799E-2</v>
      </c>
      <c r="S16">
        <f>1/R16</f>
        <v>19.226190476190474</v>
      </c>
      <c r="T16" s="7">
        <f t="shared" si="5"/>
        <v>8.0000000000000007E-5</v>
      </c>
      <c r="U16" s="7">
        <f t="shared" si="6"/>
        <v>5.0000000000000004E-6</v>
      </c>
      <c r="V16" s="18">
        <f t="shared" si="3"/>
        <v>1.021961135777274</v>
      </c>
      <c r="W16">
        <v>0</v>
      </c>
      <c r="X16" s="48">
        <f t="shared" si="10"/>
        <v>8.0000000000000007E-5</v>
      </c>
      <c r="Y16" s="48">
        <f t="shared" si="11"/>
        <v>5.0000000000000004E-6</v>
      </c>
      <c r="Z16" t="s">
        <v>188</v>
      </c>
      <c r="AA16" s="18" t="s">
        <v>246</v>
      </c>
    </row>
    <row r="17" spans="1:27">
      <c r="A17" t="str">
        <f t="shared" si="0"/>
        <v>Auto, LPG, Middel (voertuiggewicht 1000 - 1.400 kg)</v>
      </c>
      <c r="B17" s="2" t="s">
        <v>41</v>
      </c>
      <c r="C17" s="2" t="s">
        <v>15</v>
      </c>
      <c r="D17" s="2" t="s">
        <v>17</v>
      </c>
      <c r="E17" s="2" t="s">
        <v>4</v>
      </c>
      <c r="F17" s="2">
        <v>0.19600000000000001</v>
      </c>
      <c r="G17" s="2">
        <v>0.17499999999999999</v>
      </c>
      <c r="H17" s="2">
        <v>2.1000000000000001E-2</v>
      </c>
      <c r="I17" s="2">
        <f t="shared" ref="I17:I21" si="13">E$57</f>
        <v>1.1720071765547708</v>
      </c>
      <c r="J17" s="2"/>
      <c r="K17" s="5" t="s">
        <v>41</v>
      </c>
      <c r="L17" s="5" t="s">
        <v>11</v>
      </c>
      <c r="M17" s="5" t="s">
        <v>13</v>
      </c>
      <c r="N17" s="5" t="s">
        <v>4</v>
      </c>
      <c r="O17" s="5">
        <f t="shared" si="1"/>
        <v>0.21300000000000002</v>
      </c>
      <c r="P17" s="5">
        <v>0.17100000000000001</v>
      </c>
      <c r="Q17" s="5">
        <v>4.2000000000000003E-2</v>
      </c>
      <c r="R17">
        <f t="shared" si="2"/>
        <v>6.5944272445820434E-2</v>
      </c>
      <c r="S17">
        <f t="shared" si="4"/>
        <v>15.16431924882629</v>
      </c>
      <c r="T17" s="7">
        <f t="shared" si="5"/>
        <v>8.0000000000000007E-5</v>
      </c>
      <c r="U17" s="7">
        <f t="shared" si="6"/>
        <v>5.0000000000000004E-6</v>
      </c>
      <c r="V17" s="18">
        <f t="shared" si="3"/>
        <v>1.021961135777274</v>
      </c>
      <c r="W17">
        <v>0</v>
      </c>
      <c r="X17" s="48">
        <f t="shared" si="10"/>
        <v>8.0000000000000007E-5</v>
      </c>
      <c r="Y17" s="48">
        <f t="shared" si="11"/>
        <v>5.0000000000000004E-6</v>
      </c>
      <c r="Z17" t="s">
        <v>189</v>
      </c>
      <c r="AA17" s="18" t="s">
        <v>246</v>
      </c>
    </row>
    <row r="18" spans="1:27">
      <c r="A18" t="str">
        <f t="shared" si="0"/>
        <v>Auto, LPG, Zwaar (voertuiggewicht &gt;1.400 kg)</v>
      </c>
      <c r="B18" s="2" t="s">
        <v>41</v>
      </c>
      <c r="C18" s="2" t="s">
        <v>15</v>
      </c>
      <c r="D18" s="2" t="s">
        <v>18</v>
      </c>
      <c r="E18" s="2" t="s">
        <v>4</v>
      </c>
      <c r="F18" s="2">
        <v>0.221</v>
      </c>
      <c r="G18" s="2">
        <v>0.19800000000000001</v>
      </c>
      <c r="H18" s="2">
        <v>2.4E-2</v>
      </c>
      <c r="I18" s="2">
        <f t="shared" si="13"/>
        <v>1.1720071765547708</v>
      </c>
      <c r="J18" s="2"/>
      <c r="K18" s="5" t="s">
        <v>41</v>
      </c>
      <c r="L18" s="5" t="s">
        <v>11</v>
      </c>
      <c r="M18" s="5" t="s">
        <v>14</v>
      </c>
      <c r="N18" s="5" t="s">
        <v>4</v>
      </c>
      <c r="O18" s="5">
        <f t="shared" si="1"/>
        <v>0.24</v>
      </c>
      <c r="P18" s="5">
        <v>0.193</v>
      </c>
      <c r="Q18" s="5">
        <v>4.7E-2</v>
      </c>
      <c r="R18">
        <f t="shared" si="2"/>
        <v>7.4303405572755415E-2</v>
      </c>
      <c r="S18">
        <f t="shared" si="4"/>
        <v>13.458333333333334</v>
      </c>
      <c r="T18" s="7">
        <f t="shared" si="5"/>
        <v>8.0000000000000007E-5</v>
      </c>
      <c r="U18" s="7">
        <f t="shared" si="6"/>
        <v>5.0000000000000004E-6</v>
      </c>
      <c r="V18" s="18">
        <f t="shared" si="3"/>
        <v>1.021961135777274</v>
      </c>
      <c r="W18">
        <v>0</v>
      </c>
      <c r="X18" s="48">
        <f t="shared" si="10"/>
        <v>8.0000000000000007E-5</v>
      </c>
      <c r="Y18" s="48">
        <f t="shared" si="11"/>
        <v>5.0000000000000004E-6</v>
      </c>
      <c r="Z18" t="s">
        <v>190</v>
      </c>
      <c r="AA18" s="18" t="s">
        <v>246</v>
      </c>
    </row>
    <row r="19" spans="1:27">
      <c r="A19" t="str">
        <f t="shared" si="0"/>
        <v>Auto, Aardgas/ CNG, Licht (voertuiggewicht &lt; 1100 kg)</v>
      </c>
      <c r="B19" s="2" t="s">
        <v>41</v>
      </c>
      <c r="C19" s="2" t="s">
        <v>19</v>
      </c>
      <c r="D19" s="2" t="s">
        <v>20</v>
      </c>
      <c r="E19" s="2" t="s">
        <v>4</v>
      </c>
      <c r="F19" s="2">
        <v>0.14899999999999999</v>
      </c>
      <c r="G19" s="2">
        <v>0.122</v>
      </c>
      <c r="H19" s="2">
        <v>2.7E-2</v>
      </c>
      <c r="I19" s="2">
        <f t="shared" si="13"/>
        <v>1.1720071765547708</v>
      </c>
      <c r="J19" s="2"/>
      <c r="K19" s="5" t="s">
        <v>41</v>
      </c>
      <c r="L19" s="5" t="s">
        <v>11</v>
      </c>
      <c r="M19" s="5" t="s">
        <v>20</v>
      </c>
      <c r="N19" s="5" t="s">
        <v>4</v>
      </c>
      <c r="O19" s="5">
        <f t="shared" si="1"/>
        <v>0.16800000000000001</v>
      </c>
      <c r="P19" s="5">
        <v>0.13500000000000001</v>
      </c>
      <c r="Q19" s="5">
        <v>3.3000000000000002E-2</v>
      </c>
      <c r="R19">
        <f>O19/M$59</f>
        <v>6.1583577712609971E-2</v>
      </c>
      <c r="S19">
        <f t="shared" si="4"/>
        <v>16.238095238095237</v>
      </c>
      <c r="T19" s="7">
        <f t="shared" si="5"/>
        <v>8.0000000000000007E-5</v>
      </c>
      <c r="U19" s="7">
        <f t="shared" si="6"/>
        <v>5.0000000000000004E-6</v>
      </c>
      <c r="V19" s="18">
        <f t="shared" si="3"/>
        <v>1.021961135777274</v>
      </c>
      <c r="W19">
        <v>0</v>
      </c>
      <c r="X19" s="49">
        <f t="shared" si="10"/>
        <v>8.0000000000000007E-5</v>
      </c>
      <c r="Y19" s="49">
        <f t="shared" si="11"/>
        <v>5.0000000000000004E-6</v>
      </c>
      <c r="Z19" t="s">
        <v>191</v>
      </c>
      <c r="AA19" s="18" t="s">
        <v>246</v>
      </c>
    </row>
    <row r="20" spans="1:27">
      <c r="A20" t="str">
        <f t="shared" si="0"/>
        <v>Auto, Aardgas/ CNG, Gemiddeld (voertuiggewicht 1100 - 1.500 kg)</v>
      </c>
      <c r="B20" s="2" t="s">
        <v>41</v>
      </c>
      <c r="C20" s="2" t="s">
        <v>19</v>
      </c>
      <c r="D20" s="2" t="s">
        <v>21</v>
      </c>
      <c r="E20" s="2" t="s">
        <v>4</v>
      </c>
      <c r="F20" s="2">
        <v>0.189</v>
      </c>
      <c r="G20" s="2">
        <v>0.154</v>
      </c>
      <c r="H20" s="2">
        <v>3.5000000000000003E-2</v>
      </c>
      <c r="I20" s="2">
        <f t="shared" si="13"/>
        <v>1.1720071765547708</v>
      </c>
      <c r="J20" s="2"/>
      <c r="K20" s="5" t="s">
        <v>41</v>
      </c>
      <c r="L20" s="5" t="s">
        <v>11</v>
      </c>
      <c r="M20" s="5" t="s">
        <v>21</v>
      </c>
      <c r="N20" s="5" t="s">
        <v>4</v>
      </c>
      <c r="O20" s="5">
        <f t="shared" si="1"/>
        <v>0.21300000000000002</v>
      </c>
      <c r="P20" s="5">
        <v>0.17100000000000001</v>
      </c>
      <c r="Q20" s="5">
        <v>4.2000000000000003E-2</v>
      </c>
      <c r="R20">
        <f>O20/M$59</f>
        <v>7.8079178885630499E-2</v>
      </c>
      <c r="S20">
        <f t="shared" si="4"/>
        <v>12.807511737089202</v>
      </c>
      <c r="T20" s="7">
        <f t="shared" si="5"/>
        <v>8.0000000000000007E-5</v>
      </c>
      <c r="U20" s="7">
        <f t="shared" si="6"/>
        <v>5.0000000000000004E-6</v>
      </c>
      <c r="V20" s="18">
        <f t="shared" si="3"/>
        <v>1.021961135777274</v>
      </c>
      <c r="W20">
        <v>0</v>
      </c>
      <c r="X20" s="49">
        <f t="shared" si="10"/>
        <v>8.0000000000000007E-5</v>
      </c>
      <c r="Y20" s="49">
        <f t="shared" si="11"/>
        <v>5.0000000000000004E-6</v>
      </c>
      <c r="Z20" t="s">
        <v>192</v>
      </c>
      <c r="AA20" s="18" t="s">
        <v>246</v>
      </c>
    </row>
    <row r="21" spans="1:27">
      <c r="A21" t="str">
        <f t="shared" si="0"/>
        <v>Auto, Aardgas/ CNG, Zwaar voertuiggewicht &gt;1.500 kg)</v>
      </c>
      <c r="B21" s="2" t="s">
        <v>41</v>
      </c>
      <c r="C21" s="2" t="s">
        <v>19</v>
      </c>
      <c r="D21" s="2" t="s">
        <v>22</v>
      </c>
      <c r="E21" s="2" t="s">
        <v>4</v>
      </c>
      <c r="F21" s="2">
        <v>0.214</v>
      </c>
      <c r="G21" s="2">
        <v>0.17399999999999999</v>
      </c>
      <c r="H21" s="2">
        <v>3.9E-2</v>
      </c>
      <c r="I21" s="2">
        <f t="shared" si="13"/>
        <v>1.1720071765547708</v>
      </c>
      <c r="J21" s="2"/>
      <c r="K21" s="5" t="s">
        <v>41</v>
      </c>
      <c r="L21" s="5" t="s">
        <v>11</v>
      </c>
      <c r="M21" s="5" t="s">
        <v>22</v>
      </c>
      <c r="N21" s="5" t="s">
        <v>4</v>
      </c>
      <c r="O21" s="5">
        <f t="shared" si="1"/>
        <v>0.24</v>
      </c>
      <c r="P21" s="5">
        <v>0.193</v>
      </c>
      <c r="Q21" s="5">
        <v>4.7E-2</v>
      </c>
      <c r="R21">
        <f>O21/M$59</f>
        <v>8.7976539589442806E-2</v>
      </c>
      <c r="S21">
        <f t="shared" si="4"/>
        <v>11.366666666666667</v>
      </c>
      <c r="T21" s="7">
        <f t="shared" si="5"/>
        <v>8.0000000000000007E-5</v>
      </c>
      <c r="U21" s="7">
        <f t="shared" si="6"/>
        <v>5.0000000000000004E-6</v>
      </c>
      <c r="V21" s="18">
        <f t="shared" si="3"/>
        <v>1.021961135777274</v>
      </c>
      <c r="W21">
        <v>0</v>
      </c>
      <c r="X21" s="49">
        <f t="shared" si="10"/>
        <v>8.0000000000000007E-5</v>
      </c>
      <c r="Y21" s="49">
        <f t="shared" si="11"/>
        <v>5.0000000000000004E-6</v>
      </c>
      <c r="Z21" t="s">
        <v>193</v>
      </c>
      <c r="AA21" s="18" t="s">
        <v>246</v>
      </c>
    </row>
    <row r="22" spans="1:27">
      <c r="A22" t="str">
        <f t="shared" si="0"/>
        <v>Auto, Bio-CNG, Gemiddeld</v>
      </c>
      <c r="B22" s="2" t="s">
        <v>41</v>
      </c>
      <c r="C22" s="2" t="s">
        <v>23</v>
      </c>
      <c r="D22" s="2" t="s">
        <v>42</v>
      </c>
      <c r="E22" s="2" t="s">
        <v>4</v>
      </c>
      <c r="F22" s="2">
        <v>7.4999999999999997E-2</v>
      </c>
      <c r="G22" s="2">
        <v>6.0000000000000001E-3</v>
      </c>
      <c r="H22" s="2">
        <v>7.0000000000000007E-2</v>
      </c>
      <c r="I22" s="2">
        <f>AVERAGE(D$67:D$69)</f>
        <v>5.4352547046333334E-2</v>
      </c>
      <c r="J22" s="2"/>
      <c r="K22" s="5" t="s">
        <v>41</v>
      </c>
      <c r="L22" s="5" t="s">
        <v>11</v>
      </c>
      <c r="M22" s="5" t="s">
        <v>13</v>
      </c>
      <c r="N22" s="5" t="s">
        <v>4</v>
      </c>
      <c r="O22" s="5">
        <f t="shared" si="1"/>
        <v>0.21300000000000002</v>
      </c>
      <c r="P22" s="5">
        <v>0.17100000000000001</v>
      </c>
      <c r="Q22" s="5">
        <v>4.2000000000000003E-2</v>
      </c>
      <c r="R22">
        <f t="shared" ref="R22:R32" si="14">O22/M$49</f>
        <v>6.5944272445820434E-2</v>
      </c>
      <c r="S22">
        <f t="shared" si="4"/>
        <v>15.16431924882629</v>
      </c>
      <c r="T22" s="7">
        <f t="shared" si="5"/>
        <v>8.0000000000000007E-5</v>
      </c>
      <c r="U22" s="7">
        <f t="shared" si="6"/>
        <v>5.0000000000000004E-6</v>
      </c>
      <c r="V22" s="18">
        <f t="shared" si="3"/>
        <v>1.021961135777274</v>
      </c>
      <c r="W22">
        <v>1</v>
      </c>
      <c r="X22" s="48">
        <f t="shared" si="10"/>
        <v>8.0000000000000007E-5</v>
      </c>
      <c r="Y22" s="48">
        <f t="shared" si="11"/>
        <v>5.0000000000000004E-6</v>
      </c>
      <c r="Z22" t="s">
        <v>194</v>
      </c>
      <c r="AA22" s="18" t="s">
        <v>246</v>
      </c>
    </row>
    <row r="23" spans="1:27">
      <c r="A23" t="str">
        <f t="shared" si="0"/>
        <v>Auto, Bio-ethanol (E85), Gemiddeld</v>
      </c>
      <c r="B23" s="2" t="s">
        <v>41</v>
      </c>
      <c r="C23" s="2" t="s">
        <v>24</v>
      </c>
      <c r="D23" s="2" t="s">
        <v>42</v>
      </c>
      <c r="E23" s="2" t="s">
        <v>4</v>
      </c>
      <c r="F23" s="2">
        <v>0.122</v>
      </c>
      <c r="G23" s="2">
        <v>4.2000000000000003E-2</v>
      </c>
      <c r="H23" s="2">
        <v>8.1000000000000003E-2</v>
      </c>
      <c r="I23" s="2">
        <f t="shared" ref="I23:I24" si="15">AVERAGE(D$67:D$69)</f>
        <v>5.4352547046333334E-2</v>
      </c>
      <c r="J23" s="2"/>
      <c r="K23" s="5" t="s">
        <v>41</v>
      </c>
      <c r="L23" s="5" t="s">
        <v>11</v>
      </c>
      <c r="M23" s="5" t="s">
        <v>13</v>
      </c>
      <c r="N23" s="5" t="s">
        <v>4</v>
      </c>
      <c r="O23" s="5">
        <f t="shared" si="1"/>
        <v>0.21300000000000002</v>
      </c>
      <c r="P23" s="5">
        <v>0.17100000000000001</v>
      </c>
      <c r="Q23" s="5">
        <v>4.2000000000000003E-2</v>
      </c>
      <c r="R23">
        <f t="shared" si="14"/>
        <v>6.5944272445820434E-2</v>
      </c>
      <c r="S23">
        <f t="shared" si="4"/>
        <v>15.16431924882629</v>
      </c>
      <c r="T23" s="7">
        <f t="shared" si="5"/>
        <v>8.0000000000000007E-5</v>
      </c>
      <c r="U23" s="7">
        <f t="shared" si="6"/>
        <v>5.0000000000000004E-6</v>
      </c>
      <c r="V23" s="18">
        <f t="shared" si="3"/>
        <v>1.021961135777274</v>
      </c>
      <c r="W23">
        <v>1</v>
      </c>
      <c r="X23" s="48">
        <f>0.06/1000</f>
        <v>5.9999999999999995E-5</v>
      </c>
      <c r="Y23" s="48">
        <f>0.005/1000</f>
        <v>5.0000000000000004E-6</v>
      </c>
      <c r="Z23" t="s">
        <v>195</v>
      </c>
      <c r="AA23" s="18" t="s">
        <v>246</v>
      </c>
    </row>
    <row r="24" spans="1:27">
      <c r="A24" t="str">
        <f t="shared" si="0"/>
        <v>Auto, Biodiesel EURO5 (B100), Gemiddeld</v>
      </c>
      <c r="B24" s="2" t="s">
        <v>41</v>
      </c>
      <c r="C24" s="2" t="s">
        <v>25</v>
      </c>
      <c r="D24" s="2" t="s">
        <v>42</v>
      </c>
      <c r="E24" s="2" t="s">
        <v>4</v>
      </c>
      <c r="F24" s="2">
        <v>0.20699999999999999</v>
      </c>
      <c r="G24" s="2">
        <v>1E-3</v>
      </c>
      <c r="H24" s="2">
        <v>0.20599999999999999</v>
      </c>
      <c r="I24" s="2">
        <f t="shared" si="15"/>
        <v>5.4352547046333334E-2</v>
      </c>
      <c r="J24" s="2"/>
      <c r="K24" s="5" t="s">
        <v>41</v>
      </c>
      <c r="L24" s="5" t="s">
        <v>11</v>
      </c>
      <c r="M24" s="5" t="s">
        <v>13</v>
      </c>
      <c r="N24" s="5" t="s">
        <v>4</v>
      </c>
      <c r="O24" s="5">
        <f t="shared" si="1"/>
        <v>0.21300000000000002</v>
      </c>
      <c r="P24" s="5">
        <v>0.17100000000000001</v>
      </c>
      <c r="Q24" s="5">
        <v>4.2000000000000003E-2</v>
      </c>
      <c r="R24">
        <f t="shared" si="14"/>
        <v>6.5944272445820434E-2</v>
      </c>
      <c r="S24">
        <f t="shared" si="4"/>
        <v>15.16431924882629</v>
      </c>
      <c r="T24" s="7">
        <f t="shared" si="5"/>
        <v>8.0000000000000007E-5</v>
      </c>
      <c r="U24" s="7">
        <f t="shared" si="6"/>
        <v>5.0000000000000004E-6</v>
      </c>
      <c r="V24" s="18">
        <f t="shared" si="3"/>
        <v>1.021961135777274</v>
      </c>
      <c r="W24">
        <v>1</v>
      </c>
      <c r="X24" s="48">
        <f>0.18/1000</f>
        <v>1.7999999999999998E-4</v>
      </c>
      <c r="Y24" s="48">
        <f t="shared" si="11"/>
        <v>5.0000000000000004E-6</v>
      </c>
      <c r="Z24" t="s">
        <v>196</v>
      </c>
      <c r="AA24" s="18" t="s">
        <v>246</v>
      </c>
    </row>
    <row r="25" spans="1:27">
      <c r="A25" t="str">
        <f t="shared" si="0"/>
        <v>Auto, Waterstof, Gemiddeld</v>
      </c>
      <c r="B25" s="2" t="s">
        <v>41</v>
      </c>
      <c r="C25" s="2" t="s">
        <v>26</v>
      </c>
      <c r="D25" s="2" t="s">
        <v>42</v>
      </c>
      <c r="E25" s="2" t="s">
        <v>4</v>
      </c>
      <c r="F25" s="2">
        <v>0.126</v>
      </c>
      <c r="G25" s="2">
        <v>0</v>
      </c>
      <c r="H25" s="2">
        <v>0.126</v>
      </c>
      <c r="I25" s="2">
        <f>1.5906867*Emissies!E31</f>
        <v>1.511152365E-2</v>
      </c>
      <c r="J25" s="2"/>
      <c r="K25" s="5" t="s">
        <v>41</v>
      </c>
      <c r="L25" s="5" t="s">
        <v>11</v>
      </c>
      <c r="M25" s="5" t="s">
        <v>13</v>
      </c>
      <c r="N25" s="5" t="s">
        <v>4</v>
      </c>
      <c r="O25" s="5">
        <f t="shared" si="1"/>
        <v>0.21300000000000002</v>
      </c>
      <c r="P25" s="5">
        <v>0.17100000000000001</v>
      </c>
      <c r="Q25" s="5">
        <v>4.2000000000000003E-2</v>
      </c>
      <c r="R25">
        <f t="shared" si="14"/>
        <v>6.5944272445820434E-2</v>
      </c>
      <c r="S25">
        <f t="shared" si="4"/>
        <v>15.16431924882629</v>
      </c>
      <c r="T25" s="7">
        <f t="shared" si="5"/>
        <v>8.0000000000000007E-5</v>
      </c>
      <c r="U25" s="7">
        <f t="shared" si="6"/>
        <v>5.0000000000000004E-6</v>
      </c>
      <c r="V25" s="18">
        <f t="shared" si="3"/>
        <v>1.021961135777274</v>
      </c>
      <c r="W25">
        <v>1</v>
      </c>
      <c r="X25">
        <v>0</v>
      </c>
      <c r="Y25">
        <v>0</v>
      </c>
      <c r="Z25" t="s">
        <v>197</v>
      </c>
      <c r="AA25" s="18" t="s">
        <v>246</v>
      </c>
    </row>
    <row r="26" spans="1:27">
      <c r="A26" t="str">
        <f t="shared" si="0"/>
        <v>Auto, Elektrisch, Grijze stroom</v>
      </c>
      <c r="B26" s="2" t="s">
        <v>41</v>
      </c>
      <c r="C26" s="55" t="s">
        <v>27</v>
      </c>
      <c r="D26" s="2" t="s">
        <v>43</v>
      </c>
      <c r="E26" s="2" t="s">
        <v>4</v>
      </c>
      <c r="F26" s="2">
        <v>0.107</v>
      </c>
      <c r="G26" s="2">
        <v>0</v>
      </c>
      <c r="H26" s="2">
        <v>0.107</v>
      </c>
      <c r="I26" s="2">
        <f>D64*Emissies!E28</f>
        <v>2.2043209260626286E-2</v>
      </c>
      <c r="J26" s="2"/>
      <c r="K26" s="5" t="s">
        <v>41</v>
      </c>
      <c r="L26" s="5" t="s">
        <v>11</v>
      </c>
      <c r="M26" s="5" t="s">
        <v>13</v>
      </c>
      <c r="N26" s="5" t="s">
        <v>4</v>
      </c>
      <c r="O26" s="5">
        <f t="shared" si="1"/>
        <v>0.21300000000000002</v>
      </c>
      <c r="P26" s="5">
        <v>0.17100000000000001</v>
      </c>
      <c r="Q26" s="5">
        <v>4.2000000000000003E-2</v>
      </c>
      <c r="R26">
        <f t="shared" si="14"/>
        <v>6.5944272445820434E-2</v>
      </c>
      <c r="S26">
        <f t="shared" si="4"/>
        <v>15.16431924882629</v>
      </c>
      <c r="T26" s="7">
        <f t="shared" si="5"/>
        <v>8.0000000000000007E-5</v>
      </c>
      <c r="U26" s="7">
        <f t="shared" si="6"/>
        <v>5.0000000000000004E-6</v>
      </c>
      <c r="V26" s="18">
        <f t="shared" si="3"/>
        <v>1.021961135777274</v>
      </c>
      <c r="W26">
        <v>1</v>
      </c>
      <c r="X26">
        <v>0</v>
      </c>
      <c r="Y26">
        <v>0</v>
      </c>
      <c r="Z26" t="s">
        <v>198</v>
      </c>
      <c r="AA26" s="18" t="s">
        <v>246</v>
      </c>
    </row>
    <row r="27" spans="1:27">
      <c r="A27" t="str">
        <f t="shared" si="0"/>
        <v>Auto, Elektrisch, Groene stroom mix</v>
      </c>
      <c r="B27" s="9" t="s">
        <v>41</v>
      </c>
      <c r="C27" s="55" t="s">
        <v>27</v>
      </c>
      <c r="D27" s="9" t="s">
        <v>53</v>
      </c>
      <c r="E27" s="9" t="s">
        <v>4</v>
      </c>
      <c r="F27" s="9">
        <f xml:space="preserve"> SUM(G27:H27)</f>
        <v>2.4648504740313278E-3</v>
      </c>
      <c r="G27" s="9">
        <v>0</v>
      </c>
      <c r="H27" s="9">
        <f>E41*0.167</f>
        <v>2.4648504740313278E-3</v>
      </c>
      <c r="I27" s="9">
        <f>F58*Emissies!E28</f>
        <v>9.9948605935696634E-4</v>
      </c>
      <c r="J27" s="9"/>
      <c r="K27" s="5" t="s">
        <v>41</v>
      </c>
      <c r="L27" s="5" t="s">
        <v>11</v>
      </c>
      <c r="M27" s="5" t="s">
        <v>13</v>
      </c>
      <c r="N27" s="5" t="s">
        <v>4</v>
      </c>
      <c r="O27" s="5">
        <f t="shared" si="1"/>
        <v>0.21300000000000002</v>
      </c>
      <c r="P27" s="5">
        <v>0.17100000000000001</v>
      </c>
      <c r="Q27" s="5">
        <v>4.2000000000000003E-2</v>
      </c>
      <c r="R27">
        <f t="shared" si="14"/>
        <v>6.5944272445820434E-2</v>
      </c>
      <c r="S27">
        <f t="shared" si="4"/>
        <v>15.16431924882629</v>
      </c>
      <c r="T27" s="7">
        <f t="shared" si="5"/>
        <v>8.0000000000000007E-5</v>
      </c>
      <c r="U27" s="7">
        <f t="shared" si="6"/>
        <v>5.0000000000000004E-6</v>
      </c>
      <c r="V27" s="18">
        <f t="shared" si="3"/>
        <v>1.021961135777274</v>
      </c>
      <c r="W27">
        <v>1</v>
      </c>
      <c r="X27">
        <v>0</v>
      </c>
      <c r="Y27">
        <v>0</v>
      </c>
      <c r="Z27" t="s">
        <v>199</v>
      </c>
      <c r="AA27" s="18" t="s">
        <v>246</v>
      </c>
    </row>
    <row r="28" spans="1:27">
      <c r="A28" t="str">
        <f t="shared" si="0"/>
        <v xml:space="preserve">Minibus (max. 8 personen), Diesel, </v>
      </c>
      <c r="B28" s="2" t="s">
        <v>44</v>
      </c>
      <c r="C28" s="2" t="s">
        <v>11</v>
      </c>
      <c r="D28" s="2"/>
      <c r="E28" s="2" t="s">
        <v>4</v>
      </c>
      <c r="F28" s="2">
        <v>0.29799999999999999</v>
      </c>
      <c r="G28" s="2">
        <v>0.24</v>
      </c>
      <c r="H28" s="2">
        <v>5.8000000000000003E-2</v>
      </c>
      <c r="I28" s="2">
        <f>E$48</f>
        <v>1.2166203997348499</v>
      </c>
      <c r="J28" s="2"/>
      <c r="K28" s="5" t="s">
        <v>44</v>
      </c>
      <c r="L28" s="5" t="s">
        <v>11</v>
      </c>
      <c r="M28" s="5"/>
      <c r="N28" s="5" t="s">
        <v>4</v>
      </c>
      <c r="O28" s="5">
        <f t="shared" si="1"/>
        <v>0.29799999999999999</v>
      </c>
      <c r="P28" s="5">
        <v>0.24</v>
      </c>
      <c r="Q28" s="5">
        <v>5.8000000000000003E-2</v>
      </c>
      <c r="R28">
        <f t="shared" si="14"/>
        <v>9.2260061919504643E-2</v>
      </c>
      <c r="S28">
        <f t="shared" si="4"/>
        <v>10.838926174496644</v>
      </c>
      <c r="T28" s="7">
        <f xml:space="preserve"> 0.125/1000</f>
        <v>1.25E-4</v>
      </c>
      <c r="U28" s="7">
        <f t="shared" si="6"/>
        <v>5.0000000000000004E-6</v>
      </c>
      <c r="V28" s="18">
        <f t="shared" si="3"/>
        <v>1.021961135777274</v>
      </c>
      <c r="W28">
        <v>0</v>
      </c>
      <c r="X28" s="7">
        <f xml:space="preserve"> 0.125/1000</f>
        <v>1.25E-4</v>
      </c>
      <c r="Y28" s="7">
        <f t="shared" ref="Y28" si="16">0.005/1000</f>
        <v>5.0000000000000004E-6</v>
      </c>
      <c r="Z28" t="s">
        <v>200</v>
      </c>
      <c r="AA28" s="18" t="s">
        <v>246</v>
      </c>
    </row>
    <row r="29" spans="1:27">
      <c r="A29" t="str">
        <f t="shared" si="0"/>
        <v xml:space="preserve">Minibus, Benzine, </v>
      </c>
      <c r="B29" s="2" t="s">
        <v>28</v>
      </c>
      <c r="C29" s="2" t="s">
        <v>5</v>
      </c>
      <c r="D29" s="2"/>
      <c r="E29" s="2" t="s">
        <v>4</v>
      </c>
      <c r="F29" s="2">
        <v>0.312</v>
      </c>
      <c r="G29" s="2">
        <v>0.252</v>
      </c>
      <c r="H29" s="2">
        <v>0.06</v>
      </c>
      <c r="I29" s="2">
        <f>E$49</f>
        <v>1.2728268287378299</v>
      </c>
      <c r="J29" s="2"/>
      <c r="K29" s="5" t="s">
        <v>28</v>
      </c>
      <c r="L29" s="5" t="s">
        <v>11</v>
      </c>
      <c r="M29" s="5"/>
      <c r="N29" s="5" t="s">
        <v>4</v>
      </c>
      <c r="O29" s="5">
        <f t="shared" si="1"/>
        <v>0.29799999999999999</v>
      </c>
      <c r="P29" s="5">
        <v>0.24</v>
      </c>
      <c r="Q29" s="5">
        <v>5.8000000000000003E-2</v>
      </c>
      <c r="R29">
        <f t="shared" si="14"/>
        <v>9.2260061919504643E-2</v>
      </c>
      <c r="S29">
        <f t="shared" si="4"/>
        <v>10.838926174496644</v>
      </c>
      <c r="T29" s="7">
        <f xml:space="preserve"> 0.4/1000</f>
        <v>4.0000000000000002E-4</v>
      </c>
      <c r="U29" s="7">
        <f>0.01/1000</f>
        <v>1.0000000000000001E-5</v>
      </c>
      <c r="V29" s="18">
        <f t="shared" si="3"/>
        <v>1.021961135777274</v>
      </c>
      <c r="W29">
        <v>0</v>
      </c>
      <c r="X29">
        <f>0.082/1000</f>
        <v>8.2000000000000001E-5</v>
      </c>
      <c r="Y29">
        <f>0.005/1000</f>
        <v>5.0000000000000004E-6</v>
      </c>
      <c r="Z29" t="s">
        <v>201</v>
      </c>
      <c r="AA29" s="18" t="s">
        <v>246</v>
      </c>
    </row>
    <row r="30" spans="1:27">
      <c r="A30" t="str">
        <f t="shared" si="0"/>
        <v xml:space="preserve">Minibus, LPG, </v>
      </c>
      <c r="B30" s="2" t="s">
        <v>28</v>
      </c>
      <c r="C30" s="2" t="s">
        <v>15</v>
      </c>
      <c r="D30" s="2"/>
      <c r="E30" s="2" t="s">
        <v>4</v>
      </c>
      <c r="F30" s="2">
        <v>0.27400000000000002</v>
      </c>
      <c r="G30" s="2">
        <v>0.221</v>
      </c>
      <c r="H30" s="2">
        <v>5.2999999999999999E-2</v>
      </c>
      <c r="I30" s="2">
        <f>E$54</f>
        <v>0.97628197807012396</v>
      </c>
      <c r="J30" s="2"/>
      <c r="K30" s="5" t="s">
        <v>28</v>
      </c>
      <c r="L30" s="5" t="s">
        <v>11</v>
      </c>
      <c r="M30" s="5"/>
      <c r="N30" s="5" t="s">
        <v>4</v>
      </c>
      <c r="O30" s="5">
        <f t="shared" si="1"/>
        <v>0.29799999999999999</v>
      </c>
      <c r="P30" s="5">
        <v>0.24</v>
      </c>
      <c r="Q30" s="5">
        <v>5.8000000000000003E-2</v>
      </c>
      <c r="R30">
        <f t="shared" si="14"/>
        <v>9.2260061919504643E-2</v>
      </c>
      <c r="S30">
        <f t="shared" si="4"/>
        <v>10.838926174496644</v>
      </c>
      <c r="T30" s="7">
        <f xml:space="preserve"> 0.4/1000</f>
        <v>4.0000000000000002E-4</v>
      </c>
      <c r="U30" s="7">
        <f t="shared" ref="U30:U78" si="17">0.01/1000</f>
        <v>1.0000000000000001E-5</v>
      </c>
      <c r="V30" s="18">
        <f t="shared" si="3"/>
        <v>1.021961135777274</v>
      </c>
      <c r="W30">
        <v>0</v>
      </c>
      <c r="X30" s="7">
        <f xml:space="preserve"> 0.4/1000</f>
        <v>4.0000000000000002E-4</v>
      </c>
      <c r="Y30" s="7">
        <f t="shared" ref="Y30:Y36" si="18">0.01/1000</f>
        <v>1.0000000000000001E-5</v>
      </c>
      <c r="Z30" t="s">
        <v>202</v>
      </c>
      <c r="AA30" s="18" t="s">
        <v>246</v>
      </c>
    </row>
    <row r="31" spans="1:27">
      <c r="A31" t="str">
        <f t="shared" ref="A31:A36" si="19">CONCATENATE(B31,", ",C31, ", ",D31)</f>
        <v>Minibus, Elektrisch, Grijze stroom</v>
      </c>
      <c r="B31" s="2" t="s">
        <v>28</v>
      </c>
      <c r="C31" s="55" t="s">
        <v>27</v>
      </c>
      <c r="D31" s="2" t="s">
        <v>43</v>
      </c>
      <c r="E31" s="2" t="s">
        <v>4</v>
      </c>
      <c r="F31" s="2">
        <f>0.259*C64</f>
        <v>0.12836365524331222</v>
      </c>
      <c r="G31" s="2">
        <v>0</v>
      </c>
      <c r="H31" s="2">
        <f>0.259*C64</f>
        <v>0.12836365524331222</v>
      </c>
      <c r="I31" s="2">
        <f>D64*Emissies!E27</f>
        <v>3.5906862883661683E-2</v>
      </c>
      <c r="J31" s="2"/>
      <c r="K31" s="5" t="s">
        <v>28</v>
      </c>
      <c r="L31" s="5" t="s">
        <v>11</v>
      </c>
      <c r="M31" s="5"/>
      <c r="N31" s="5" t="s">
        <v>4</v>
      </c>
      <c r="O31" s="5">
        <f t="shared" si="1"/>
        <v>0.29799999999999999</v>
      </c>
      <c r="P31" s="5">
        <v>0.24</v>
      </c>
      <c r="Q31" s="5">
        <v>5.8000000000000003E-2</v>
      </c>
      <c r="R31">
        <f t="shared" si="14"/>
        <v>9.2260061919504643E-2</v>
      </c>
      <c r="S31">
        <f t="shared" ref="S31" si="20">1/R31</f>
        <v>10.838926174496644</v>
      </c>
      <c r="T31" s="7">
        <f xml:space="preserve"> 0.4/1000</f>
        <v>4.0000000000000002E-4</v>
      </c>
      <c r="U31" s="7">
        <f>0.01/1000</f>
        <v>1.0000000000000001E-5</v>
      </c>
      <c r="V31" s="18">
        <f t="shared" si="3"/>
        <v>1.021961135777274</v>
      </c>
      <c r="W31">
        <v>1</v>
      </c>
      <c r="X31" s="7">
        <v>0</v>
      </c>
      <c r="Y31" s="7">
        <v>0</v>
      </c>
      <c r="AA31" s="18" t="s">
        <v>243</v>
      </c>
    </row>
    <row r="32" spans="1:27">
      <c r="A32" t="str">
        <f t="shared" si="19"/>
        <v>Minibus, Elektrisch, Groene stroom mix</v>
      </c>
      <c r="B32" s="2" t="s">
        <v>28</v>
      </c>
      <c r="C32" s="55" t="s">
        <v>27</v>
      </c>
      <c r="D32" s="2" t="s">
        <v>53</v>
      </c>
      <c r="E32" s="2" t="s">
        <v>4</v>
      </c>
      <c r="F32" s="2">
        <f>0.259*E41</f>
        <v>3.8227321723000827E-3</v>
      </c>
      <c r="G32" s="2">
        <v>0</v>
      </c>
      <c r="H32" s="2">
        <f>0.259*E41</f>
        <v>3.8227321723000827E-3</v>
      </c>
      <c r="I32" s="2">
        <f>F58*Emissies!E27</f>
        <v>1.628093643858203E-3</v>
      </c>
      <c r="J32" s="2"/>
      <c r="K32" s="5" t="s">
        <v>28</v>
      </c>
      <c r="L32" s="5" t="s">
        <v>11</v>
      </c>
      <c r="M32" s="5"/>
      <c r="N32" s="5" t="s">
        <v>4</v>
      </c>
      <c r="O32" s="5">
        <f t="shared" si="1"/>
        <v>0.29799999999999999</v>
      </c>
      <c r="P32" s="5">
        <v>0.24</v>
      </c>
      <c r="Q32" s="5">
        <v>5.8000000000000003E-2</v>
      </c>
      <c r="R32">
        <f t="shared" si="14"/>
        <v>9.2260061919504643E-2</v>
      </c>
      <c r="S32">
        <f>1/R32</f>
        <v>10.838926174496644</v>
      </c>
      <c r="T32" s="7">
        <f xml:space="preserve"> 0.4/1000</f>
        <v>4.0000000000000002E-4</v>
      </c>
      <c r="U32" s="7">
        <f t="shared" si="17"/>
        <v>1.0000000000000001E-5</v>
      </c>
      <c r="V32" s="18">
        <f t="shared" si="3"/>
        <v>1.021961135777274</v>
      </c>
      <c r="W32">
        <v>1</v>
      </c>
      <c r="X32" s="7">
        <v>0</v>
      </c>
      <c r="Y32" s="7">
        <v>0</v>
      </c>
      <c r="AA32" s="18" t="s">
        <v>243</v>
      </c>
    </row>
    <row r="33" spans="1:27">
      <c r="A33" t="str">
        <f t="shared" si="19"/>
        <v>Bus, CNG, onbekend</v>
      </c>
      <c r="B33" s="2" t="s">
        <v>222</v>
      </c>
      <c r="C33" s="2" t="s">
        <v>230</v>
      </c>
      <c r="D33" s="2" t="s">
        <v>228</v>
      </c>
      <c r="E33" s="2" t="s">
        <v>4</v>
      </c>
      <c r="F33" s="2">
        <f>G33+H33</f>
        <v>1.2690000000000001</v>
      </c>
      <c r="G33" s="2">
        <f>0.115*9</f>
        <v>1.0350000000000001</v>
      </c>
      <c r="H33" s="2">
        <f>0.026*9</f>
        <v>0.23399999999999999</v>
      </c>
      <c r="I33" s="2">
        <f>E54</f>
        <v>0.97628197807012396</v>
      </c>
      <c r="J33" s="2"/>
      <c r="K33" s="5" t="s">
        <v>222</v>
      </c>
      <c r="L33" s="5" t="s">
        <v>11</v>
      </c>
      <c r="M33" s="5" t="s">
        <v>223</v>
      </c>
      <c r="N33" s="5" t="s">
        <v>4</v>
      </c>
      <c r="O33" s="5">
        <f>SUM(P33:Q33)</f>
        <v>1.2600000000000002</v>
      </c>
      <c r="P33" s="5">
        <f>0.113*9</f>
        <v>1.0170000000000001</v>
      </c>
      <c r="Q33" s="5">
        <f>0.027*9</f>
        <v>0.24299999999999999</v>
      </c>
      <c r="T33" s="7">
        <f>0.00061*9</f>
        <v>5.4900000000000001E-3</v>
      </c>
      <c r="U33" s="7">
        <f>0.009*9/1000</f>
        <v>8.099999999999999E-5</v>
      </c>
      <c r="V33" s="18">
        <f t="shared" si="3"/>
        <v>1.021961135777274</v>
      </c>
      <c r="W33">
        <v>0</v>
      </c>
      <c r="X33" s="7">
        <f>0.22*9/1000</f>
        <v>1.98E-3</v>
      </c>
      <c r="Y33" s="7">
        <f>0.004*9/1000</f>
        <v>3.6000000000000001E-5</v>
      </c>
      <c r="AA33" s="18" t="s">
        <v>243</v>
      </c>
    </row>
    <row r="34" spans="1:27">
      <c r="A34" t="str">
        <f t="shared" si="19"/>
        <v>Bus, Elektrisch, Grijze stroom</v>
      </c>
      <c r="B34" s="2" t="s">
        <v>222</v>
      </c>
      <c r="C34" s="55" t="s">
        <v>27</v>
      </c>
      <c r="D34" s="2" t="s">
        <v>43</v>
      </c>
      <c r="E34" s="2" t="s">
        <v>4</v>
      </c>
      <c r="F34" s="2">
        <f>SUM(G34:H34)</f>
        <v>0.99122513701399395</v>
      </c>
      <c r="G34" s="2">
        <v>0</v>
      </c>
      <c r="H34" s="2">
        <f>C64*2</f>
        <v>0.99122513701399395</v>
      </c>
      <c r="I34" s="2">
        <f>D64*Emissies!E29</f>
        <v>0.27727307246070798</v>
      </c>
      <c r="J34" s="2"/>
      <c r="K34" s="5" t="s">
        <v>222</v>
      </c>
      <c r="L34" s="5" t="s">
        <v>11</v>
      </c>
      <c r="M34" s="5" t="s">
        <v>223</v>
      </c>
      <c r="N34" s="5" t="s">
        <v>4</v>
      </c>
      <c r="O34" s="5">
        <f>SUM(P34:Q34)</f>
        <v>1.2600000000000002</v>
      </c>
      <c r="P34" s="5">
        <f>0.113*9</f>
        <v>1.0170000000000001</v>
      </c>
      <c r="Q34" s="5">
        <f>0.027*9</f>
        <v>0.24299999999999999</v>
      </c>
      <c r="T34" s="7">
        <f xml:space="preserve"> 0.4/1000</f>
        <v>4.0000000000000002E-4</v>
      </c>
      <c r="U34" s="7">
        <f t="shared" si="17"/>
        <v>1.0000000000000001E-5</v>
      </c>
      <c r="V34" s="18">
        <f t="shared" si="3"/>
        <v>1.021961135777274</v>
      </c>
      <c r="W34">
        <v>1</v>
      </c>
      <c r="X34" s="7">
        <v>0</v>
      </c>
      <c r="Y34" s="7">
        <v>0</v>
      </c>
      <c r="AA34" t="s">
        <v>225</v>
      </c>
    </row>
    <row r="35" spans="1:27">
      <c r="A35" t="str">
        <f t="shared" si="19"/>
        <v>Bus, Elektrisch, Groene stroom mix</v>
      </c>
      <c r="B35" s="2" t="s">
        <v>222</v>
      </c>
      <c r="C35" s="55" t="s">
        <v>27</v>
      </c>
      <c r="D35" s="2" t="s">
        <v>53</v>
      </c>
      <c r="E35" s="2" t="s">
        <v>4</v>
      </c>
      <c r="F35" s="2">
        <f>SUM(G35:H35)</f>
        <v>2.9519167353668593E-2</v>
      </c>
      <c r="G35" s="2">
        <v>0</v>
      </c>
      <c r="H35" s="2">
        <f>E41*2</f>
        <v>2.9519167353668593E-2</v>
      </c>
      <c r="I35" s="2">
        <f>F58*Emissies!E29</f>
        <v>1.2572151690024734E-2</v>
      </c>
      <c r="J35" s="2"/>
      <c r="K35" s="5" t="s">
        <v>222</v>
      </c>
      <c r="L35" s="5" t="s">
        <v>11</v>
      </c>
      <c r="M35" s="5" t="s">
        <v>223</v>
      </c>
      <c r="N35" s="5" t="s">
        <v>4</v>
      </c>
      <c r="O35" s="5">
        <f>SUM(P35:Q35)</f>
        <v>1.2600000000000002</v>
      </c>
      <c r="P35" s="5">
        <f>0.113*9</f>
        <v>1.0170000000000001</v>
      </c>
      <c r="Q35" s="5">
        <f>0.027*9</f>
        <v>0.24299999999999999</v>
      </c>
      <c r="T35" s="7">
        <f xml:space="preserve"> 0.4/1000</f>
        <v>4.0000000000000002E-4</v>
      </c>
      <c r="U35" s="7">
        <f t="shared" si="17"/>
        <v>1.0000000000000001E-5</v>
      </c>
      <c r="V35" s="18">
        <f t="shared" si="3"/>
        <v>1.021961135777274</v>
      </c>
      <c r="W35">
        <v>1</v>
      </c>
      <c r="X35" s="7">
        <v>0</v>
      </c>
      <c r="Y35" s="7">
        <v>0</v>
      </c>
      <c r="AA35" t="s">
        <v>225</v>
      </c>
    </row>
    <row r="36" spans="1:27">
      <c r="A36" t="str">
        <f t="shared" si="19"/>
        <v xml:space="preserve">Toeringcar, Diesel, </v>
      </c>
      <c r="B36" s="2" t="s">
        <v>45</v>
      </c>
      <c r="C36" s="2" t="s">
        <v>11</v>
      </c>
      <c r="D36" s="2"/>
      <c r="E36" s="2" t="s">
        <v>4</v>
      </c>
      <c r="F36" s="2">
        <v>1.0429999999999999</v>
      </c>
      <c r="G36" s="2">
        <v>0.85299999999999998</v>
      </c>
      <c r="H36" s="2">
        <v>0.19</v>
      </c>
      <c r="I36" s="2">
        <f>E48</f>
        <v>1.2166203997348499</v>
      </c>
      <c r="J36" s="2"/>
      <c r="K36" s="5" t="s">
        <v>45</v>
      </c>
      <c r="L36" s="5" t="s">
        <v>11</v>
      </c>
      <c r="M36" s="5"/>
      <c r="N36" s="5" t="s">
        <v>4</v>
      </c>
      <c r="O36" s="5">
        <f>SUM(P36:Q36)</f>
        <v>1.0429999999999999</v>
      </c>
      <c r="P36" s="5">
        <v>0.85299999999999998</v>
      </c>
      <c r="Q36" s="5">
        <v>0.19</v>
      </c>
      <c r="R36">
        <f>O36/M$49</f>
        <v>0.32291021671826625</v>
      </c>
      <c r="S36">
        <f>1/R36</f>
        <v>3.0968360498561842</v>
      </c>
      <c r="T36" s="7">
        <f xml:space="preserve"> 0.4/1000</f>
        <v>4.0000000000000002E-4</v>
      </c>
      <c r="U36" s="7">
        <f t="shared" si="17"/>
        <v>1.0000000000000001E-5</v>
      </c>
      <c r="V36" s="18">
        <f t="shared" si="3"/>
        <v>1.021961135777274</v>
      </c>
      <c r="W36">
        <v>0</v>
      </c>
      <c r="X36" s="7">
        <f xml:space="preserve"> 0.4/1000</f>
        <v>4.0000000000000002E-4</v>
      </c>
      <c r="Y36" s="7">
        <f t="shared" si="18"/>
        <v>1.0000000000000001E-5</v>
      </c>
      <c r="Z36" t="s">
        <v>203</v>
      </c>
      <c r="AA36" s="18" t="s">
        <v>246</v>
      </c>
    </row>
    <row r="40" spans="1:27" ht="38.25">
      <c r="B40" s="10" t="s">
        <v>36</v>
      </c>
      <c r="C40" s="10" t="s">
        <v>35</v>
      </c>
      <c r="D40" s="10" t="s">
        <v>57</v>
      </c>
      <c r="E40" s="10" t="s">
        <v>56</v>
      </c>
      <c r="F40" s="10" t="s">
        <v>70</v>
      </c>
      <c r="K40" s="23" t="s">
        <v>105</v>
      </c>
      <c r="L40" s="24" t="s">
        <v>78</v>
      </c>
      <c r="M40" s="24" t="s">
        <v>79</v>
      </c>
      <c r="N40" s="24" t="s">
        <v>80</v>
      </c>
      <c r="O40" s="24" t="s">
        <v>81</v>
      </c>
      <c r="Q40" t="s">
        <v>153</v>
      </c>
      <c r="S40" t="s">
        <v>157</v>
      </c>
    </row>
    <row r="41" spans="1:27">
      <c r="B41" s="11" t="s">
        <v>31</v>
      </c>
      <c r="C41" s="11">
        <v>12.13</v>
      </c>
      <c r="D41" s="11"/>
      <c r="E41" s="11">
        <f xml:space="preserve"> ((($C$42/$C$41*D42)+($C$43/$C$41*D43)+($C$44/$C$41*D44)+($C$45/$C$41*D45))/1000)</f>
        <v>1.4759583676834297E-2</v>
      </c>
      <c r="F41" s="11">
        <f>C41/C$41</f>
        <v>1</v>
      </c>
      <c r="K41" s="21" t="s">
        <v>82</v>
      </c>
      <c r="L41" s="21" t="s">
        <v>83</v>
      </c>
      <c r="M41" s="21">
        <v>2.74</v>
      </c>
      <c r="N41" s="21">
        <v>2.2690000000000001</v>
      </c>
      <c r="O41" s="21">
        <v>0.47099999999999997</v>
      </c>
      <c r="Q41" t="s">
        <v>146</v>
      </c>
      <c r="R41" t="s">
        <v>147</v>
      </c>
      <c r="S41" t="s">
        <v>150</v>
      </c>
      <c r="T41" t="s">
        <v>149</v>
      </c>
    </row>
    <row r="42" spans="1:27">
      <c r="B42" s="11" t="s">
        <v>30</v>
      </c>
      <c r="C42" s="11">
        <v>0.09</v>
      </c>
      <c r="D42" s="11">
        <v>4</v>
      </c>
      <c r="E42" s="11">
        <f xml:space="preserve"> D42/1000</f>
        <v>4.0000000000000001E-3</v>
      </c>
      <c r="F42" s="11">
        <f t="shared" ref="F42:F45" si="21">C42/C$41</f>
        <v>7.4196207749381692E-3</v>
      </c>
      <c r="K42" s="21" t="s">
        <v>84</v>
      </c>
      <c r="L42" s="21" t="s">
        <v>83</v>
      </c>
      <c r="M42" s="21">
        <v>2.8</v>
      </c>
      <c r="N42" s="21">
        <v>2.2999999999999998</v>
      </c>
      <c r="O42" s="21">
        <v>0.5</v>
      </c>
    </row>
    <row r="43" spans="1:27">
      <c r="B43" s="11" t="s">
        <v>32</v>
      </c>
      <c r="C43" s="11">
        <v>7.05</v>
      </c>
      <c r="D43" s="11">
        <v>12</v>
      </c>
      <c r="E43" s="11">
        <f t="shared" ref="E43:E45" si="22" xml:space="preserve"> D43/1000</f>
        <v>1.2E-2</v>
      </c>
      <c r="F43" s="11">
        <f t="shared" si="21"/>
        <v>0.58120362737015663</v>
      </c>
      <c r="K43" s="21" t="s">
        <v>85</v>
      </c>
      <c r="L43" s="21" t="s">
        <v>83</v>
      </c>
      <c r="M43" s="21">
        <v>2.88</v>
      </c>
      <c r="N43" s="21">
        <v>2.42</v>
      </c>
      <c r="O43" s="21">
        <v>0.46</v>
      </c>
      <c r="Q43" t="s">
        <v>144</v>
      </c>
      <c r="R43" t="s">
        <v>145</v>
      </c>
      <c r="S43">
        <v>0.18</v>
      </c>
      <c r="T43">
        <v>5.0000000000000001E-3</v>
      </c>
    </row>
    <row r="44" spans="1:27">
      <c r="B44" s="11" t="s">
        <v>33</v>
      </c>
      <c r="C44" s="11">
        <v>1.34</v>
      </c>
      <c r="D44" s="11">
        <v>70</v>
      </c>
      <c r="E44" s="11">
        <f t="shared" si="22"/>
        <v>7.0000000000000007E-2</v>
      </c>
      <c r="F44" s="11">
        <f t="shared" si="21"/>
        <v>0.11046990931574609</v>
      </c>
      <c r="K44" s="21" t="s">
        <v>86</v>
      </c>
      <c r="L44" s="21" t="s">
        <v>83</v>
      </c>
      <c r="M44" s="21">
        <v>1.083</v>
      </c>
      <c r="N44" s="21">
        <v>0.373</v>
      </c>
      <c r="O44" s="21">
        <v>0.71</v>
      </c>
      <c r="Q44" t="s">
        <v>158</v>
      </c>
      <c r="R44" t="s">
        <v>159</v>
      </c>
      <c r="S44">
        <v>0.18</v>
      </c>
      <c r="T44">
        <v>5.0000000000000001E-3</v>
      </c>
    </row>
    <row r="45" spans="1:27">
      <c r="B45" s="11" t="s">
        <v>34</v>
      </c>
      <c r="C45" s="11">
        <v>3.65</v>
      </c>
      <c r="D45" s="11">
        <v>7.4999999999999997E-2</v>
      </c>
      <c r="E45" s="11">
        <f t="shared" si="22"/>
        <v>7.4999999999999993E-5</v>
      </c>
      <c r="F45" s="11">
        <f t="shared" si="21"/>
        <v>0.30090684253915906</v>
      </c>
      <c r="K45" s="21" t="s">
        <v>87</v>
      </c>
      <c r="L45" s="21" t="s">
        <v>83</v>
      </c>
      <c r="M45" s="21">
        <v>1.24</v>
      </c>
      <c r="N45" s="21">
        <v>0</v>
      </c>
      <c r="O45" s="21">
        <v>1.24</v>
      </c>
      <c r="Q45" t="s">
        <v>160</v>
      </c>
      <c r="R45" t="s">
        <v>161</v>
      </c>
      <c r="S45">
        <v>0.23499999999999999</v>
      </c>
      <c r="T45">
        <v>5.0000000000000001E-3</v>
      </c>
    </row>
    <row r="46" spans="1:27">
      <c r="K46" s="21" t="s">
        <v>88</v>
      </c>
      <c r="L46" s="21" t="s">
        <v>83</v>
      </c>
      <c r="M46" s="21">
        <v>2.1859999999999999</v>
      </c>
      <c r="N46" s="21"/>
      <c r="O46" s="22"/>
      <c r="Q46" t="s">
        <v>162</v>
      </c>
      <c r="R46" t="s">
        <v>163</v>
      </c>
      <c r="S46">
        <v>0.28000000000000003</v>
      </c>
      <c r="T46">
        <v>5.0000000000000001E-3</v>
      </c>
    </row>
    <row r="47" spans="1:27">
      <c r="B47" s="10" t="s">
        <v>37</v>
      </c>
      <c r="C47" s="10" t="s">
        <v>60</v>
      </c>
      <c r="D47" s="10" t="s">
        <v>29</v>
      </c>
      <c r="E47" s="10" t="s">
        <v>58</v>
      </c>
      <c r="G47" s="10" t="s">
        <v>241</v>
      </c>
      <c r="K47" s="21" t="s">
        <v>89</v>
      </c>
      <c r="L47" s="21" t="s">
        <v>83</v>
      </c>
      <c r="M47" s="21">
        <v>1.39</v>
      </c>
      <c r="N47" s="21"/>
      <c r="O47" s="22"/>
      <c r="Q47" t="s">
        <v>164</v>
      </c>
      <c r="R47" t="s">
        <v>165</v>
      </c>
      <c r="S47">
        <v>2</v>
      </c>
      <c r="T47">
        <v>0.02</v>
      </c>
    </row>
    <row r="48" spans="1:27">
      <c r="B48" s="11" t="s">
        <v>38</v>
      </c>
      <c r="C48" s="11">
        <v>0.84</v>
      </c>
      <c r="D48" s="11" t="s">
        <v>61</v>
      </c>
      <c r="E48" s="11">
        <v>1.2166203997348499</v>
      </c>
      <c r="K48" s="21" t="s">
        <v>90</v>
      </c>
      <c r="L48" s="21" t="s">
        <v>83</v>
      </c>
      <c r="M48" s="21">
        <v>0.91400000000000003</v>
      </c>
      <c r="N48" s="21"/>
      <c r="O48" s="22"/>
      <c r="Q48" t="s">
        <v>166</v>
      </c>
      <c r="R48" t="s">
        <v>167</v>
      </c>
      <c r="S48">
        <v>3.5</v>
      </c>
      <c r="T48">
        <v>0.02</v>
      </c>
    </row>
    <row r="49" spans="2:20">
      <c r="B49" s="11" t="s">
        <v>39</v>
      </c>
      <c r="C49" s="11">
        <v>0.72</v>
      </c>
      <c r="D49" s="11" t="s">
        <v>61</v>
      </c>
      <c r="E49" s="11">
        <v>1.2728268287378299</v>
      </c>
      <c r="K49" s="21" t="s">
        <v>91</v>
      </c>
      <c r="L49" s="21" t="s">
        <v>83</v>
      </c>
      <c r="M49" s="21">
        <v>3.23</v>
      </c>
      <c r="N49" s="21">
        <v>2.6059999999999999</v>
      </c>
      <c r="O49" s="21">
        <v>0.624</v>
      </c>
      <c r="Q49" t="s">
        <v>27</v>
      </c>
      <c r="S49">
        <v>0</v>
      </c>
      <c r="T49">
        <v>0</v>
      </c>
    </row>
    <row r="50" spans="2:20">
      <c r="B50" s="13" t="s">
        <v>65</v>
      </c>
      <c r="C50" s="13"/>
      <c r="D50" s="13"/>
      <c r="E50" s="13">
        <v>7.5000000000000002E-4</v>
      </c>
      <c r="F50">
        <f>(E50/(C45/100))*F45</f>
        <v>6.1830173124484749E-3</v>
      </c>
      <c r="K50" s="21" t="s">
        <v>92</v>
      </c>
      <c r="L50" s="21" t="s">
        <v>83</v>
      </c>
      <c r="M50" s="21">
        <v>3.2</v>
      </c>
      <c r="N50" s="21">
        <v>2.58</v>
      </c>
      <c r="O50" s="21">
        <v>0.62</v>
      </c>
    </row>
    <row r="51" spans="2:20">
      <c r="B51" s="13" t="s">
        <v>72</v>
      </c>
      <c r="C51" s="13"/>
      <c r="D51" s="13"/>
      <c r="E51" s="16">
        <v>1.15E-5</v>
      </c>
      <c r="F51">
        <f>(E51/(C42/100))*F42</f>
        <v>9.4806265457543276E-5</v>
      </c>
      <c r="K51" s="21" t="s">
        <v>93</v>
      </c>
      <c r="L51" s="21" t="s">
        <v>83</v>
      </c>
      <c r="M51" s="21">
        <v>3.24</v>
      </c>
      <c r="N51" s="21">
        <v>2.67</v>
      </c>
      <c r="O51" s="21">
        <v>0.56999999999999995</v>
      </c>
    </row>
    <row r="52" spans="2:20">
      <c r="B52" s="13" t="s">
        <v>73</v>
      </c>
      <c r="C52" s="13"/>
      <c r="D52" s="13"/>
      <c r="E52" s="16">
        <v>2.4299999999999999E-7</v>
      </c>
      <c r="F52">
        <f>(E52/(C44/100))*F44</f>
        <v>2.0032976092333055E-6</v>
      </c>
      <c r="K52" s="21" t="s">
        <v>94</v>
      </c>
      <c r="L52" s="21" t="s">
        <v>83</v>
      </c>
      <c r="M52" s="21">
        <v>3.1539999999999999</v>
      </c>
      <c r="N52" s="21">
        <v>2.4E-2</v>
      </c>
      <c r="O52" s="21">
        <v>3.13</v>
      </c>
    </row>
    <row r="53" spans="2:20">
      <c r="B53" s="13" t="s">
        <v>74</v>
      </c>
      <c r="C53" s="13"/>
      <c r="D53" s="13"/>
      <c r="E53" s="16">
        <v>7.5799999999999998E-7</v>
      </c>
      <c r="F53">
        <f>(E53/(C43/100))*F43</f>
        <v>6.2489694971145921E-6</v>
      </c>
      <c r="K53" s="21" t="s">
        <v>95</v>
      </c>
      <c r="L53" s="21" t="s">
        <v>83</v>
      </c>
      <c r="M53" s="21">
        <v>1.92</v>
      </c>
      <c r="N53" s="21">
        <v>0</v>
      </c>
      <c r="O53" s="21">
        <v>1.92</v>
      </c>
    </row>
    <row r="54" spans="2:20" ht="25.5">
      <c r="B54" s="12" t="s">
        <v>40</v>
      </c>
      <c r="C54" s="12">
        <v>0.83299999999999996</v>
      </c>
      <c r="D54" s="12" t="s">
        <v>62</v>
      </c>
      <c r="E54" s="12">
        <v>0.97628197807012396</v>
      </c>
      <c r="K54" s="21" t="s">
        <v>96</v>
      </c>
      <c r="L54" s="21" t="s">
        <v>83</v>
      </c>
      <c r="M54" s="21">
        <v>0.34499999999999997</v>
      </c>
      <c r="N54" s="21">
        <v>0</v>
      </c>
      <c r="O54" s="21">
        <v>0.34499999999999997</v>
      </c>
    </row>
    <row r="55" spans="2:20">
      <c r="B55" s="11" t="s">
        <v>59</v>
      </c>
      <c r="C55" s="11"/>
      <c r="D55" s="11"/>
      <c r="E55" s="11">
        <f xml:space="preserve"> C48*E48</f>
        <v>1.021961135777274</v>
      </c>
      <c r="K55" s="21" t="s">
        <v>97</v>
      </c>
      <c r="L55" s="21" t="s">
        <v>98</v>
      </c>
      <c r="M55" s="21">
        <v>12.53</v>
      </c>
      <c r="N55" s="21">
        <v>0</v>
      </c>
      <c r="O55" s="21">
        <v>12.53</v>
      </c>
    </row>
    <row r="56" spans="2:20">
      <c r="B56" s="11" t="s">
        <v>63</v>
      </c>
      <c r="C56" s="11"/>
      <c r="D56" s="11"/>
      <c r="E56" s="11">
        <f xml:space="preserve"> C49*E49</f>
        <v>0.91643531669123757</v>
      </c>
      <c r="K56" s="21" t="s">
        <v>99</v>
      </c>
      <c r="L56" s="21" t="s">
        <v>83</v>
      </c>
      <c r="M56" s="21">
        <v>1.806</v>
      </c>
      <c r="N56" s="21">
        <v>1.61</v>
      </c>
      <c r="O56" s="21">
        <v>0.19600000000000001</v>
      </c>
    </row>
    <row r="57" spans="2:20">
      <c r="B57" s="11" t="s">
        <v>64</v>
      </c>
      <c r="C57" s="11"/>
      <c r="D57" s="11"/>
      <c r="E57" s="11">
        <f xml:space="preserve"> (1/C54)*E54</f>
        <v>1.1720071765547708</v>
      </c>
      <c r="K57" s="21" t="s">
        <v>100</v>
      </c>
      <c r="L57" s="21" t="s">
        <v>83</v>
      </c>
      <c r="M57" s="21">
        <v>1.9</v>
      </c>
      <c r="N57" s="21">
        <v>1.7</v>
      </c>
      <c r="O57" s="21">
        <v>0.2</v>
      </c>
    </row>
    <row r="58" spans="2:20">
      <c r="B58" s="11" t="s">
        <v>71</v>
      </c>
      <c r="E58">
        <f>SUM(E50:E53)</f>
        <v>7.6250100000000006E-4</v>
      </c>
      <c r="F58">
        <f>SUM(F50:F53)</f>
        <v>6.2860758450123668E-3</v>
      </c>
      <c r="K58" s="21" t="s">
        <v>101</v>
      </c>
      <c r="L58" s="21" t="s">
        <v>98</v>
      </c>
      <c r="M58" s="21">
        <v>3.37</v>
      </c>
      <c r="N58" s="21">
        <v>2.7</v>
      </c>
      <c r="O58" s="21">
        <v>0.67</v>
      </c>
    </row>
    <row r="59" spans="2:20">
      <c r="K59" s="21" t="s">
        <v>102</v>
      </c>
      <c r="L59" s="21" t="s">
        <v>98</v>
      </c>
      <c r="M59" s="21">
        <v>2.7280000000000002</v>
      </c>
      <c r="N59" s="21">
        <v>2.234</v>
      </c>
      <c r="O59" s="21">
        <v>0.49399999999999999</v>
      </c>
    </row>
    <row r="60" spans="2:20">
      <c r="K60" s="21" t="s">
        <v>103</v>
      </c>
      <c r="L60" s="21" t="s">
        <v>98</v>
      </c>
      <c r="M60" s="21">
        <v>3.07</v>
      </c>
      <c r="N60" s="21">
        <v>2.68</v>
      </c>
      <c r="O60" s="21">
        <v>0.39</v>
      </c>
    </row>
    <row r="61" spans="2:20">
      <c r="B61" t="s">
        <v>108</v>
      </c>
      <c r="C61" t="s">
        <v>120</v>
      </c>
      <c r="D61" t="s">
        <v>122</v>
      </c>
      <c r="K61" s="21" t="s">
        <v>104</v>
      </c>
      <c r="L61" s="21" t="s">
        <v>98</v>
      </c>
      <c r="M61" s="21">
        <v>1.0389999999999999</v>
      </c>
      <c r="N61" s="21">
        <v>4.4999999999999998E-2</v>
      </c>
      <c r="O61" s="21">
        <v>0.99399999999999999</v>
      </c>
    </row>
    <row r="62" spans="2:20">
      <c r="B62" t="s">
        <v>29</v>
      </c>
      <c r="C62" t="s">
        <v>121</v>
      </c>
      <c r="D62" t="s">
        <v>123</v>
      </c>
    </row>
    <row r="63" spans="2:20">
      <c r="B63" t="s">
        <v>109</v>
      </c>
      <c r="C63">
        <v>0.69864751097688704</v>
      </c>
      <c r="D63">
        <v>0.22009101049720001</v>
      </c>
    </row>
    <row r="64" spans="2:20">
      <c r="B64" s="25" t="s">
        <v>110</v>
      </c>
      <c r="C64" s="25">
        <v>0.49561256850699698</v>
      </c>
      <c r="D64" s="25">
        <v>0.13863653623035399</v>
      </c>
    </row>
    <row r="65" spans="1:27">
      <c r="B65" t="s">
        <v>111</v>
      </c>
      <c r="C65">
        <v>1.10005486504076</v>
      </c>
      <c r="D65">
        <v>0.26496552989880001</v>
      </c>
    </row>
    <row r="66" spans="1:27">
      <c r="B66" t="s">
        <v>112</v>
      </c>
      <c r="C66">
        <v>0.58805210325572199</v>
      </c>
      <c r="D66">
        <v>0.246516205392</v>
      </c>
    </row>
    <row r="67" spans="1:27">
      <c r="B67" t="s">
        <v>113</v>
      </c>
      <c r="C67">
        <v>1.1456292706617299</v>
      </c>
      <c r="D67">
        <v>2.4749632520200002E-2</v>
      </c>
    </row>
    <row r="68" spans="1:27">
      <c r="B68" t="s">
        <v>114</v>
      </c>
      <c r="C68">
        <v>0.43551502872601</v>
      </c>
      <c r="D68">
        <v>0.11423232177000001</v>
      </c>
    </row>
    <row r="69" spans="1:27">
      <c r="B69" t="s">
        <v>115</v>
      </c>
      <c r="C69">
        <v>1.2728164066104799</v>
      </c>
      <c r="D69">
        <v>2.4075686848800001E-2</v>
      </c>
    </row>
    <row r="70" spans="1:27">
      <c r="B70" t="s">
        <v>116</v>
      </c>
      <c r="C70">
        <v>9.2746296292385004</v>
      </c>
      <c r="D70">
        <v>3.2762412244791599</v>
      </c>
    </row>
    <row r="71" spans="1:27">
      <c r="B71" t="s">
        <v>117</v>
      </c>
      <c r="C71">
        <v>9.3111008723353894</v>
      </c>
      <c r="D71">
        <v>3.2878119631796698</v>
      </c>
    </row>
    <row r="72" spans="1:27">
      <c r="B72" t="s">
        <v>118</v>
      </c>
      <c r="C72">
        <v>2.6427154699236901</v>
      </c>
      <c r="D72">
        <v>0.49364394769999997</v>
      </c>
    </row>
    <row r="73" spans="1:27">
      <c r="B73" t="s">
        <v>119</v>
      </c>
      <c r="C73">
        <v>2.7240778390535398</v>
      </c>
      <c r="D73">
        <v>0.51909930758</v>
      </c>
    </row>
    <row r="78" spans="1:27">
      <c r="A78" t="str">
        <f>CONCATENATE(B78,", ",C78, ", ",D78)</f>
        <v>Bus, Elektrisch, onbekend</v>
      </c>
      <c r="B78" s="2" t="s">
        <v>222</v>
      </c>
      <c r="C78" s="55" t="s">
        <v>27</v>
      </c>
      <c r="D78" s="2" t="s">
        <v>228</v>
      </c>
      <c r="E78" s="2" t="s">
        <v>4</v>
      </c>
      <c r="F78" s="2">
        <f>G78+H78</f>
        <v>1.206</v>
      </c>
      <c r="G78" s="2">
        <v>0</v>
      </c>
      <c r="H78" s="2">
        <f>9*0.134</f>
        <v>1.206</v>
      </c>
      <c r="I78" s="2">
        <f>D64*Emissies!E29</f>
        <v>0.27727307246070798</v>
      </c>
      <c r="J78" s="2"/>
      <c r="K78" s="5" t="s">
        <v>222</v>
      </c>
      <c r="L78" s="5" t="s">
        <v>11</v>
      </c>
      <c r="M78" s="5" t="s">
        <v>223</v>
      </c>
      <c r="N78" s="5" t="s">
        <v>4</v>
      </c>
      <c r="O78" s="5">
        <f>SUM(P78:Q78)</f>
        <v>1.2600000000000002</v>
      </c>
      <c r="P78" s="5">
        <f>0.113*9</f>
        <v>1.0170000000000001</v>
      </c>
      <c r="Q78" s="5">
        <f>0.027*9</f>
        <v>0.24299999999999999</v>
      </c>
      <c r="T78" s="7">
        <f xml:space="preserve"> 0.4/1000</f>
        <v>4.0000000000000002E-4</v>
      </c>
      <c r="U78" s="7">
        <f t="shared" si="17"/>
        <v>1.0000000000000001E-5</v>
      </c>
      <c r="V78">
        <f>$E$48</f>
        <v>1.2166203997348499</v>
      </c>
      <c r="W78">
        <v>1</v>
      </c>
      <c r="X78" s="7">
        <v>0</v>
      </c>
      <c r="Y78" s="7">
        <v>0</v>
      </c>
      <c r="AA78" t="s">
        <v>224</v>
      </c>
    </row>
    <row r="102" spans="11:14">
      <c r="K102" s="56"/>
      <c r="L102" s="56"/>
      <c r="M102" s="56"/>
      <c r="N102" s="56"/>
    </row>
    <row r="104" spans="11:14">
      <c r="K104" s="56"/>
    </row>
    <row r="105" spans="11:14">
      <c r="K105" s="56"/>
      <c r="L105" s="56"/>
    </row>
    <row r="106" spans="11:14">
      <c r="K106" s="56"/>
    </row>
    <row r="108" spans="11:14">
      <c r="K108" s="56"/>
      <c r="L108" s="56"/>
      <c r="M108" s="56"/>
      <c r="N108" s="56"/>
    </row>
    <row r="109" spans="11:14">
      <c r="K109" s="56"/>
      <c r="L109" s="56"/>
      <c r="M109" s="56"/>
      <c r="N109" s="56"/>
    </row>
    <row r="111" spans="11:14">
      <c r="K111" s="56"/>
      <c r="L111" s="56"/>
    </row>
    <row r="115" spans="12:12">
      <c r="L115" s="56"/>
    </row>
    <row r="116" spans="12:12">
      <c r="L116" s="56"/>
    </row>
  </sheetData>
  <conditionalFormatting sqref="F15:G15">
    <cfRule type="expression" priority="1">
      <formula>"VLOOKUP(E13;'Achtergrond data'!$A$2:$U$29;21;FALSE)"</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B28" sqref="B28"/>
    </sheetView>
  </sheetViews>
  <sheetFormatPr defaultRowHeight="12.75"/>
  <cols>
    <col min="1" max="1" width="35.1640625" bestFit="1" customWidth="1"/>
    <col min="2" max="2" width="11.33203125" customWidth="1"/>
    <col min="3" max="3" width="28.83203125" bestFit="1" customWidth="1"/>
    <col min="4" max="4" width="36" bestFit="1" customWidth="1"/>
    <col min="5" max="5" width="37.83203125" bestFit="1" customWidth="1"/>
    <col min="6" max="6" width="43.83203125" customWidth="1"/>
    <col min="11" max="11" width="14.5" bestFit="1" customWidth="1"/>
  </cols>
  <sheetData>
    <row r="1" spans="1:7" ht="15">
      <c r="A1" s="20" t="s">
        <v>105</v>
      </c>
      <c r="B1" s="19" t="s">
        <v>78</v>
      </c>
      <c r="C1" s="19" t="s">
        <v>79</v>
      </c>
      <c r="D1" s="19" t="s">
        <v>80</v>
      </c>
      <c r="E1" s="19" t="s">
        <v>81</v>
      </c>
      <c r="F1" s="17" t="s">
        <v>218</v>
      </c>
      <c r="G1" s="17"/>
    </row>
    <row r="2" spans="1:7" ht="15">
      <c r="A2" s="19" t="s">
        <v>82</v>
      </c>
      <c r="B2" s="19" t="s">
        <v>83</v>
      </c>
      <c r="C2" s="19">
        <v>2.74</v>
      </c>
      <c r="D2" s="19">
        <v>2.2690000000000001</v>
      </c>
      <c r="E2" s="19">
        <v>0.47099999999999997</v>
      </c>
      <c r="F2" s="17" t="s">
        <v>224</v>
      </c>
      <c r="G2" s="17"/>
    </row>
    <row r="3" spans="1:7" ht="15">
      <c r="A3" s="19" t="s">
        <v>84</v>
      </c>
      <c r="B3" s="19" t="s">
        <v>83</v>
      </c>
      <c r="C3" s="19">
        <v>2.8</v>
      </c>
      <c r="D3" s="19">
        <v>2.2999999999999998</v>
      </c>
      <c r="E3" s="19">
        <v>0.5</v>
      </c>
      <c r="F3" s="17" t="s">
        <v>224</v>
      </c>
      <c r="G3" s="17"/>
    </row>
    <row r="4" spans="1:7" ht="15">
      <c r="A4" s="19" t="s">
        <v>85</v>
      </c>
      <c r="B4" s="19" t="s">
        <v>83</v>
      </c>
      <c r="C4" s="19">
        <v>2.88</v>
      </c>
      <c r="D4" s="19">
        <v>2.42</v>
      </c>
      <c r="E4" s="19">
        <v>0.46</v>
      </c>
      <c r="F4" s="17" t="s">
        <v>224</v>
      </c>
      <c r="G4" s="17"/>
    </row>
    <row r="5" spans="1:7" ht="15">
      <c r="A5" s="19" t="s">
        <v>86</v>
      </c>
      <c r="B5" s="19" t="s">
        <v>83</v>
      </c>
      <c r="C5" s="19">
        <v>1.083</v>
      </c>
      <c r="D5" s="19">
        <v>0.373</v>
      </c>
      <c r="E5" s="19">
        <v>0.71</v>
      </c>
      <c r="F5" s="17" t="s">
        <v>224</v>
      </c>
      <c r="G5" s="17"/>
    </row>
    <row r="6" spans="1:7" ht="15">
      <c r="A6" s="19" t="s">
        <v>87</v>
      </c>
      <c r="B6" s="19" t="s">
        <v>83</v>
      </c>
      <c r="C6" s="19">
        <v>1.24</v>
      </c>
      <c r="D6" s="19">
        <v>0</v>
      </c>
      <c r="E6" s="19">
        <v>1.24</v>
      </c>
      <c r="F6" s="17" t="s">
        <v>224</v>
      </c>
      <c r="G6" s="17"/>
    </row>
    <row r="7" spans="1:7" ht="15">
      <c r="A7" s="19" t="s">
        <v>88</v>
      </c>
      <c r="B7" s="19" t="s">
        <v>83</v>
      </c>
      <c r="C7" s="19">
        <v>2.1859999999999999</v>
      </c>
      <c r="D7" s="19"/>
      <c r="E7" s="18"/>
      <c r="F7" s="17" t="s">
        <v>224</v>
      </c>
    </row>
    <row r="8" spans="1:7" ht="15">
      <c r="A8" s="19" t="s">
        <v>89</v>
      </c>
      <c r="B8" s="19" t="s">
        <v>83</v>
      </c>
      <c r="C8" s="19">
        <v>1.39</v>
      </c>
      <c r="D8" s="19"/>
      <c r="E8" s="18"/>
      <c r="F8" s="17" t="s">
        <v>224</v>
      </c>
    </row>
    <row r="9" spans="1:7" ht="15">
      <c r="A9" s="19" t="s">
        <v>90</v>
      </c>
      <c r="B9" s="19" t="s">
        <v>83</v>
      </c>
      <c r="C9" s="19">
        <v>0.91400000000000003</v>
      </c>
      <c r="D9" s="19"/>
      <c r="E9" s="18"/>
      <c r="F9" s="17" t="s">
        <v>224</v>
      </c>
    </row>
    <row r="10" spans="1:7" ht="15">
      <c r="A10" s="19" t="s">
        <v>91</v>
      </c>
      <c r="B10" s="19" t="s">
        <v>83</v>
      </c>
      <c r="C10" s="19">
        <v>3.23</v>
      </c>
      <c r="D10" s="19">
        <v>2.6059999999999999</v>
      </c>
      <c r="E10" s="19">
        <v>0.624</v>
      </c>
      <c r="F10" s="17" t="s">
        <v>224</v>
      </c>
      <c r="G10" s="17"/>
    </row>
    <row r="11" spans="1:7" ht="15">
      <c r="A11" s="19" t="s">
        <v>92</v>
      </c>
      <c r="B11" s="19" t="s">
        <v>83</v>
      </c>
      <c r="C11" s="19">
        <v>3.2</v>
      </c>
      <c r="D11" s="19">
        <v>2.58</v>
      </c>
      <c r="E11" s="19">
        <v>0.62</v>
      </c>
      <c r="F11" s="17" t="s">
        <v>224</v>
      </c>
      <c r="G11" s="17"/>
    </row>
    <row r="12" spans="1:7" ht="15">
      <c r="A12" s="19" t="s">
        <v>93</v>
      </c>
      <c r="B12" s="19" t="s">
        <v>83</v>
      </c>
      <c r="C12" s="19">
        <v>3.24</v>
      </c>
      <c r="D12" s="19">
        <v>2.67</v>
      </c>
      <c r="E12" s="19">
        <v>0.56999999999999995</v>
      </c>
      <c r="F12" s="17" t="s">
        <v>224</v>
      </c>
      <c r="G12" s="17"/>
    </row>
    <row r="13" spans="1:7" ht="15">
      <c r="A13" s="19" t="s">
        <v>94</v>
      </c>
      <c r="B13" s="19" t="s">
        <v>83</v>
      </c>
      <c r="C13" s="19">
        <v>3.1539999999999999</v>
      </c>
      <c r="D13" s="19">
        <v>2.4E-2</v>
      </c>
      <c r="E13" s="19">
        <v>3.13</v>
      </c>
      <c r="F13" s="17" t="s">
        <v>224</v>
      </c>
      <c r="G13" s="17"/>
    </row>
    <row r="14" spans="1:7" ht="15">
      <c r="A14" s="19" t="s">
        <v>95</v>
      </c>
      <c r="B14" s="19" t="s">
        <v>83</v>
      </c>
      <c r="C14" s="19">
        <v>1.92</v>
      </c>
      <c r="D14" s="19">
        <v>0</v>
      </c>
      <c r="E14" s="19">
        <v>1.92</v>
      </c>
      <c r="F14" s="17" t="s">
        <v>224</v>
      </c>
      <c r="G14" s="17"/>
    </row>
    <row r="15" spans="1:7" ht="15">
      <c r="A15" s="19" t="s">
        <v>96</v>
      </c>
      <c r="B15" s="19" t="s">
        <v>83</v>
      </c>
      <c r="C15" s="19">
        <v>0.34499999999999997</v>
      </c>
      <c r="D15" s="19">
        <v>0</v>
      </c>
      <c r="E15" s="19">
        <v>0.34499999999999997</v>
      </c>
      <c r="F15" s="17" t="s">
        <v>224</v>
      </c>
      <c r="G15" s="17"/>
    </row>
    <row r="16" spans="1:7" ht="15">
      <c r="A16" s="19" t="s">
        <v>97</v>
      </c>
      <c r="B16" s="19" t="s">
        <v>98</v>
      </c>
      <c r="C16" s="19">
        <v>12.53</v>
      </c>
      <c r="D16" s="19">
        <v>0</v>
      </c>
      <c r="E16" s="19">
        <v>12.53</v>
      </c>
      <c r="F16" s="17" t="s">
        <v>224</v>
      </c>
      <c r="G16" s="17"/>
    </row>
    <row r="17" spans="1:8" ht="15">
      <c r="A17" s="19" t="s">
        <v>99</v>
      </c>
      <c r="B17" s="19" t="s">
        <v>83</v>
      </c>
      <c r="C17" s="19">
        <v>1.806</v>
      </c>
      <c r="D17" s="19">
        <v>1.61</v>
      </c>
      <c r="E17" s="19">
        <v>0.19600000000000001</v>
      </c>
      <c r="F17" s="17" t="s">
        <v>224</v>
      </c>
      <c r="G17" s="17"/>
      <c r="H17" s="17"/>
    </row>
    <row r="18" spans="1:8" ht="15">
      <c r="A18" s="19" t="s">
        <v>100</v>
      </c>
      <c r="B18" s="19" t="s">
        <v>83</v>
      </c>
      <c r="C18" s="19">
        <v>1.9</v>
      </c>
      <c r="D18" s="19">
        <v>1.7</v>
      </c>
      <c r="E18" s="19">
        <v>0.2</v>
      </c>
      <c r="F18" s="17" t="s">
        <v>224</v>
      </c>
      <c r="G18" s="17"/>
      <c r="H18" s="17"/>
    </row>
    <row r="19" spans="1:8" ht="15">
      <c r="A19" s="19" t="s">
        <v>101</v>
      </c>
      <c r="B19" s="19" t="s">
        <v>98</v>
      </c>
      <c r="C19" s="19">
        <v>3.37</v>
      </c>
      <c r="D19" s="19">
        <v>2.7</v>
      </c>
      <c r="E19" s="19">
        <v>0.67</v>
      </c>
      <c r="F19" s="17" t="s">
        <v>224</v>
      </c>
      <c r="G19" s="17"/>
      <c r="H19" s="17"/>
    </row>
    <row r="20" spans="1:8" ht="15">
      <c r="A20" s="19" t="s">
        <v>102</v>
      </c>
      <c r="B20" s="19" t="s">
        <v>98</v>
      </c>
      <c r="C20" s="19">
        <v>2.7280000000000002</v>
      </c>
      <c r="D20" s="19">
        <v>2.234</v>
      </c>
      <c r="E20" s="19">
        <v>0.49399999999999999</v>
      </c>
      <c r="F20" s="17" t="s">
        <v>224</v>
      </c>
      <c r="G20" s="17"/>
      <c r="H20" s="17"/>
    </row>
    <row r="21" spans="1:8" ht="15">
      <c r="A21" s="19" t="s">
        <v>103</v>
      </c>
      <c r="B21" s="19" t="s">
        <v>98</v>
      </c>
      <c r="C21" s="19">
        <v>3.07</v>
      </c>
      <c r="D21" s="19">
        <v>2.68</v>
      </c>
      <c r="E21" s="19">
        <v>0.39</v>
      </c>
      <c r="F21" s="17" t="s">
        <v>224</v>
      </c>
      <c r="G21" s="17"/>
    </row>
    <row r="22" spans="1:8" ht="15">
      <c r="A22" s="19" t="s">
        <v>104</v>
      </c>
      <c r="B22" s="19" t="s">
        <v>98</v>
      </c>
      <c r="C22" s="19">
        <v>1.0389999999999999</v>
      </c>
      <c r="D22" s="19">
        <v>4.4999999999999998E-2</v>
      </c>
      <c r="E22" s="19">
        <v>0.99399999999999999</v>
      </c>
      <c r="F22" s="17" t="s">
        <v>224</v>
      </c>
      <c r="G22" s="17"/>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1"/>
  <sheetViews>
    <sheetView workbookViewId="0">
      <selection activeCell="B3" sqref="B3"/>
    </sheetView>
  </sheetViews>
  <sheetFormatPr defaultRowHeight="12.75"/>
  <sheetData>
    <row r="1" spans="1:17">
      <c r="A1" t="s">
        <v>218</v>
      </c>
    </row>
    <row r="2" spans="1:17">
      <c r="A2" t="s">
        <v>140</v>
      </c>
      <c r="B2" s="47" t="s">
        <v>139</v>
      </c>
      <c r="K2" t="s">
        <v>151</v>
      </c>
    </row>
    <row r="3" spans="1:17">
      <c r="A3" t="s">
        <v>141</v>
      </c>
      <c r="B3" s="47" t="s">
        <v>142</v>
      </c>
      <c r="K3" t="s">
        <v>152</v>
      </c>
    </row>
    <row r="4" spans="1:17">
      <c r="B4" t="s">
        <v>143</v>
      </c>
    </row>
    <row r="5" spans="1:17">
      <c r="A5" t="s">
        <v>205</v>
      </c>
      <c r="B5" t="s">
        <v>176</v>
      </c>
    </row>
    <row r="6" spans="1:17">
      <c r="A6" t="s">
        <v>211</v>
      </c>
      <c r="B6" s="47" t="s">
        <v>210</v>
      </c>
    </row>
    <row r="7" spans="1:17">
      <c r="B7" t="s">
        <v>204</v>
      </c>
    </row>
    <row r="8" spans="1:17">
      <c r="A8" t="s">
        <v>209</v>
      </c>
      <c r="B8" t="s">
        <v>208</v>
      </c>
    </row>
    <row r="10" spans="1:17">
      <c r="A10" t="s">
        <v>153</v>
      </c>
      <c r="C10" t="s">
        <v>157</v>
      </c>
      <c r="F10" t="s">
        <v>154</v>
      </c>
      <c r="J10" t="s">
        <v>155</v>
      </c>
      <c r="M10" t="s">
        <v>156</v>
      </c>
      <c r="P10" t="s">
        <v>212</v>
      </c>
    </row>
    <row r="11" spans="1:17">
      <c r="A11" t="s">
        <v>146</v>
      </c>
      <c r="B11" t="s">
        <v>147</v>
      </c>
      <c r="C11" t="s">
        <v>150</v>
      </c>
      <c r="D11" t="s">
        <v>149</v>
      </c>
      <c r="F11" t="s">
        <v>148</v>
      </c>
      <c r="G11" t="s">
        <v>149</v>
      </c>
      <c r="J11" t="s">
        <v>148</v>
      </c>
      <c r="K11" t="s">
        <v>149</v>
      </c>
      <c r="M11" t="s">
        <v>148</v>
      </c>
      <c r="N11" t="s">
        <v>149</v>
      </c>
      <c r="P11" t="s">
        <v>148</v>
      </c>
      <c r="Q11" t="s">
        <v>149</v>
      </c>
    </row>
    <row r="13" spans="1:17">
      <c r="A13" t="s">
        <v>144</v>
      </c>
      <c r="B13" t="s">
        <v>145</v>
      </c>
      <c r="C13">
        <v>0.18</v>
      </c>
      <c r="D13">
        <v>5.0000000000000001E-3</v>
      </c>
      <c r="F13">
        <v>0.06</v>
      </c>
      <c r="G13">
        <v>5.0000000000000001E-3</v>
      </c>
      <c r="J13">
        <v>0.08</v>
      </c>
      <c r="K13">
        <v>5.0000000000000001E-3</v>
      </c>
      <c r="M13">
        <v>0.06</v>
      </c>
      <c r="N13">
        <v>5.0000000000000001E-3</v>
      </c>
      <c r="P13">
        <f t="shared" ref="P13:P15" si="0">J13</f>
        <v>0.08</v>
      </c>
      <c r="Q13">
        <f t="shared" ref="Q13:Q15" si="1">K13</f>
        <v>5.0000000000000001E-3</v>
      </c>
    </row>
    <row r="14" spans="1:17">
      <c r="A14" t="s">
        <v>158</v>
      </c>
      <c r="B14" t="s">
        <v>159</v>
      </c>
      <c r="C14">
        <v>0.18</v>
      </c>
      <c r="D14">
        <v>5.0000000000000001E-3</v>
      </c>
      <c r="F14">
        <v>0.06</v>
      </c>
      <c r="G14">
        <v>5.0000000000000001E-3</v>
      </c>
      <c r="J14">
        <v>0.08</v>
      </c>
      <c r="K14">
        <v>5.0000000000000001E-3</v>
      </c>
      <c r="M14">
        <v>0.06</v>
      </c>
      <c r="N14">
        <v>5.0000000000000001E-3</v>
      </c>
      <c r="P14">
        <f t="shared" si="0"/>
        <v>0.08</v>
      </c>
      <c r="Q14">
        <f t="shared" si="1"/>
        <v>5.0000000000000001E-3</v>
      </c>
    </row>
    <row r="15" spans="1:17">
      <c r="A15" t="s">
        <v>160</v>
      </c>
      <c r="B15" t="s">
        <v>161</v>
      </c>
      <c r="C15">
        <v>0.23499999999999999</v>
      </c>
      <c r="D15">
        <v>5.0000000000000001E-3</v>
      </c>
      <c r="F15">
        <v>7.4999999999999997E-2</v>
      </c>
      <c r="G15">
        <v>5.0000000000000001E-3</v>
      </c>
      <c r="J15">
        <v>0.105</v>
      </c>
      <c r="K15">
        <v>5.0000000000000001E-3</v>
      </c>
      <c r="M15">
        <v>7.4999999999999997E-2</v>
      </c>
      <c r="N15">
        <v>5.0000000000000001E-3</v>
      </c>
      <c r="P15">
        <f t="shared" si="0"/>
        <v>0.105</v>
      </c>
      <c r="Q15">
        <f t="shared" si="1"/>
        <v>5.0000000000000001E-3</v>
      </c>
    </row>
    <row r="16" spans="1:17">
      <c r="A16" t="s">
        <v>162</v>
      </c>
      <c r="B16" t="s">
        <v>163</v>
      </c>
      <c r="C16">
        <v>0.28000000000000003</v>
      </c>
      <c r="D16">
        <v>5.0000000000000001E-3</v>
      </c>
      <c r="F16">
        <v>8.2000000000000003E-2</v>
      </c>
      <c r="G16">
        <v>5.0000000000000001E-3</v>
      </c>
      <c r="J16">
        <v>0.125</v>
      </c>
      <c r="K16">
        <v>5.0000000000000001E-3</v>
      </c>
      <c r="M16">
        <v>8.2000000000000003E-2</v>
      </c>
      <c r="N16">
        <v>5.0000000000000001E-3</v>
      </c>
      <c r="P16">
        <f>J16</f>
        <v>0.125</v>
      </c>
      <c r="Q16">
        <f>K16</f>
        <v>5.0000000000000001E-3</v>
      </c>
    </row>
    <row r="17" spans="1:17">
      <c r="A17" t="s">
        <v>164</v>
      </c>
      <c r="B17" t="s">
        <v>165</v>
      </c>
      <c r="C17">
        <v>2</v>
      </c>
      <c r="D17">
        <v>0.02</v>
      </c>
      <c r="J17">
        <v>0.4</v>
      </c>
      <c r="K17">
        <v>0.01</v>
      </c>
      <c r="P17">
        <v>0.4</v>
      </c>
      <c r="Q17">
        <v>0.01</v>
      </c>
    </row>
    <row r="18" spans="1:17">
      <c r="A18" t="s">
        <v>166</v>
      </c>
      <c r="B18" t="s">
        <v>167</v>
      </c>
      <c r="C18">
        <v>3.5</v>
      </c>
      <c r="D18">
        <v>0.02</v>
      </c>
      <c r="J18">
        <v>2</v>
      </c>
      <c r="K18">
        <v>0.02</v>
      </c>
    </row>
    <row r="19" spans="1:17">
      <c r="A19" t="s">
        <v>27</v>
      </c>
      <c r="C19">
        <v>0</v>
      </c>
      <c r="D19">
        <v>0</v>
      </c>
      <c r="F19">
        <v>0</v>
      </c>
      <c r="G19">
        <v>0</v>
      </c>
      <c r="J19">
        <v>0</v>
      </c>
      <c r="K19">
        <v>0</v>
      </c>
      <c r="M19">
        <v>0</v>
      </c>
      <c r="N19">
        <v>0</v>
      </c>
    </row>
    <row r="25" spans="1:17">
      <c r="A25" t="s">
        <v>217</v>
      </c>
    </row>
    <row r="26" spans="1:17">
      <c r="C26" t="s">
        <v>214</v>
      </c>
      <c r="D26" t="s">
        <v>215</v>
      </c>
      <c r="E26" t="s">
        <v>216</v>
      </c>
      <c r="F26" t="s">
        <v>220</v>
      </c>
      <c r="G26" t="s">
        <v>237</v>
      </c>
      <c r="H26" t="s">
        <v>218</v>
      </c>
    </row>
    <row r="27" spans="1:17">
      <c r="A27" t="s">
        <v>219</v>
      </c>
      <c r="E27">
        <v>0.25900000000000001</v>
      </c>
      <c r="H27" t="s">
        <v>244</v>
      </c>
    </row>
    <row r="28" spans="1:17">
      <c r="A28" t="s">
        <v>221</v>
      </c>
      <c r="E28">
        <v>0.159</v>
      </c>
      <c r="H28" t="s">
        <v>244</v>
      </c>
    </row>
    <row r="29" spans="1:17">
      <c r="A29" t="s">
        <v>226</v>
      </c>
      <c r="E29">
        <v>2</v>
      </c>
      <c r="H29" t="s">
        <v>227</v>
      </c>
    </row>
    <row r="30" spans="1:17">
      <c r="A30" t="s">
        <v>234</v>
      </c>
      <c r="E30">
        <v>0.03</v>
      </c>
      <c r="H30" t="s">
        <v>245</v>
      </c>
    </row>
    <row r="31" spans="1:17">
      <c r="A31" t="s">
        <v>235</v>
      </c>
      <c r="B31" t="s">
        <v>236</v>
      </c>
      <c r="E31">
        <v>9.4999999999999998E-3</v>
      </c>
      <c r="G31">
        <v>0.95</v>
      </c>
      <c r="H31" s="47" t="s">
        <v>238</v>
      </c>
    </row>
  </sheetData>
  <hyperlinks>
    <hyperlink ref="B3" r:id="rId1" xr:uid="{00000000-0004-0000-0300-000000000000}"/>
    <hyperlink ref="B2" r:id="rId2" xr:uid="{00000000-0004-0000-0300-000001000000}"/>
    <hyperlink ref="B6" r:id="rId3" xr:uid="{00000000-0004-0000-0300-000002000000}"/>
    <hyperlink ref="H31" r:id="rId4" xr:uid="{00000000-0004-0000-0300-00000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selection activeCell="C3" sqref="C3"/>
    </sheetView>
  </sheetViews>
  <sheetFormatPr defaultRowHeight="12.75"/>
  <cols>
    <col min="2" max="2" width="10.5" bestFit="1" customWidth="1"/>
    <col min="3" max="3" width="91.1640625" customWidth="1"/>
  </cols>
  <sheetData>
    <row r="1" spans="1:3">
      <c r="A1" t="s">
        <v>133</v>
      </c>
      <c r="B1" t="s">
        <v>242</v>
      </c>
      <c r="C1" t="s">
        <v>232</v>
      </c>
    </row>
    <row r="2" spans="1:3" ht="51">
      <c r="A2" t="s">
        <v>231</v>
      </c>
      <c r="B2" s="57">
        <v>43565</v>
      </c>
      <c r="C2" s="52"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workbookViewId="0">
      <selection activeCell="B2" sqref="B2"/>
    </sheetView>
  </sheetViews>
  <sheetFormatPr defaultRowHeight="12.75"/>
  <sheetData>
    <row r="1" spans="1:7">
      <c r="A1" s="15" t="str">
        <f>Invulsheet!E12</f>
        <v>Voertuigtype *</v>
      </c>
      <c r="B1" s="15" t="str">
        <f>Invulsheet!F12</f>
        <v>TTW Emissie voertuig [kgCO2/km]</v>
      </c>
      <c r="C1" s="15" t="str">
        <f>Invulsheet!G12</f>
        <v>Jaarverbruik [km] *</v>
      </c>
      <c r="D1" s="15" t="str">
        <f>Invulsheet!I12</f>
        <v>Contractperiode [Jaar] *</v>
      </c>
      <c r="E1" s="15" t="str">
        <f>Invulsheet!J12</f>
        <v>Aantal *</v>
      </c>
      <c r="F1" s="15" t="str">
        <f>Invulsheet!C7</f>
        <v>Inkopende organisatie:</v>
      </c>
      <c r="G1" t="str">
        <f>Invulsheet!H12</f>
        <v>Vermeden km</v>
      </c>
    </row>
    <row r="2" spans="1:7">
      <c r="A2" s="15" t="str">
        <f>Invulsheet!E13</f>
        <v>-</v>
      </c>
      <c r="B2" s="15">
        <f>Invulsheet!F13</f>
        <v>0</v>
      </c>
      <c r="C2" s="15">
        <f>Invulsheet!G13</f>
        <v>0</v>
      </c>
      <c r="D2" s="15">
        <f>Invulsheet!I13</f>
        <v>0</v>
      </c>
      <c r="E2" s="15">
        <f>Invulsheet!J13</f>
        <v>0</v>
      </c>
      <c r="F2" s="15">
        <f>Invulsheet!$E$7</f>
        <v>0</v>
      </c>
      <c r="G2">
        <f>Invulsheet!H13</f>
        <v>0</v>
      </c>
    </row>
    <row r="3" spans="1:7">
      <c r="A3" s="15" t="str">
        <f>Invulsheet!E14</f>
        <v>-</v>
      </c>
      <c r="B3" s="15">
        <f>Invulsheet!F14</f>
        <v>0</v>
      </c>
      <c r="C3" s="15">
        <f>Invulsheet!G14</f>
        <v>0</v>
      </c>
      <c r="D3" s="15">
        <f>Invulsheet!I14</f>
        <v>0</v>
      </c>
      <c r="E3" s="15">
        <f>Invulsheet!J14</f>
        <v>0</v>
      </c>
      <c r="F3" s="15">
        <f>Invulsheet!$E$7</f>
        <v>0</v>
      </c>
      <c r="G3">
        <f>Invulsheet!H14</f>
        <v>0</v>
      </c>
    </row>
    <row r="4" spans="1:7">
      <c r="A4" s="15" t="str">
        <f>Invulsheet!E15</f>
        <v>-</v>
      </c>
      <c r="B4" s="15">
        <f>Invulsheet!F15</f>
        <v>0</v>
      </c>
      <c r="C4" s="15">
        <f>Invulsheet!G15</f>
        <v>0</v>
      </c>
      <c r="D4" s="15">
        <f>Invulsheet!I15</f>
        <v>0</v>
      </c>
      <c r="E4" s="15">
        <f>Invulsheet!J15</f>
        <v>0</v>
      </c>
      <c r="F4" s="15">
        <f>Invulsheet!$E$7</f>
        <v>0</v>
      </c>
      <c r="G4">
        <f>Invulsheet!H15</f>
        <v>0</v>
      </c>
    </row>
    <row r="5" spans="1:7">
      <c r="A5" s="15" t="str">
        <f>Invulsheet!E16</f>
        <v>-</v>
      </c>
      <c r="B5" s="15">
        <f>Invulsheet!F16</f>
        <v>0</v>
      </c>
      <c r="C5" s="15">
        <f>Invulsheet!G16</f>
        <v>0</v>
      </c>
      <c r="D5" s="15">
        <f>Invulsheet!I16</f>
        <v>0</v>
      </c>
      <c r="E5" s="15">
        <f>Invulsheet!J16</f>
        <v>0</v>
      </c>
      <c r="F5" s="15">
        <f>Invulsheet!$E$7</f>
        <v>0</v>
      </c>
      <c r="G5">
        <f>Invulsheet!H16</f>
        <v>0</v>
      </c>
    </row>
    <row r="6" spans="1:7">
      <c r="A6" s="15" t="str">
        <f>Invulsheet!E17</f>
        <v>-</v>
      </c>
      <c r="B6" s="15">
        <f>Invulsheet!F17</f>
        <v>0</v>
      </c>
      <c r="C6" s="15">
        <f>Invulsheet!G17</f>
        <v>0</v>
      </c>
      <c r="D6" s="15">
        <f>Invulsheet!I17</f>
        <v>0</v>
      </c>
      <c r="E6" s="15">
        <f>Invulsheet!J17</f>
        <v>0</v>
      </c>
      <c r="F6" s="15">
        <f>Invulsheet!$E$7</f>
        <v>0</v>
      </c>
      <c r="G6">
        <f>Invulsheet!H17</f>
        <v>0</v>
      </c>
    </row>
    <row r="7" spans="1:7">
      <c r="A7" s="15" t="str">
        <f>Invulsheet!E18</f>
        <v>-</v>
      </c>
      <c r="B7" s="15">
        <f>Invulsheet!F18</f>
        <v>0</v>
      </c>
      <c r="C7" s="15">
        <f>Invulsheet!G18</f>
        <v>0</v>
      </c>
      <c r="D7" s="15">
        <f>Invulsheet!I18</f>
        <v>0</v>
      </c>
      <c r="E7" s="15">
        <f>Invulsheet!J18</f>
        <v>0</v>
      </c>
      <c r="F7" s="15">
        <f>Invulsheet!$E$7</f>
        <v>0</v>
      </c>
      <c r="G7">
        <f>Invulsheet!H18</f>
        <v>0</v>
      </c>
    </row>
    <row r="8" spans="1:7">
      <c r="A8" s="15" t="str">
        <f>Invulsheet!E19</f>
        <v>-</v>
      </c>
      <c r="B8" s="15">
        <f>Invulsheet!F19</f>
        <v>0</v>
      </c>
      <c r="C8" s="15">
        <f>Invulsheet!G19</f>
        <v>0</v>
      </c>
      <c r="D8" s="15">
        <f>Invulsheet!I19</f>
        <v>0</v>
      </c>
      <c r="E8" s="15">
        <f>Invulsheet!J19</f>
        <v>0</v>
      </c>
      <c r="F8" s="15">
        <f>Invulsheet!$E$7</f>
        <v>0</v>
      </c>
      <c r="G8">
        <f>Invulsheet!H19</f>
        <v>0</v>
      </c>
    </row>
    <row r="9" spans="1:7">
      <c r="A9" s="15" t="str">
        <f>Invulsheet!E20</f>
        <v>-</v>
      </c>
      <c r="B9" s="15">
        <f>Invulsheet!F20</f>
        <v>0</v>
      </c>
      <c r="C9" s="15">
        <f>Invulsheet!G20</f>
        <v>0</v>
      </c>
      <c r="D9" s="15">
        <f>Invulsheet!I20</f>
        <v>0</v>
      </c>
      <c r="E9" s="15">
        <f>Invulsheet!J20</f>
        <v>0</v>
      </c>
      <c r="F9" s="15">
        <f>Invulsheet!$E$7</f>
        <v>0</v>
      </c>
      <c r="G9">
        <f>Invulsheet!H20</f>
        <v>0</v>
      </c>
    </row>
    <row r="10" spans="1:7">
      <c r="A10" s="15" t="str">
        <f>Invulsheet!E21</f>
        <v>-</v>
      </c>
      <c r="B10" s="15">
        <f>Invulsheet!F21</f>
        <v>0</v>
      </c>
      <c r="C10" s="15">
        <f>Invulsheet!G21</f>
        <v>0</v>
      </c>
      <c r="D10" s="15">
        <f>Invulsheet!I21</f>
        <v>0</v>
      </c>
      <c r="E10" s="15">
        <f>Invulsheet!J21</f>
        <v>0</v>
      </c>
      <c r="F10" s="15">
        <f>Invulsheet!$E$7</f>
        <v>0</v>
      </c>
      <c r="G10">
        <f>Invulsheet!H21</f>
        <v>0</v>
      </c>
    </row>
    <row r="11" spans="1:7">
      <c r="A11" s="15" t="str">
        <f>Invulsheet!E22</f>
        <v>-</v>
      </c>
      <c r="B11" s="15">
        <f>Invulsheet!F22</f>
        <v>0</v>
      </c>
      <c r="C11" s="15">
        <f>Invulsheet!G22</f>
        <v>0</v>
      </c>
      <c r="D11" s="15">
        <f>Invulsheet!I22</f>
        <v>0</v>
      </c>
      <c r="E11" s="15">
        <f>Invulsheet!J22</f>
        <v>0</v>
      </c>
      <c r="F11" s="15">
        <f>Invulsheet!$E$7</f>
        <v>0</v>
      </c>
      <c r="G11">
        <f>Invulsheet!H22</f>
        <v>0</v>
      </c>
    </row>
  </sheetData>
  <sheetProtection password="F10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Invulsheet</vt:lpstr>
      <vt:lpstr>Achtergrond data</vt:lpstr>
      <vt:lpstr>Brandstof gegevens</vt:lpstr>
      <vt:lpstr>Emissies</vt:lpstr>
      <vt:lpstr>Versiebeheer</vt:lpstr>
      <vt:lpstr>Inleesgegevens</vt:lpstr>
      <vt:lpstr>v.version</vt:lpstr>
      <vt:lpstr>v.versionDate</vt:lpstr>
    </vt:vector>
  </TitlesOfParts>
  <Company>SSC-Campus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de Valk</dc:creator>
  <cp:lastModifiedBy>Bosch, S.W. ten (Stephan)</cp:lastModifiedBy>
  <dcterms:created xsi:type="dcterms:W3CDTF">2018-03-13T08:55:19Z</dcterms:created>
  <dcterms:modified xsi:type="dcterms:W3CDTF">2019-05-27T11:50:36Z</dcterms:modified>
</cp:coreProperties>
</file>